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 defaultThemeVersion="124226"/>
  <bookViews>
    <workbookView xWindow="10470" yWindow="60" windowWidth="9750" windowHeight="8580"/>
  </bookViews>
  <sheets>
    <sheet name="TITLE" sheetId="6" r:id="rId1"/>
    <sheet name="Products" sheetId="5" r:id="rId2"/>
    <sheet name="print page" sheetId="7" r:id="rId3"/>
  </sheets>
  <definedNames>
    <definedName name="Door_Dobor">Products!$B$1990:$W$2006</definedName>
    <definedName name="Door_Dobor_Lada">Products!$B$1923:$W$1940</definedName>
    <definedName name="Door_Elegant">Products!$B$1780:$W$1805</definedName>
    <definedName name="Door_Eva">Products!$B$1333:$W$1357</definedName>
    <definedName name="Door_Geometry">Products!$B$164:$W$191</definedName>
    <definedName name="Door_Glasford">Products!$B$1855:$W$1873</definedName>
    <definedName name="Door_Gordana">Products!$B$241:$W$241</definedName>
    <definedName name="Door_Idea">Products!$B$291:$W$318</definedName>
    <definedName name="Door_IdeaLoft">Products!$B$368:$W$390</definedName>
    <definedName name="Door_Kupava">Products!$B$90:$W$113</definedName>
    <definedName name="Door_LadaA">Products!$B$444:$W$467</definedName>
    <definedName name="Door_LadaB">Products!$B$517:$W$541</definedName>
    <definedName name="Door_LadaC">Products!$B$591:$W$613</definedName>
    <definedName name="Door_LadaD">Products!$B$663:$W$686</definedName>
    <definedName name="Door_LadaK">Products!$B$882:$W$910</definedName>
    <definedName name="Door_LadaL">Products!$B$1111:$W$1138</definedName>
    <definedName name="Door_LadaN">Products!$B$960:$W$988</definedName>
    <definedName name="Door_Linda">Products!$B$1188:$W$1210</definedName>
    <definedName name="Door_Line">Products!$B$1703:$W$1730</definedName>
    <definedName name="Door_Lineya">Products!$B$1630:$W$1653</definedName>
    <definedName name="Door_Lisa">Products!$B$809:$W$832</definedName>
    <definedName name="Door_Mira">Products!$B$1038:$W$1061</definedName>
    <definedName name="Door_Modern">Products!$B$1481:$W$1505</definedName>
    <definedName name="Door_Nika">Products!$B$736:$W$759</definedName>
    <definedName name="Door_Pollo">Products!$B$1555:$W$1580</definedName>
    <definedName name="Door_Ruta">Products!#REF!</definedName>
    <definedName name="Door_RutaF">Products!#REF!</definedName>
    <definedName name="Door_Standard">Products!$B$10:$W$39</definedName>
    <definedName name="Door_Tiana">Products!$B$1260:$W$1283</definedName>
    <definedName name="Door_Trend">Products!$B$1407:$W$1431</definedName>
    <definedName name="DoorHandles">Products!$B$2531:$W$2539</definedName>
    <definedName name="Frame_Stand">Products!$B$2115:$W$2133</definedName>
    <definedName name="Frame_VFit">Products!$B$2183:$W$2205</definedName>
    <definedName name="Frame_VFitComfort">Products!$B$2323:$W$2345</definedName>
    <definedName name="Frame_VFitPlus">Products!$B$2255:$W$2273</definedName>
    <definedName name="Framugi">Products!$B$2453:$W$2481</definedName>
    <definedName name="Furniture">Products!$B$2589:$W$2618</definedName>
    <definedName name="MENU">TITLE!$A$2</definedName>
    <definedName name="Plinths">Products!$B$2395:$W$2403</definedName>
    <definedName name="vat">Products!$AC$2:$AC$3</definedName>
    <definedName name="Verto_Slide">Products!$B$2056:$W$2065</definedName>
    <definedName name="Полотна_збірні__КЛАСІК">Products!$B$402:$W$427</definedName>
  </definedNames>
  <calcPr calcId="125725"/>
</workbook>
</file>

<file path=xl/calcChain.xml><?xml version="1.0" encoding="utf-8"?>
<calcChain xmlns="http://schemas.openxmlformats.org/spreadsheetml/2006/main">
  <c r="D2" i="6"/>
  <c r="B2344" i="5"/>
  <c r="B2" i="6"/>
  <c r="E680" i="5"/>
  <c r="M146" i="7" s="1"/>
  <c r="D680" i="5"/>
  <c r="D1647"/>
  <c r="E1647" s="1"/>
  <c r="M329" i="7" s="1"/>
  <c r="D1425" i="5"/>
  <c r="E1425" s="1"/>
  <c r="M288" i="7" s="1"/>
  <c r="D1204" i="5"/>
  <c r="E1204" s="1"/>
  <c r="M246" i="7" s="1"/>
  <c r="D1055" i="5"/>
  <c r="E1055" s="1"/>
  <c r="M218" i="7" s="1"/>
  <c r="D982" i="5"/>
  <c r="E982" s="1"/>
  <c r="M204" i="7" s="1"/>
  <c r="D107" i="5"/>
  <c r="E107" s="1"/>
  <c r="M33" i="7" s="1"/>
  <c r="D31" i="5"/>
  <c r="E31" s="1"/>
  <c r="M16" i="7" s="1"/>
  <c r="D183" i="5"/>
  <c r="E183" s="1"/>
  <c r="M47" i="7" s="1"/>
  <c r="D185" i="5"/>
  <c r="E185" s="1"/>
  <c r="M49" i="7" s="1"/>
  <c r="D184" i="5"/>
  <c r="L354" i="7"/>
  <c r="L342"/>
  <c r="L329"/>
  <c r="L316"/>
  <c r="L302"/>
  <c r="L288"/>
  <c r="L274"/>
  <c r="L260"/>
  <c r="L246"/>
  <c r="L233"/>
  <c r="L218"/>
  <c r="L204"/>
  <c r="L189"/>
  <c r="L174"/>
  <c r="L160"/>
  <c r="L146"/>
  <c r="L132"/>
  <c r="L119"/>
  <c r="L105"/>
  <c r="L92"/>
  <c r="L78"/>
  <c r="L64"/>
  <c r="D1798" i="5"/>
  <c r="E1798" s="1"/>
  <c r="M352" i="7" s="1"/>
  <c r="D1722" i="5"/>
  <c r="E1722" s="1"/>
  <c r="M340" i="7" s="1"/>
  <c r="D1645" i="5"/>
  <c r="E1645" s="1"/>
  <c r="M327" i="7" s="1"/>
  <c r="D1572" i="5"/>
  <c r="E1572" s="1"/>
  <c r="M314" i="7" s="1"/>
  <c r="D1497" i="5"/>
  <c r="E1497" s="1"/>
  <c r="M300" i="7" s="1"/>
  <c r="D1423" i="5"/>
  <c r="E1423" s="1"/>
  <c r="M286" i="7" s="1"/>
  <c r="D1349" i="5"/>
  <c r="E1349" s="1"/>
  <c r="M272" i="7" s="1"/>
  <c r="D1275" i="5"/>
  <c r="E1275" s="1"/>
  <c r="M258" i="7" s="1"/>
  <c r="D1202" i="5"/>
  <c r="E1202" s="1"/>
  <c r="M244" i="7" s="1"/>
  <c r="D1130" i="5"/>
  <c r="E1130" s="1"/>
  <c r="M231" i="7" s="1"/>
  <c r="D1053" i="5"/>
  <c r="E1053" s="1"/>
  <c r="M216" i="7" s="1"/>
  <c r="D980" i="5"/>
  <c r="E980" s="1"/>
  <c r="M202" i="7" s="1"/>
  <c r="D902" i="5"/>
  <c r="E902" s="1"/>
  <c r="M187" i="7" s="1"/>
  <c r="D824" i="5"/>
  <c r="E824" s="1"/>
  <c r="M172" i="7" s="1"/>
  <c r="D751" i="5"/>
  <c r="E751" s="1"/>
  <c r="M158" i="7" s="1"/>
  <c r="D678" i="5"/>
  <c r="E678" s="1"/>
  <c r="M144" i="7" s="1"/>
  <c r="D605" i="5"/>
  <c r="E605" s="1"/>
  <c r="M130" i="7" s="1"/>
  <c r="D533" i="5"/>
  <c r="E533" s="1"/>
  <c r="M117" i="7" s="1"/>
  <c r="D459" i="5"/>
  <c r="E459" s="1"/>
  <c r="M103" i="7" s="1"/>
  <c r="D419" i="5"/>
  <c r="E419" s="1"/>
  <c r="M90" i="7" s="1"/>
  <c r="D381" i="5"/>
  <c r="E381" s="1"/>
  <c r="M76" i="7" s="1"/>
  <c r="D309" i="5"/>
  <c r="E309" s="1"/>
  <c r="M62" i="7" s="1"/>
  <c r="D105" i="5"/>
  <c r="E105" s="1"/>
  <c r="M31" i="7" s="1"/>
  <c r="B90"/>
  <c r="B91"/>
  <c r="B92"/>
  <c r="B93"/>
  <c r="B89"/>
  <c r="F409" i="5"/>
  <c r="G409" s="1"/>
  <c r="E91" i="7" s="1"/>
  <c r="F410" i="5"/>
  <c r="G410" s="1"/>
  <c r="E92" i="7" s="1"/>
  <c r="D409" i="5"/>
  <c r="E409" s="1"/>
  <c r="D91" i="7" s="1"/>
  <c r="D410" i="5"/>
  <c r="E410" s="1"/>
  <c r="D92" i="7" s="1"/>
  <c r="D1800" i="5"/>
  <c r="E1800" s="1"/>
  <c r="M354" i="7" s="1"/>
  <c r="D1724" i="5"/>
  <c r="E1724" s="1"/>
  <c r="M342" i="7" s="1"/>
  <c r="D1574" i="5"/>
  <c r="E1574" s="1"/>
  <c r="M316" i="7" s="1"/>
  <c r="D1499" i="5"/>
  <c r="E1499" s="1"/>
  <c r="M302" i="7" s="1"/>
  <c r="D1351" i="5"/>
  <c r="E1351" s="1"/>
  <c r="M274" i="7" s="1"/>
  <c r="D1277" i="5"/>
  <c r="E1277" s="1"/>
  <c r="M260" i="7" s="1"/>
  <c r="D1132" i="5"/>
  <c r="E1132" s="1"/>
  <c r="M233" i="7" s="1"/>
  <c r="D904" i="5"/>
  <c r="E904" s="1"/>
  <c r="M189" i="7" s="1"/>
  <c r="D826" i="5"/>
  <c r="E826" s="1"/>
  <c r="M174" i="7" s="1"/>
  <c r="D753" i="5"/>
  <c r="E753" s="1"/>
  <c r="M160" i="7" s="1"/>
  <c r="D607" i="5"/>
  <c r="E607" s="1"/>
  <c r="M132" i="7" s="1"/>
  <c r="D535" i="5"/>
  <c r="E535" s="1"/>
  <c r="M119" i="7" s="1"/>
  <c r="D461" i="5"/>
  <c r="E461" s="1"/>
  <c r="M105" i="7" s="1"/>
  <c r="D421" i="5"/>
  <c r="E421" s="1"/>
  <c r="M92" i="7" s="1"/>
  <c r="D383" i="5"/>
  <c r="E383" s="1"/>
  <c r="M78" i="7" s="1"/>
  <c r="D311" i="5"/>
  <c r="E311" s="1"/>
  <c r="M64" i="7" s="1"/>
  <c r="AE33" i="5"/>
  <c r="D33"/>
  <c r="E33" s="1"/>
  <c r="M18" i="7" s="1"/>
  <c r="B402" i="5" l="1"/>
  <c r="B85" i="7" s="1"/>
  <c r="D426" i="5"/>
  <c r="AE425"/>
  <c r="D425"/>
  <c r="E425" s="1"/>
  <c r="M96" i="7" s="1"/>
  <c r="AE424" i="5"/>
  <c r="D424"/>
  <c r="E424" s="1"/>
  <c r="M95" i="7" s="1"/>
  <c r="AE423" i="5"/>
  <c r="D423"/>
  <c r="E423" s="1"/>
  <c r="M94" i="7" s="1"/>
  <c r="AE422" i="5"/>
  <c r="D422"/>
  <c r="E422" s="1"/>
  <c r="M93" i="7" s="1"/>
  <c r="AE420" i="5"/>
  <c r="D420"/>
  <c r="E420" s="1"/>
  <c r="M91" i="7" s="1"/>
  <c r="AE418" i="5"/>
  <c r="D418"/>
  <c r="E418" s="1"/>
  <c r="M89" i="7" s="1"/>
  <c r="AE417" i="5"/>
  <c r="D417"/>
  <c r="E417" s="1"/>
  <c r="M88" i="7" s="1"/>
  <c r="AE416" i="5"/>
  <c r="D416"/>
  <c r="E416" s="1"/>
  <c r="M87" i="7" s="1"/>
  <c r="AE415" i="5"/>
  <c r="D415"/>
  <c r="E415" s="1"/>
  <c r="M86" i="7" s="1"/>
  <c r="AQ411" i="5"/>
  <c r="AO411"/>
  <c r="AM411"/>
  <c r="AK411"/>
  <c r="AI411"/>
  <c r="F411"/>
  <c r="G411" s="1"/>
  <c r="E93" i="7" s="1"/>
  <c r="D411" i="5"/>
  <c r="E411" s="1"/>
  <c r="D93" i="7" s="1"/>
  <c r="AQ408" i="5"/>
  <c r="AO408"/>
  <c r="AM408"/>
  <c r="AK408"/>
  <c r="AI408"/>
  <c r="F408"/>
  <c r="G408" s="1"/>
  <c r="E90" i="7" s="1"/>
  <c r="D408" i="5"/>
  <c r="E408" s="1"/>
  <c r="D90" i="7" s="1"/>
  <c r="AQ407" i="5"/>
  <c r="AO407"/>
  <c r="AM407"/>
  <c r="AK407"/>
  <c r="AI407"/>
  <c r="F407"/>
  <c r="G407" s="1"/>
  <c r="E89" i="7" s="1"/>
  <c r="D407" i="5"/>
  <c r="E407" s="1"/>
  <c r="D89" i="7" s="1"/>
  <c r="AH405" i="5"/>
  <c r="AG405"/>
  <c r="AF405"/>
  <c r="AE405"/>
  <c r="C13" i="6"/>
  <c r="C14"/>
  <c r="D1051" i="5" l="1"/>
  <c r="E1051" s="1"/>
  <c r="M214" i="7" s="1"/>
  <c r="D749" i="5"/>
  <c r="E749" s="1"/>
  <c r="M156" i="7" s="1"/>
  <c r="D1273" i="5"/>
  <c r="E1273" s="1"/>
  <c r="M256" i="7" s="1"/>
  <c r="D1347" i="5"/>
  <c r="E1347" s="1"/>
  <c r="M270" i="7" s="1"/>
  <c r="D822" i="5"/>
  <c r="E822" s="1"/>
  <c r="M170" i="7" s="1"/>
  <c r="D900" i="5"/>
  <c r="E900" s="1"/>
  <c r="M185" i="7" s="1"/>
  <c r="D978" i="5"/>
  <c r="E978" s="1"/>
  <c r="M200" i="7" s="1"/>
  <c r="D1937" i="5"/>
  <c r="E1937" s="1"/>
  <c r="M372" i="7" s="1"/>
  <c r="D1128" i="5"/>
  <c r="E1128" s="1"/>
  <c r="M229" i="7" s="1"/>
  <c r="D676" i="5"/>
  <c r="E676" s="1"/>
  <c r="M142" i="7" s="1"/>
  <c r="D531" i="5"/>
  <c r="E531" s="1"/>
  <c r="M115" i="7" s="1"/>
  <c r="AO2188" i="5" l="1"/>
  <c r="AO2189"/>
  <c r="AO2190"/>
  <c r="AO2191"/>
  <c r="AO2192"/>
  <c r="AO2193"/>
  <c r="AO2194"/>
  <c r="AO2195"/>
  <c r="AO2196"/>
  <c r="AO2187"/>
  <c r="AI1338"/>
  <c r="AQ2458" l="1"/>
  <c r="AO2458"/>
  <c r="AM2458"/>
  <c r="AK2458"/>
  <c r="AI2458"/>
  <c r="AE2535"/>
  <c r="AE2536"/>
  <c r="AE2537"/>
  <c r="AE2538"/>
  <c r="AE2534"/>
  <c r="AE2474"/>
  <c r="AE2475"/>
  <c r="AE2476"/>
  <c r="AE2477"/>
  <c r="AE2478"/>
  <c r="AE2479"/>
  <c r="AE2480"/>
  <c r="AE2473"/>
  <c r="AD2482"/>
  <c r="AE2482" s="1"/>
  <c r="AQ2461"/>
  <c r="AQ2462"/>
  <c r="AQ2463"/>
  <c r="AQ2464"/>
  <c r="AQ2465"/>
  <c r="AQ2466"/>
  <c r="AQ2467"/>
  <c r="AQ2468"/>
  <c r="AQ2469"/>
  <c r="AQ2460"/>
  <c r="AO2461"/>
  <c r="AO2462"/>
  <c r="AO2463"/>
  <c r="AO2464"/>
  <c r="AO2465"/>
  <c r="AO2466"/>
  <c r="AO2467"/>
  <c r="AO2468"/>
  <c r="AO2469"/>
  <c r="AO2460"/>
  <c r="AM2461"/>
  <c r="AM2462"/>
  <c r="AM2463"/>
  <c r="AM2464"/>
  <c r="AM2465"/>
  <c r="AM2466"/>
  <c r="AM2467"/>
  <c r="AM2468"/>
  <c r="AM2469"/>
  <c r="AM2460"/>
  <c r="AK2461"/>
  <c r="AK2462"/>
  <c r="AK2463"/>
  <c r="AK2464"/>
  <c r="AK2465"/>
  <c r="AK2466"/>
  <c r="AK2467"/>
  <c r="AK2468"/>
  <c r="AK2469"/>
  <c r="AK2460"/>
  <c r="AI2461"/>
  <c r="AI2462"/>
  <c r="AI2463"/>
  <c r="AI2464"/>
  <c r="AI2465"/>
  <c r="AI2466"/>
  <c r="AI2467"/>
  <c r="AI2468"/>
  <c r="AI2469"/>
  <c r="AI2460"/>
  <c r="AQ2400"/>
  <c r="AQ2399"/>
  <c r="AO2400"/>
  <c r="AO2399"/>
  <c r="AM2400"/>
  <c r="AM2399"/>
  <c r="AK2400"/>
  <c r="AK2399"/>
  <c r="AI2400"/>
  <c r="AI2399"/>
  <c r="AW2421"/>
  <c r="AU2421"/>
  <c r="AV2421" s="1"/>
  <c r="AS2421"/>
  <c r="AT2421" s="1"/>
  <c r="AQ2421"/>
  <c r="AR2421" s="1"/>
  <c r="AO2421"/>
  <c r="AP2421" s="1"/>
  <c r="AM2421"/>
  <c r="AN2421" s="1"/>
  <c r="AK2421"/>
  <c r="AL2421" s="1"/>
  <c r="AI2421"/>
  <c r="AJ2421" s="1"/>
  <c r="AG2421"/>
  <c r="AH2421" s="1"/>
  <c r="AW2420"/>
  <c r="AU2420"/>
  <c r="AV2420" s="1"/>
  <c r="AS2420"/>
  <c r="AT2420" s="1"/>
  <c r="AQ2420"/>
  <c r="AR2420" s="1"/>
  <c r="AO2420"/>
  <c r="AP2420" s="1"/>
  <c r="AM2420"/>
  <c r="AN2420" s="1"/>
  <c r="AK2420"/>
  <c r="AL2420" s="1"/>
  <c r="AI2420"/>
  <c r="AJ2420" s="1"/>
  <c r="AG2420"/>
  <c r="AH2420" s="1"/>
  <c r="AW2419"/>
  <c r="AU2419"/>
  <c r="AV2419" s="1"/>
  <c r="AS2419"/>
  <c r="AT2419" s="1"/>
  <c r="AQ2419"/>
  <c r="AR2419" s="1"/>
  <c r="AO2419"/>
  <c r="AP2419" s="1"/>
  <c r="AM2419"/>
  <c r="AN2419" s="1"/>
  <c r="AK2419"/>
  <c r="AL2419" s="1"/>
  <c r="AI2419"/>
  <c r="AJ2419" s="1"/>
  <c r="AG2419"/>
  <c r="AH2419" s="1"/>
  <c r="AW2418"/>
  <c r="AU2418"/>
  <c r="AV2418" s="1"/>
  <c r="AS2418"/>
  <c r="AT2418" s="1"/>
  <c r="AQ2418"/>
  <c r="AR2418" s="1"/>
  <c r="AO2418"/>
  <c r="AP2418" s="1"/>
  <c r="AM2418"/>
  <c r="AN2418" s="1"/>
  <c r="AK2418"/>
  <c r="AL2418" s="1"/>
  <c r="AI2418"/>
  <c r="AJ2418" s="1"/>
  <c r="AG2418"/>
  <c r="AH2418" s="1"/>
  <c r="AW2417"/>
  <c r="AU2417"/>
  <c r="AV2417" s="1"/>
  <c r="AS2417"/>
  <c r="AT2417" s="1"/>
  <c r="AQ2417"/>
  <c r="AR2417" s="1"/>
  <c r="AO2417"/>
  <c r="AP2417" s="1"/>
  <c r="AM2417"/>
  <c r="AN2417" s="1"/>
  <c r="AK2417"/>
  <c r="AL2417" s="1"/>
  <c r="AI2417"/>
  <c r="AJ2417" s="1"/>
  <c r="AG2417"/>
  <c r="AH2417" s="1"/>
  <c r="AW2416"/>
  <c r="AU2416"/>
  <c r="AV2416" s="1"/>
  <c r="AS2416"/>
  <c r="AT2416" s="1"/>
  <c r="AQ2416"/>
  <c r="AR2416" s="1"/>
  <c r="AO2416"/>
  <c r="AP2416" s="1"/>
  <c r="AM2416"/>
  <c r="AN2416" s="1"/>
  <c r="AK2416"/>
  <c r="AL2416" s="1"/>
  <c r="AI2416"/>
  <c r="AJ2416" s="1"/>
  <c r="AG2416"/>
  <c r="AH2416" s="1"/>
  <c r="AW2415"/>
  <c r="AU2415"/>
  <c r="AV2415" s="1"/>
  <c r="AS2415"/>
  <c r="AT2415" s="1"/>
  <c r="AQ2415"/>
  <c r="AR2415" s="1"/>
  <c r="AO2415"/>
  <c r="AP2415" s="1"/>
  <c r="AM2415"/>
  <c r="AN2415" s="1"/>
  <c r="AK2415"/>
  <c r="AL2415" s="1"/>
  <c r="AI2415"/>
  <c r="AJ2415" s="1"/>
  <c r="AG2415"/>
  <c r="AH2415" s="1"/>
  <c r="AW2414"/>
  <c r="AU2414"/>
  <c r="AV2414" s="1"/>
  <c r="AS2414"/>
  <c r="AT2414" s="1"/>
  <c r="AQ2414"/>
  <c r="AR2414" s="1"/>
  <c r="AO2414"/>
  <c r="AP2414" s="1"/>
  <c r="AM2414"/>
  <c r="AN2414" s="1"/>
  <c r="AK2414"/>
  <c r="AL2414" s="1"/>
  <c r="AI2414"/>
  <c r="AJ2414" s="1"/>
  <c r="AG2414"/>
  <c r="AH2414" s="1"/>
  <c r="AW2413"/>
  <c r="AU2413"/>
  <c r="AV2413" s="1"/>
  <c r="AS2413"/>
  <c r="AT2413" s="1"/>
  <c r="AQ2413"/>
  <c r="AR2413" s="1"/>
  <c r="AO2413"/>
  <c r="AP2413" s="1"/>
  <c r="AM2413"/>
  <c r="AN2413" s="1"/>
  <c r="AK2413"/>
  <c r="AL2413" s="1"/>
  <c r="AI2413"/>
  <c r="AJ2413" s="1"/>
  <c r="AG2413"/>
  <c r="AH2413" s="1"/>
  <c r="AW2412"/>
  <c r="AU2412"/>
  <c r="AV2412" s="1"/>
  <c r="AS2412"/>
  <c r="AT2412" s="1"/>
  <c r="AQ2412"/>
  <c r="AR2412" s="1"/>
  <c r="AO2412"/>
  <c r="AP2412" s="1"/>
  <c r="AM2412"/>
  <c r="AN2412" s="1"/>
  <c r="AK2412"/>
  <c r="AL2412" s="1"/>
  <c r="AI2412"/>
  <c r="AJ2412" s="1"/>
  <c r="AG2412"/>
  <c r="AH2412" s="1"/>
  <c r="AW2340"/>
  <c r="AV2340"/>
  <c r="AS2340"/>
  <c r="AT2340" s="1"/>
  <c r="AR2340"/>
  <c r="AO2340"/>
  <c r="AP2340" s="1"/>
  <c r="AN2340"/>
  <c r="AW2339"/>
  <c r="AV2339"/>
  <c r="AS2339"/>
  <c r="AT2339" s="1"/>
  <c r="AR2339"/>
  <c r="AO2339"/>
  <c r="AP2339" s="1"/>
  <c r="AN2339"/>
  <c r="AW2338"/>
  <c r="AV2338"/>
  <c r="AS2338"/>
  <c r="AT2338" s="1"/>
  <c r="AR2338"/>
  <c r="AO2338"/>
  <c r="AP2338" s="1"/>
  <c r="AN2338"/>
  <c r="AW2336"/>
  <c r="AV2336"/>
  <c r="AS2336"/>
  <c r="AT2336" s="1"/>
  <c r="AR2336"/>
  <c r="AO2336"/>
  <c r="AP2336" s="1"/>
  <c r="AN2336"/>
  <c r="AW2335"/>
  <c r="AV2335"/>
  <c r="AS2335"/>
  <c r="AT2335" s="1"/>
  <c r="AR2335"/>
  <c r="AO2335"/>
  <c r="AP2335" s="1"/>
  <c r="AN2335"/>
  <c r="AW2334"/>
  <c r="AV2334"/>
  <c r="AS2334"/>
  <c r="AT2334" s="1"/>
  <c r="AR2334"/>
  <c r="AO2334"/>
  <c r="AP2334" s="1"/>
  <c r="AN2334"/>
  <c r="AW2333"/>
  <c r="AV2333"/>
  <c r="AS2333"/>
  <c r="AT2333" s="1"/>
  <c r="AR2333"/>
  <c r="AO2333"/>
  <c r="AP2333" s="1"/>
  <c r="AN2333"/>
  <c r="AW2332"/>
  <c r="AV2332"/>
  <c r="AS2332"/>
  <c r="AT2332" s="1"/>
  <c r="AR2332"/>
  <c r="AO2332"/>
  <c r="AP2332" s="1"/>
  <c r="AN2332"/>
  <c r="AW2331"/>
  <c r="AV2331"/>
  <c r="AS2331"/>
  <c r="AT2331" s="1"/>
  <c r="AR2331"/>
  <c r="AO2331"/>
  <c r="AP2331" s="1"/>
  <c r="AN2331"/>
  <c r="AW2330"/>
  <c r="AV2330"/>
  <c r="AS2330"/>
  <c r="AT2330" s="1"/>
  <c r="AR2330"/>
  <c r="AO2330"/>
  <c r="AP2330" s="1"/>
  <c r="AN2330"/>
  <c r="AW2329"/>
  <c r="AV2329"/>
  <c r="AS2329"/>
  <c r="AT2329" s="1"/>
  <c r="AR2329"/>
  <c r="AO2329"/>
  <c r="AP2329" s="1"/>
  <c r="AN2329"/>
  <c r="AW2328"/>
  <c r="AV2328"/>
  <c r="AS2328"/>
  <c r="AT2328" s="1"/>
  <c r="AR2328"/>
  <c r="AO2328"/>
  <c r="AP2328" s="1"/>
  <c r="AN2328"/>
  <c r="AW2327"/>
  <c r="AV2327"/>
  <c r="AS2327"/>
  <c r="AT2327" s="1"/>
  <c r="AR2327"/>
  <c r="AO2327"/>
  <c r="AP2327" s="1"/>
  <c r="AN2327"/>
  <c r="AV2268"/>
  <c r="AT2268"/>
  <c r="AR2268"/>
  <c r="AP2268"/>
  <c r="AN2268"/>
  <c r="AV2267"/>
  <c r="AT2267"/>
  <c r="AR2267"/>
  <c r="AP2267"/>
  <c r="AN2267"/>
  <c r="AV2266"/>
  <c r="AT2266"/>
  <c r="AR2266"/>
  <c r="AP2266"/>
  <c r="AN2266"/>
  <c r="AV2265"/>
  <c r="AT2265"/>
  <c r="AR2265"/>
  <c r="AP2265"/>
  <c r="AN2265"/>
  <c r="AV2264"/>
  <c r="AT2264"/>
  <c r="AR2264"/>
  <c r="AP2264"/>
  <c r="AN2264"/>
  <c r="AV2263"/>
  <c r="AT2263"/>
  <c r="AR2263"/>
  <c r="AP2263"/>
  <c r="AN2263"/>
  <c r="AV2262"/>
  <c r="AT2262"/>
  <c r="AR2262"/>
  <c r="AP2262"/>
  <c r="AN2262"/>
  <c r="AV2261"/>
  <c r="AT2261"/>
  <c r="AR2261"/>
  <c r="AP2261"/>
  <c r="AN2261"/>
  <c r="AV2260"/>
  <c r="AT2260"/>
  <c r="AR2260"/>
  <c r="AP2260"/>
  <c r="AN2260"/>
  <c r="AV2259"/>
  <c r="AT2259"/>
  <c r="AR2259"/>
  <c r="AP2259"/>
  <c r="AN2259"/>
  <c r="AW2221"/>
  <c r="AU2221"/>
  <c r="AV2221" s="1"/>
  <c r="AS2221"/>
  <c r="AT2221" s="1"/>
  <c r="AQ2221"/>
  <c r="AR2221" s="1"/>
  <c r="AO2221"/>
  <c r="AP2221" s="1"/>
  <c r="AM2221"/>
  <c r="AN2221" s="1"/>
  <c r="AW2220"/>
  <c r="AU2220"/>
  <c r="AV2220" s="1"/>
  <c r="AS2220"/>
  <c r="AT2220" s="1"/>
  <c r="AQ2220"/>
  <c r="AR2220" s="1"/>
  <c r="AO2220"/>
  <c r="AP2220" s="1"/>
  <c r="AM2220"/>
  <c r="AN2220" s="1"/>
  <c r="AW2219"/>
  <c r="AU2219"/>
  <c r="AV2219" s="1"/>
  <c r="AS2219"/>
  <c r="AT2219" s="1"/>
  <c r="AQ2219"/>
  <c r="AR2219" s="1"/>
  <c r="AO2219"/>
  <c r="AP2219" s="1"/>
  <c r="AM2219"/>
  <c r="AN2219" s="1"/>
  <c r="AW2218"/>
  <c r="AU2218"/>
  <c r="AV2218" s="1"/>
  <c r="AS2218"/>
  <c r="AT2218" s="1"/>
  <c r="AQ2218"/>
  <c r="AR2218" s="1"/>
  <c r="AO2218"/>
  <c r="AP2218" s="1"/>
  <c r="AM2218"/>
  <c r="AN2218" s="1"/>
  <c r="AW2217"/>
  <c r="AU2217"/>
  <c r="AV2217" s="1"/>
  <c r="AS2217"/>
  <c r="AT2217" s="1"/>
  <c r="AQ2217"/>
  <c r="AR2217" s="1"/>
  <c r="AO2217"/>
  <c r="AP2217" s="1"/>
  <c r="AM2217"/>
  <c r="AN2217" s="1"/>
  <c r="AW2216"/>
  <c r="AU2216"/>
  <c r="AV2216" s="1"/>
  <c r="AS2216"/>
  <c r="AT2216" s="1"/>
  <c r="AQ2216"/>
  <c r="AR2216" s="1"/>
  <c r="AO2216"/>
  <c r="AP2216" s="1"/>
  <c r="AM2216"/>
  <c r="AN2216" s="1"/>
  <c r="AW2215"/>
  <c r="AU2215"/>
  <c r="AV2215" s="1"/>
  <c r="AS2215"/>
  <c r="AT2215" s="1"/>
  <c r="AQ2215"/>
  <c r="AR2215" s="1"/>
  <c r="AO2215"/>
  <c r="AP2215" s="1"/>
  <c r="AM2215"/>
  <c r="AN2215" s="1"/>
  <c r="AW2214"/>
  <c r="AU2214"/>
  <c r="AV2214" s="1"/>
  <c r="AS2214"/>
  <c r="AT2214" s="1"/>
  <c r="AQ2214"/>
  <c r="AR2214" s="1"/>
  <c r="AO2214"/>
  <c r="AP2214" s="1"/>
  <c r="AM2214"/>
  <c r="AN2214" s="1"/>
  <c r="AW2213"/>
  <c r="AU2213"/>
  <c r="AV2213" s="1"/>
  <c r="AS2213"/>
  <c r="AT2213" s="1"/>
  <c r="AQ2213"/>
  <c r="AR2213" s="1"/>
  <c r="AO2213"/>
  <c r="AP2213" s="1"/>
  <c r="AM2213"/>
  <c r="AN2213" s="1"/>
  <c r="AW2212"/>
  <c r="AU2212"/>
  <c r="AV2212" s="1"/>
  <c r="AS2212"/>
  <c r="AT2212" s="1"/>
  <c r="AQ2212"/>
  <c r="AR2212" s="1"/>
  <c r="AO2212"/>
  <c r="AP2212" s="1"/>
  <c r="AM2212"/>
  <c r="AN2212" s="1"/>
  <c r="AV2200"/>
  <c r="AT2200"/>
  <c r="AR2200"/>
  <c r="AP2200"/>
  <c r="AN2200"/>
  <c r="AV2199"/>
  <c r="AT2199"/>
  <c r="AR2199"/>
  <c r="AP2199"/>
  <c r="AN2199"/>
  <c r="AV2198"/>
  <c r="AT2198"/>
  <c r="AR2198"/>
  <c r="AP2198"/>
  <c r="AN2198"/>
  <c r="AV2188"/>
  <c r="AV2189"/>
  <c r="AV2190"/>
  <c r="AV2191"/>
  <c r="AV2192"/>
  <c r="AV2193"/>
  <c r="AV2194"/>
  <c r="AV2195"/>
  <c r="AV2196"/>
  <c r="AV2187"/>
  <c r="AT2188"/>
  <c r="AT2189"/>
  <c r="AT2190"/>
  <c r="AT2191"/>
  <c r="AT2192"/>
  <c r="AT2193"/>
  <c r="AT2194"/>
  <c r="AT2195"/>
  <c r="AT2196"/>
  <c r="AT2187"/>
  <c r="AR2188"/>
  <c r="AR2189"/>
  <c r="AR2190"/>
  <c r="AR2191"/>
  <c r="AR2192"/>
  <c r="AR2193"/>
  <c r="AR2194"/>
  <c r="AR2195"/>
  <c r="AR2196"/>
  <c r="AR2187"/>
  <c r="AP2188"/>
  <c r="AP2189"/>
  <c r="AP2190"/>
  <c r="AP2191"/>
  <c r="AP2192"/>
  <c r="AP2193"/>
  <c r="AP2194"/>
  <c r="AP2195"/>
  <c r="AP2196"/>
  <c r="AP2187"/>
  <c r="AN2188"/>
  <c r="AN2189"/>
  <c r="AN2190"/>
  <c r="AN2191"/>
  <c r="AN2192"/>
  <c r="AN2193"/>
  <c r="AN2194"/>
  <c r="AN2195"/>
  <c r="AN2196"/>
  <c r="AN2187"/>
  <c r="AE2132"/>
  <c r="AE2131"/>
  <c r="AP2127"/>
  <c r="AN2127"/>
  <c r="AV2127"/>
  <c r="AT2127"/>
  <c r="AR2127"/>
  <c r="AP2125"/>
  <c r="AV2126"/>
  <c r="AT2126"/>
  <c r="AR2126"/>
  <c r="AP2126"/>
  <c r="AN2126"/>
  <c r="AV2125"/>
  <c r="AT2125"/>
  <c r="AR2125"/>
  <c r="AN2125"/>
  <c r="AP2122"/>
  <c r="AV2123"/>
  <c r="AT2123"/>
  <c r="AR2123"/>
  <c r="AP2123"/>
  <c r="AN2123"/>
  <c r="AV2122"/>
  <c r="AT2122"/>
  <c r="AR2122"/>
  <c r="AN2122"/>
  <c r="AV2120"/>
  <c r="AV2119"/>
  <c r="AT2120"/>
  <c r="AT2119"/>
  <c r="AR2120"/>
  <c r="AR2119"/>
  <c r="AP2120"/>
  <c r="AP2119"/>
  <c r="AN2119"/>
  <c r="AN2120"/>
  <c r="AK2060"/>
  <c r="AQ2060"/>
  <c r="AM2060"/>
  <c r="AO2060"/>
  <c r="AI2060"/>
  <c r="AE2001"/>
  <c r="AE2002"/>
  <c r="AE2003"/>
  <c r="AE2004"/>
  <c r="AE2005"/>
  <c r="AE2000"/>
  <c r="AK1996"/>
  <c r="AK1995"/>
  <c r="AI1996"/>
  <c r="AI1995"/>
  <c r="AG1996"/>
  <c r="AG1995"/>
  <c r="AE1988"/>
  <c r="AF1988" s="1"/>
  <c r="AE1938"/>
  <c r="AE1939"/>
  <c r="AE1936"/>
  <c r="AQ1929"/>
  <c r="AQ1930"/>
  <c r="AQ1931"/>
  <c r="AQ1932"/>
  <c r="AQ1928"/>
  <c r="AO1929"/>
  <c r="AO1930"/>
  <c r="AO1931"/>
  <c r="AO1932"/>
  <c r="AO1928"/>
  <c r="AM1929"/>
  <c r="AM1930"/>
  <c r="AM1931"/>
  <c r="AM1932"/>
  <c r="AM1928"/>
  <c r="AK1929"/>
  <c r="AK1930"/>
  <c r="AK1931"/>
  <c r="AK1932"/>
  <c r="AK1928"/>
  <c r="AI1929"/>
  <c r="AI1930"/>
  <c r="AI1931"/>
  <c r="AI1932"/>
  <c r="AI1928"/>
  <c r="AE1869"/>
  <c r="AE1870"/>
  <c r="AE1871"/>
  <c r="AE1872"/>
  <c r="AE1873"/>
  <c r="AE1868"/>
  <c r="AE1855"/>
  <c r="AF1855" s="1"/>
  <c r="AE1861"/>
  <c r="AE1862"/>
  <c r="AE1863"/>
  <c r="AE1864"/>
  <c r="AE1860"/>
  <c r="AE1796"/>
  <c r="AE1799"/>
  <c r="AE1802"/>
  <c r="AE1797"/>
  <c r="AE1801"/>
  <c r="AE1803"/>
  <c r="AE1795"/>
  <c r="AN1786"/>
  <c r="AN1787"/>
  <c r="AN1788"/>
  <c r="AN1789"/>
  <c r="AN1790"/>
  <c r="AN1791"/>
  <c r="AN1785"/>
  <c r="AL1786"/>
  <c r="AL1787"/>
  <c r="AL1788"/>
  <c r="AL1789"/>
  <c r="AL1790"/>
  <c r="AL1791"/>
  <c r="AL1785"/>
  <c r="AJ1786"/>
  <c r="AJ1787"/>
  <c r="AJ1788"/>
  <c r="AJ1789"/>
  <c r="AJ1790"/>
  <c r="AJ1791"/>
  <c r="AJ1785"/>
  <c r="AH1786"/>
  <c r="AH1787"/>
  <c r="AH1788"/>
  <c r="AH1789"/>
  <c r="AH1790"/>
  <c r="AH1791"/>
  <c r="AH1785"/>
  <c r="AD1728"/>
  <c r="AE1728" s="1"/>
  <c r="AE1719"/>
  <c r="AE1720"/>
  <c r="AE1721"/>
  <c r="AE1723"/>
  <c r="AE1725"/>
  <c r="AE1726"/>
  <c r="AE1727"/>
  <c r="AE1729"/>
  <c r="AE1718"/>
  <c r="AL1708"/>
  <c r="AL1711"/>
  <c r="AN1709"/>
  <c r="AN1710"/>
  <c r="AN1711"/>
  <c r="AN1712"/>
  <c r="AN1713"/>
  <c r="AN1714"/>
  <c r="AN1708"/>
  <c r="AL1709"/>
  <c r="AL1710"/>
  <c r="AL1712"/>
  <c r="AL1713"/>
  <c r="AL1714"/>
  <c r="AJ1709"/>
  <c r="AJ1710"/>
  <c r="AJ1711"/>
  <c r="AJ1712"/>
  <c r="AJ1713"/>
  <c r="AJ1714"/>
  <c r="AJ1708"/>
  <c r="AH1709"/>
  <c r="AH1710"/>
  <c r="AH1711"/>
  <c r="AH1712"/>
  <c r="AH1713"/>
  <c r="AH1714"/>
  <c r="AH1708"/>
  <c r="AE1702"/>
  <c r="AF1702" s="1"/>
  <c r="AC1651"/>
  <c r="AD1651" s="1"/>
  <c r="AE1651" s="1"/>
  <c r="AC1643"/>
  <c r="AD1643" s="1"/>
  <c r="AE1643" s="1"/>
  <c r="AC1642"/>
  <c r="AD1642" s="1"/>
  <c r="AE1642" s="1"/>
  <c r="AE1644"/>
  <c r="AE1646"/>
  <c r="AE1648"/>
  <c r="AE1649"/>
  <c r="AE1650"/>
  <c r="AE1652"/>
  <c r="AE1641"/>
  <c r="AG1635"/>
  <c r="AH1632"/>
  <c r="AK1636"/>
  <c r="AK1637"/>
  <c r="AK1635"/>
  <c r="AI1635"/>
  <c r="AI1636"/>
  <c r="AI1637"/>
  <c r="AN1632"/>
  <c r="AM1632"/>
  <c r="AG1636"/>
  <c r="AG1637"/>
  <c r="AQ1561"/>
  <c r="AQ1562"/>
  <c r="AQ1563"/>
  <c r="AQ1560"/>
  <c r="AO1561"/>
  <c r="AO1562"/>
  <c r="AO1563"/>
  <c r="AO1560"/>
  <c r="AM1561"/>
  <c r="AM1562"/>
  <c r="AM1563"/>
  <c r="AM1560"/>
  <c r="AK1561"/>
  <c r="AK1562"/>
  <c r="AK1563"/>
  <c r="AK1560"/>
  <c r="AI1561"/>
  <c r="AI1562"/>
  <c r="AI1563"/>
  <c r="AI1560"/>
  <c r="AG1555"/>
  <c r="AH1555" s="1"/>
  <c r="AQ1487"/>
  <c r="AQ1488"/>
  <c r="AQ1486"/>
  <c r="AO1487"/>
  <c r="AO1488"/>
  <c r="AO1486"/>
  <c r="AM1487"/>
  <c r="AM1488"/>
  <c r="AM1486"/>
  <c r="AK1487"/>
  <c r="AK1488"/>
  <c r="AK1486"/>
  <c r="AI1487"/>
  <c r="AI1488"/>
  <c r="AI1486"/>
  <c r="AQ1413"/>
  <c r="AQ1414"/>
  <c r="AQ1412"/>
  <c r="AO1413"/>
  <c r="AO1414"/>
  <c r="AO1412"/>
  <c r="AM1413"/>
  <c r="AM1414"/>
  <c r="AM1412"/>
  <c r="AK1413"/>
  <c r="AK1414"/>
  <c r="AK1412"/>
  <c r="AI1413"/>
  <c r="AI1414"/>
  <c r="AI1412"/>
  <c r="AG1407"/>
  <c r="AH1407" s="1"/>
  <c r="AQ1339"/>
  <c r="AQ1340"/>
  <c r="AQ1338"/>
  <c r="AO1339"/>
  <c r="AO1340"/>
  <c r="AO1338"/>
  <c r="AM1339"/>
  <c r="AM1340"/>
  <c r="AM1338"/>
  <c r="AK1339"/>
  <c r="AK1340"/>
  <c r="AK1338"/>
  <c r="AI1339"/>
  <c r="AI1340"/>
  <c r="AG1328"/>
  <c r="AH1328" s="1"/>
  <c r="AQ1266"/>
  <c r="AQ1265"/>
  <c r="AO1266"/>
  <c r="AO1265"/>
  <c r="AM1266"/>
  <c r="AM1265"/>
  <c r="AK1266"/>
  <c r="AK1265"/>
  <c r="AI1266"/>
  <c r="AI1265"/>
  <c r="AQ1194"/>
  <c r="AQ1193"/>
  <c r="AO1194"/>
  <c r="AO1193"/>
  <c r="AM1194"/>
  <c r="AM1193"/>
  <c r="AK1194"/>
  <c r="AK1193"/>
  <c r="AI1194"/>
  <c r="AI1193"/>
  <c r="AQ1117"/>
  <c r="AQ1118"/>
  <c r="AQ1119"/>
  <c r="AQ1120"/>
  <c r="AQ1116"/>
  <c r="AO1117"/>
  <c r="AO1118"/>
  <c r="AO1119"/>
  <c r="AO1120"/>
  <c r="AO1116"/>
  <c r="AM1117"/>
  <c r="AM1118"/>
  <c r="AM1119"/>
  <c r="AM1120"/>
  <c r="AM1116"/>
  <c r="AI1117"/>
  <c r="AI1119"/>
  <c r="AK1117"/>
  <c r="AK1118"/>
  <c r="AK1119"/>
  <c r="AK1120"/>
  <c r="AK1116"/>
  <c r="AI1118"/>
  <c r="AI1120"/>
  <c r="AI1116"/>
  <c r="AE1049"/>
  <c r="AE1052"/>
  <c r="AE1056"/>
  <c r="AE1058"/>
  <c r="AE1050"/>
  <c r="AE1054"/>
  <c r="AE1057"/>
  <c r="AE1059"/>
  <c r="AE1048"/>
  <c r="AQ1044"/>
  <c r="AQ1043"/>
  <c r="AO1044"/>
  <c r="AO1043"/>
  <c r="AM1044"/>
  <c r="AM1043"/>
  <c r="AK1044"/>
  <c r="AK1043"/>
  <c r="AI1044"/>
  <c r="AI1043"/>
  <c r="AF1037"/>
  <c r="AG1037" s="1"/>
  <c r="AM966"/>
  <c r="AK968"/>
  <c r="AQ966"/>
  <c r="AQ967"/>
  <c r="AQ968"/>
  <c r="AQ969"/>
  <c r="AQ970"/>
  <c r="AQ965"/>
  <c r="AO966"/>
  <c r="AO967"/>
  <c r="AO968"/>
  <c r="AO969"/>
  <c r="AO970"/>
  <c r="AO965"/>
  <c r="AM967"/>
  <c r="AM968"/>
  <c r="AM969"/>
  <c r="AM970"/>
  <c r="AM965"/>
  <c r="AK966"/>
  <c r="AK967"/>
  <c r="AK969"/>
  <c r="AK970"/>
  <c r="AK965"/>
  <c r="AI966"/>
  <c r="AI967"/>
  <c r="AI968"/>
  <c r="AI969"/>
  <c r="AI970"/>
  <c r="AI965"/>
  <c r="AE960"/>
  <c r="AF960" s="1"/>
  <c r="AE897"/>
  <c r="AE898"/>
  <c r="AE899"/>
  <c r="AE901"/>
  <c r="AE903"/>
  <c r="AE905"/>
  <c r="AE906"/>
  <c r="AE907"/>
  <c r="AE908"/>
  <c r="AE896"/>
  <c r="AQ888"/>
  <c r="AQ889"/>
  <c r="AQ890"/>
  <c r="AQ891"/>
  <c r="AQ892"/>
  <c r="AQ887"/>
  <c r="AO888"/>
  <c r="AO889"/>
  <c r="AO890"/>
  <c r="AO891"/>
  <c r="AO892"/>
  <c r="AO887"/>
  <c r="AM888"/>
  <c r="AM889"/>
  <c r="AM890"/>
  <c r="AM891"/>
  <c r="AM892"/>
  <c r="AM887"/>
  <c r="AK888"/>
  <c r="AK889"/>
  <c r="AK890"/>
  <c r="AK892"/>
  <c r="AK887"/>
  <c r="AK891"/>
  <c r="AI888"/>
  <c r="AI889"/>
  <c r="AI890"/>
  <c r="AI891"/>
  <c r="AI892"/>
  <c r="AI887"/>
  <c r="AQ815"/>
  <c r="AQ814"/>
  <c r="AO815"/>
  <c r="AO814"/>
  <c r="AM815"/>
  <c r="AM814"/>
  <c r="AK815"/>
  <c r="AK814"/>
  <c r="AI815"/>
  <c r="AI814"/>
  <c r="AH803"/>
  <c r="AI803" s="1"/>
  <c r="AQ742"/>
  <c r="AQ741"/>
  <c r="AN742"/>
  <c r="AO742" s="1"/>
  <c r="AN741"/>
  <c r="AO741" s="1"/>
  <c r="AM742"/>
  <c r="AM741"/>
  <c r="AK742"/>
  <c r="AK741"/>
  <c r="AI742"/>
  <c r="AI741"/>
  <c r="AQ669"/>
  <c r="AQ668"/>
  <c r="AO669"/>
  <c r="AO668"/>
  <c r="AM669"/>
  <c r="AM668"/>
  <c r="AK669"/>
  <c r="AK668"/>
  <c r="AI669"/>
  <c r="AI668"/>
  <c r="AE674"/>
  <c r="AE675"/>
  <c r="AE677"/>
  <c r="AE679"/>
  <c r="AE681"/>
  <c r="AE682"/>
  <c r="AE683"/>
  <c r="AE684"/>
  <c r="AE673"/>
  <c r="AE601"/>
  <c r="AQ597"/>
  <c r="AQ596"/>
  <c r="AO597"/>
  <c r="AO596"/>
  <c r="AK597"/>
  <c r="AM597"/>
  <c r="AM596"/>
  <c r="AK596"/>
  <c r="AI597"/>
  <c r="AI596"/>
  <c r="AE529"/>
  <c r="AE530"/>
  <c r="AE532"/>
  <c r="AE534"/>
  <c r="AE536"/>
  <c r="AE537"/>
  <c r="AE538"/>
  <c r="AE539"/>
  <c r="AE528"/>
  <c r="AQ523"/>
  <c r="AQ524"/>
  <c r="AQ522"/>
  <c r="AO523"/>
  <c r="AO524"/>
  <c r="AO522"/>
  <c r="AM523"/>
  <c r="AM524"/>
  <c r="AM522"/>
  <c r="AK523"/>
  <c r="AK524"/>
  <c r="AK522"/>
  <c r="AI523"/>
  <c r="AI524"/>
  <c r="AI522"/>
  <c r="AE456"/>
  <c r="AE457"/>
  <c r="AE458"/>
  <c r="AE460"/>
  <c r="AE462"/>
  <c r="AE463"/>
  <c r="AE464"/>
  <c r="AE465"/>
  <c r="AE455"/>
  <c r="AD447"/>
  <c r="AE447"/>
  <c r="AQ450"/>
  <c r="AQ451"/>
  <c r="AQ449"/>
  <c r="AO450"/>
  <c r="AO451"/>
  <c r="AO449"/>
  <c r="AM450"/>
  <c r="AM451"/>
  <c r="AM449"/>
  <c r="AK450"/>
  <c r="AK451"/>
  <c r="AK449"/>
  <c r="AI450"/>
  <c r="AI451"/>
  <c r="AI449"/>
  <c r="AE378"/>
  <c r="AE379"/>
  <c r="AE380"/>
  <c r="AE382"/>
  <c r="AE384"/>
  <c r="AE385"/>
  <c r="AE386"/>
  <c r="AE387"/>
  <c r="AE389"/>
  <c r="AD388"/>
  <c r="AE388" s="1"/>
  <c r="AE377"/>
  <c r="AE373"/>
  <c r="AE305"/>
  <c r="AE306"/>
  <c r="AE307"/>
  <c r="AE308"/>
  <c r="AE310"/>
  <c r="AE312"/>
  <c r="AE313"/>
  <c r="AE314"/>
  <c r="AE315"/>
  <c r="AD316"/>
  <c r="AE316" s="1"/>
  <c r="AE317"/>
  <c r="AE304"/>
  <c r="AK297"/>
  <c r="AK298"/>
  <c r="AK299"/>
  <c r="AK300"/>
  <c r="AK296"/>
  <c r="AI297"/>
  <c r="AI298"/>
  <c r="AI299"/>
  <c r="AI300"/>
  <c r="AI296"/>
  <c r="AG297"/>
  <c r="AG298"/>
  <c r="AG299"/>
  <c r="AG300"/>
  <c r="AG296"/>
  <c r="AE178"/>
  <c r="AE179"/>
  <c r="AE180"/>
  <c r="AE181"/>
  <c r="AE182"/>
  <c r="AE184"/>
  <c r="AE186"/>
  <c r="AE187"/>
  <c r="AE188"/>
  <c r="AE189"/>
  <c r="AE191"/>
  <c r="AD190"/>
  <c r="AE190" s="1"/>
  <c r="AE177"/>
  <c r="AH96"/>
  <c r="AH95"/>
  <c r="AG96"/>
  <c r="AG95"/>
  <c r="AK170"/>
  <c r="AK171"/>
  <c r="AK172"/>
  <c r="AK173"/>
  <c r="AK169"/>
  <c r="AI170"/>
  <c r="AI171"/>
  <c r="AI172"/>
  <c r="AI173"/>
  <c r="AI169"/>
  <c r="AG170"/>
  <c r="AG171"/>
  <c r="AG172"/>
  <c r="AG173"/>
  <c r="AG169"/>
  <c r="AC112"/>
  <c r="AD112" s="1"/>
  <c r="AE112" s="1"/>
  <c r="AE101"/>
  <c r="AE102"/>
  <c r="AE103"/>
  <c r="AE104"/>
  <c r="AE106"/>
  <c r="AE108"/>
  <c r="AE109"/>
  <c r="AE110"/>
  <c r="AE111"/>
  <c r="AE113"/>
  <c r="AE100"/>
  <c r="AE25"/>
  <c r="AE26"/>
  <c r="AD38"/>
  <c r="AE38" s="1"/>
  <c r="AE27"/>
  <c r="AE28"/>
  <c r="AE29"/>
  <c r="AE30"/>
  <c r="AE32"/>
  <c r="AE34"/>
  <c r="AE35"/>
  <c r="AE36"/>
  <c r="AE37"/>
  <c r="AE39"/>
  <c r="AE24"/>
  <c r="AH17"/>
  <c r="AH19"/>
  <c r="AH16"/>
  <c r="AG16"/>
  <c r="AH20"/>
  <c r="AH15"/>
  <c r="AG17"/>
  <c r="AG18"/>
  <c r="AG19"/>
  <c r="AG20"/>
  <c r="AG15"/>
  <c r="AH18"/>
  <c r="D15"/>
  <c r="AL2201" l="1"/>
  <c r="AJ2201"/>
  <c r="AH2201"/>
  <c r="AF2201"/>
  <c r="AD2201"/>
  <c r="AE2186"/>
  <c r="AE1994" l="1"/>
  <c r="AD1994"/>
  <c r="AE666" l="1"/>
  <c r="E5" l="1"/>
  <c r="D4" i="7" s="1"/>
  <c r="B1" i="5"/>
  <c r="AG2117"/>
  <c r="AE2117"/>
  <c r="AE2058"/>
  <c r="AF2058"/>
  <c r="AG2058"/>
  <c r="AD2058"/>
  <c r="AE1558"/>
  <c r="AF1558"/>
  <c r="AG1558"/>
  <c r="AD1558"/>
  <c r="AE1484"/>
  <c r="AF1484"/>
  <c r="AG1484"/>
  <c r="AD1484"/>
  <c r="AG1410"/>
  <c r="AE1410"/>
  <c r="AF1410"/>
  <c r="AD1410"/>
  <c r="AE1336"/>
  <c r="AF1336"/>
  <c r="AG1336"/>
  <c r="AD1336"/>
  <c r="AE1263"/>
  <c r="AF1263"/>
  <c r="AG1263"/>
  <c r="AD1263"/>
  <c r="AE1191"/>
  <c r="AF1191"/>
  <c r="AG1191"/>
  <c r="AD1191"/>
  <c r="AE1114"/>
  <c r="AF1114"/>
  <c r="AG1114"/>
  <c r="AD1114"/>
  <c r="AD1041"/>
  <c r="AG1041"/>
  <c r="AE1041"/>
  <c r="AF1041"/>
  <c r="AE963"/>
  <c r="AF963"/>
  <c r="AG963"/>
  <c r="AD963"/>
  <c r="AE885"/>
  <c r="AF885"/>
  <c r="AG885"/>
  <c r="AD885"/>
  <c r="AF812"/>
  <c r="AE812"/>
  <c r="AG812"/>
  <c r="AD812"/>
  <c r="AE739"/>
  <c r="AF739"/>
  <c r="AG739"/>
  <c r="AD739"/>
  <c r="AF666"/>
  <c r="AG666"/>
  <c r="AD666"/>
  <c r="AE594"/>
  <c r="AF594"/>
  <c r="AG594"/>
  <c r="AD594"/>
  <c r="AD520"/>
  <c r="AE520"/>
  <c r="AF520"/>
  <c r="AG520"/>
  <c r="AF447"/>
  <c r="AG447"/>
  <c r="F1637"/>
  <c r="G1637" s="1"/>
  <c r="E328" i="7" s="1"/>
  <c r="L2469" i="5"/>
  <c r="M2469" s="1"/>
  <c r="H486" i="7" s="1"/>
  <c r="J2469" i="5"/>
  <c r="K2469" s="1"/>
  <c r="G486" i="7" s="1"/>
  <c r="H2469" i="5"/>
  <c r="I2469" s="1"/>
  <c r="F486" i="7" s="1"/>
  <c r="F2469" i="5"/>
  <c r="G2469" s="1"/>
  <c r="E486" i="7" s="1"/>
  <c r="D2469" i="5"/>
  <c r="E2469" s="1"/>
  <c r="D486" i="7" s="1"/>
  <c r="L2468" i="5"/>
  <c r="M2468" s="1"/>
  <c r="H485" i="7" s="1"/>
  <c r="J2468" i="5"/>
  <c r="K2468" s="1"/>
  <c r="G485" i="7" s="1"/>
  <c r="H2468" i="5"/>
  <c r="I2468" s="1"/>
  <c r="F485" i="7" s="1"/>
  <c r="F2468" i="5"/>
  <c r="G2468" s="1"/>
  <c r="E485" i="7" s="1"/>
  <c r="D2468" i="5"/>
  <c r="E2468" s="1"/>
  <c r="D485" i="7" s="1"/>
  <c r="L2467" i="5"/>
  <c r="M2467" s="1"/>
  <c r="H484" i="7" s="1"/>
  <c r="J2467" i="5"/>
  <c r="K2467" s="1"/>
  <c r="G484" i="7" s="1"/>
  <c r="H2467" i="5"/>
  <c r="I2467" s="1"/>
  <c r="F484" i="7" s="1"/>
  <c r="F2467" i="5"/>
  <c r="G2467" s="1"/>
  <c r="E484" i="7" s="1"/>
  <c r="D2467" i="5"/>
  <c r="E2467" s="1"/>
  <c r="M466" i="7" s="1"/>
  <c r="L2466" i="5"/>
  <c r="M2466" s="1"/>
  <c r="H483" i="7" s="1"/>
  <c r="J2466" i="5"/>
  <c r="K2466" s="1"/>
  <c r="G483" i="7" s="1"/>
  <c r="H2466" i="5"/>
  <c r="I2466" s="1"/>
  <c r="F483" i="7" s="1"/>
  <c r="F2466" i="5"/>
  <c r="G2466" s="1"/>
  <c r="E483" i="7" s="1"/>
  <c r="D2466" i="5"/>
  <c r="E2466" s="1"/>
  <c r="D483" i="7" s="1"/>
  <c r="L2465" i="5"/>
  <c r="M2465" s="1"/>
  <c r="H482" i="7" s="1"/>
  <c r="J2465" i="5"/>
  <c r="K2465" s="1"/>
  <c r="G482" i="7" s="1"/>
  <c r="H2465" i="5"/>
  <c r="I2465" s="1"/>
  <c r="F482" i="7" s="1"/>
  <c r="F2465" i="5"/>
  <c r="G2465" s="1"/>
  <c r="E482" i="7" s="1"/>
  <c r="D2465" i="5"/>
  <c r="E2465" s="1"/>
  <c r="D482" i="7" s="1"/>
  <c r="L2464" i="5"/>
  <c r="M2464" s="1"/>
  <c r="H481" i="7" s="1"/>
  <c r="J2464" i="5"/>
  <c r="K2464" s="1"/>
  <c r="G481" i="7" s="1"/>
  <c r="H2464" i="5"/>
  <c r="I2464" s="1"/>
  <c r="F481" i="7" s="1"/>
  <c r="F2464" i="5"/>
  <c r="G2464" s="1"/>
  <c r="E481" i="7" s="1"/>
  <c r="D2464" i="5"/>
  <c r="E2464" s="1"/>
  <c r="D481" i="7" s="1"/>
  <c r="L2463" i="5"/>
  <c r="M2463" s="1"/>
  <c r="H480" i="7" s="1"/>
  <c r="J2463" i="5"/>
  <c r="K2463" s="1"/>
  <c r="G480" i="7" s="1"/>
  <c r="H2463" i="5"/>
  <c r="I2463" s="1"/>
  <c r="F480" i="7" s="1"/>
  <c r="F2463" i="5"/>
  <c r="G2463" s="1"/>
  <c r="E480" i="7" s="1"/>
  <c r="D2463" i="5"/>
  <c r="E2463" s="1"/>
  <c r="D480" i="7" s="1"/>
  <c r="L2462" i="5"/>
  <c r="M2462" s="1"/>
  <c r="H479" i="7" s="1"/>
  <c r="J2462" i="5"/>
  <c r="K2462" s="1"/>
  <c r="G479" i="7" s="1"/>
  <c r="H2462" i="5"/>
  <c r="I2462" s="1"/>
  <c r="F479" i="7" s="1"/>
  <c r="F2462" i="5"/>
  <c r="G2462" s="1"/>
  <c r="E479" i="7" s="1"/>
  <c r="D2462" i="5"/>
  <c r="E2462" s="1"/>
  <c r="D479" i="7" s="1"/>
  <c r="L2461" i="5"/>
  <c r="M2461" s="1"/>
  <c r="H478" i="7" s="1"/>
  <c r="J2461" i="5"/>
  <c r="K2461" s="1"/>
  <c r="G478" i="7" s="1"/>
  <c r="H2461" i="5"/>
  <c r="I2461" s="1"/>
  <c r="F478" i="7" s="1"/>
  <c r="F2461" i="5"/>
  <c r="G2461" s="1"/>
  <c r="E478" i="7" s="1"/>
  <c r="D2461" i="5"/>
  <c r="E2461" s="1"/>
  <c r="D478" i="7" s="1"/>
  <c r="L2460" i="5"/>
  <c r="M2460" s="1"/>
  <c r="H477" i="7" s="1"/>
  <c r="J2460" i="5"/>
  <c r="K2460" s="1"/>
  <c r="G477" i="7" s="1"/>
  <c r="H2460" i="5"/>
  <c r="I2460" s="1"/>
  <c r="F477" i="7" s="1"/>
  <c r="F2460" i="5"/>
  <c r="G2460" s="1"/>
  <c r="E477" i="7" s="1"/>
  <c r="D2460" i="5"/>
  <c r="E2460" s="1"/>
  <c r="D477" i="7" s="1"/>
  <c r="L2458" i="5"/>
  <c r="M2458" s="1"/>
  <c r="H475" i="7" s="1"/>
  <c r="J2458" i="5"/>
  <c r="K2458" s="1"/>
  <c r="G475" i="7" s="1"/>
  <c r="H2458" i="5"/>
  <c r="I2458" s="1"/>
  <c r="F475" i="7" s="1"/>
  <c r="F2458" i="5"/>
  <c r="G2458" s="1"/>
  <c r="E475" i="7" s="1"/>
  <c r="D2458" i="5"/>
  <c r="E2458" s="1"/>
  <c r="D475" i="7" s="1"/>
  <c r="L2400" i="5"/>
  <c r="M2400" s="1"/>
  <c r="H469" i="7" s="1"/>
  <c r="J2400" i="5"/>
  <c r="K2400" s="1"/>
  <c r="G469" i="7" s="1"/>
  <c r="H2400" i="5"/>
  <c r="I2400" s="1"/>
  <c r="F469" i="7" s="1"/>
  <c r="F2400" i="5"/>
  <c r="G2400" s="1"/>
  <c r="E469" i="7" s="1"/>
  <c r="D2400" i="5"/>
  <c r="E2400" s="1"/>
  <c r="D469" i="7" s="1"/>
  <c r="L2399" i="5"/>
  <c r="M2399" s="1"/>
  <c r="H468" i="7" s="1"/>
  <c r="J2399" i="5"/>
  <c r="K2399" s="1"/>
  <c r="G468" i="7" s="1"/>
  <c r="H2399" i="5"/>
  <c r="I2399" s="1"/>
  <c r="F468" i="7" s="1"/>
  <c r="F2399" i="5"/>
  <c r="G2399" s="1"/>
  <c r="E468" i="7" s="1"/>
  <c r="D2399" i="5"/>
  <c r="E2399" s="1"/>
  <c r="D468" i="7" s="1"/>
  <c r="L451" i="5"/>
  <c r="M451" s="1"/>
  <c r="H104" i="7" s="1"/>
  <c r="J451" i="5"/>
  <c r="K451" s="1"/>
  <c r="G104" i="7" s="1"/>
  <c r="H451" i="5"/>
  <c r="I451" s="1"/>
  <c r="F104" i="7" s="1"/>
  <c r="F451" i="5"/>
  <c r="G451" s="1"/>
  <c r="E104" i="7" s="1"/>
  <c r="D451" i="5"/>
  <c r="E451" s="1"/>
  <c r="D104" i="7" s="1"/>
  <c r="L450" i="5"/>
  <c r="M450" s="1"/>
  <c r="H103" i="7" s="1"/>
  <c r="J450" i="5"/>
  <c r="K450" s="1"/>
  <c r="G103" i="7" s="1"/>
  <c r="H450" i="5"/>
  <c r="I450" s="1"/>
  <c r="F103" i="7" s="1"/>
  <c r="F450" i="5"/>
  <c r="D450"/>
  <c r="E450" s="1"/>
  <c r="D103" i="7" s="1"/>
  <c r="L449" i="5"/>
  <c r="M449" s="1"/>
  <c r="H102" i="7" s="1"/>
  <c r="J449" i="5"/>
  <c r="K449" s="1"/>
  <c r="G102" i="7" s="1"/>
  <c r="H449" i="5"/>
  <c r="I449" s="1"/>
  <c r="F102" i="7" s="1"/>
  <c r="F449" i="5"/>
  <c r="G449" s="1"/>
  <c r="E102" i="7" s="1"/>
  <c r="D449" i="5"/>
  <c r="E449" s="1"/>
  <c r="D102" i="7" s="1"/>
  <c r="L524" i="5"/>
  <c r="M524" s="1"/>
  <c r="H117" i="7" s="1"/>
  <c r="J524" i="5"/>
  <c r="K524" s="1"/>
  <c r="G117" i="7" s="1"/>
  <c r="H524" i="5"/>
  <c r="I524" s="1"/>
  <c r="F117" i="7" s="1"/>
  <c r="F524" i="5"/>
  <c r="G524" s="1"/>
  <c r="E117" i="7" s="1"/>
  <c r="D524" i="5"/>
  <c r="E524" s="1"/>
  <c r="D117" i="7" s="1"/>
  <c r="L523" i="5"/>
  <c r="M523" s="1"/>
  <c r="H116" i="7" s="1"/>
  <c r="J523" i="5"/>
  <c r="K523" s="1"/>
  <c r="G116" i="7" s="1"/>
  <c r="H523" i="5"/>
  <c r="I523" s="1"/>
  <c r="F116" i="7" s="1"/>
  <c r="F523" i="5"/>
  <c r="G523" s="1"/>
  <c r="E116" i="7" s="1"/>
  <c r="D523" i="5"/>
  <c r="E523" s="1"/>
  <c r="D116" i="7" s="1"/>
  <c r="L522" i="5"/>
  <c r="M522" s="1"/>
  <c r="H115" i="7" s="1"/>
  <c r="J522" i="5"/>
  <c r="K522" s="1"/>
  <c r="G115" i="7" s="1"/>
  <c r="H522" i="5"/>
  <c r="I522" s="1"/>
  <c r="F115" i="7" s="1"/>
  <c r="F522" i="5"/>
  <c r="G522" s="1"/>
  <c r="E115" i="7" s="1"/>
  <c r="D522" i="5"/>
  <c r="E522" s="1"/>
  <c r="D115" i="7" s="1"/>
  <c r="L597" i="5"/>
  <c r="M597" s="1"/>
  <c r="H130" i="7" s="1"/>
  <c r="J597" i="5"/>
  <c r="K597" s="1"/>
  <c r="G130" i="7" s="1"/>
  <c r="H597" i="5"/>
  <c r="I597" s="1"/>
  <c r="F130" i="7" s="1"/>
  <c r="F597" i="5"/>
  <c r="G597" s="1"/>
  <c r="E130" i="7" s="1"/>
  <c r="D597" i="5"/>
  <c r="E597" s="1"/>
  <c r="D130" i="7" s="1"/>
  <c r="L596" i="5"/>
  <c r="M596" s="1"/>
  <c r="H129" i="7" s="1"/>
  <c r="J596" i="5"/>
  <c r="K596" s="1"/>
  <c r="G129" i="7" s="1"/>
  <c r="H596" i="5"/>
  <c r="I596" s="1"/>
  <c r="F129" i="7" s="1"/>
  <c r="F596" i="5"/>
  <c r="G596" s="1"/>
  <c r="E129" i="7" s="1"/>
  <c r="D596" i="5"/>
  <c r="E596" s="1"/>
  <c r="D129" i="7" s="1"/>
  <c r="L669" i="5"/>
  <c r="M669" s="1"/>
  <c r="H143" i="7" s="1"/>
  <c r="J669" i="5"/>
  <c r="K669" s="1"/>
  <c r="G143" i="7" s="1"/>
  <c r="H669" i="5"/>
  <c r="I669" s="1"/>
  <c r="F143" i="7" s="1"/>
  <c r="F669" i="5"/>
  <c r="G669" s="1"/>
  <c r="E143" i="7" s="1"/>
  <c r="D669" i="5"/>
  <c r="E669" s="1"/>
  <c r="D143" i="7" s="1"/>
  <c r="L668" i="5"/>
  <c r="M668" s="1"/>
  <c r="H142" i="7" s="1"/>
  <c r="J668" i="5"/>
  <c r="K668" s="1"/>
  <c r="G142" i="7" s="1"/>
  <c r="H668" i="5"/>
  <c r="I668" s="1"/>
  <c r="F142" i="7" s="1"/>
  <c r="F668" i="5"/>
  <c r="G668" s="1"/>
  <c r="E142" i="7" s="1"/>
  <c r="D668" i="5"/>
  <c r="E668" s="1"/>
  <c r="D142" i="7" s="1"/>
  <c r="L742" i="5"/>
  <c r="M742" s="1"/>
  <c r="H157" i="7" s="1"/>
  <c r="J742" i="5"/>
  <c r="K742" s="1"/>
  <c r="G157" i="7" s="1"/>
  <c r="H742" i="5"/>
  <c r="I742" s="1"/>
  <c r="F157" i="7" s="1"/>
  <c r="F742" i="5"/>
  <c r="G742" s="1"/>
  <c r="E157" i="7" s="1"/>
  <c r="D742" i="5"/>
  <c r="E742" s="1"/>
  <c r="D157" i="7" s="1"/>
  <c r="L741" i="5"/>
  <c r="M741" s="1"/>
  <c r="H156" i="7" s="1"/>
  <c r="J741" i="5"/>
  <c r="K741" s="1"/>
  <c r="G156" i="7" s="1"/>
  <c r="H741" i="5"/>
  <c r="I741" s="1"/>
  <c r="F156" i="7" s="1"/>
  <c r="F741" i="5"/>
  <c r="G741" s="1"/>
  <c r="E156" i="7" s="1"/>
  <c r="D741" i="5"/>
  <c r="E741" s="1"/>
  <c r="D156" i="7" s="1"/>
  <c r="L815" i="5"/>
  <c r="M815" s="1"/>
  <c r="H171" i="7" s="1"/>
  <c r="J815" i="5"/>
  <c r="K815" s="1"/>
  <c r="G171" i="7" s="1"/>
  <c r="H815" i="5"/>
  <c r="I815" s="1"/>
  <c r="F171" i="7" s="1"/>
  <c r="F815" i="5"/>
  <c r="G815" s="1"/>
  <c r="E171" i="7" s="1"/>
  <c r="D815" i="5"/>
  <c r="E815" s="1"/>
  <c r="D171" i="7" s="1"/>
  <c r="L814" i="5"/>
  <c r="M814" s="1"/>
  <c r="H170" i="7" s="1"/>
  <c r="J814" i="5"/>
  <c r="K814" s="1"/>
  <c r="G170" i="7" s="1"/>
  <c r="H814" i="5"/>
  <c r="I814" s="1"/>
  <c r="F170" i="7" s="1"/>
  <c r="F814" i="5"/>
  <c r="G814" s="1"/>
  <c r="E170" i="7" s="1"/>
  <c r="D814" i="5"/>
  <c r="E814" s="1"/>
  <c r="D170" i="7" s="1"/>
  <c r="L892" i="5"/>
  <c r="M892" s="1"/>
  <c r="H189" i="7" s="1"/>
  <c r="J892" i="5"/>
  <c r="K892" s="1"/>
  <c r="G189" i="7" s="1"/>
  <c r="H892" i="5"/>
  <c r="I892" s="1"/>
  <c r="F189" i="7" s="1"/>
  <c r="F892" i="5"/>
  <c r="G892" s="1"/>
  <c r="E189" i="7" s="1"/>
  <c r="D892" i="5"/>
  <c r="E892" s="1"/>
  <c r="D189" i="7" s="1"/>
  <c r="L891" i="5"/>
  <c r="M891" s="1"/>
  <c r="H188" i="7" s="1"/>
  <c r="J891" i="5"/>
  <c r="K891" s="1"/>
  <c r="G188" i="7" s="1"/>
  <c r="H891" i="5"/>
  <c r="I891" s="1"/>
  <c r="F188" i="7" s="1"/>
  <c r="F891" i="5"/>
  <c r="G891" s="1"/>
  <c r="E188" i="7" s="1"/>
  <c r="D891" i="5"/>
  <c r="E891" s="1"/>
  <c r="D188" i="7" s="1"/>
  <c r="L890" i="5"/>
  <c r="M890" s="1"/>
  <c r="H187" i="7" s="1"/>
  <c r="J890" i="5"/>
  <c r="K890" s="1"/>
  <c r="G187" i="7" s="1"/>
  <c r="H890" i="5"/>
  <c r="I890" s="1"/>
  <c r="F187" i="7" s="1"/>
  <c r="F890" i="5"/>
  <c r="G890" s="1"/>
  <c r="E187" i="7" s="1"/>
  <c r="D890" i="5"/>
  <c r="E890" s="1"/>
  <c r="D187" i="7" s="1"/>
  <c r="L889" i="5"/>
  <c r="M889" s="1"/>
  <c r="H186" i="7" s="1"/>
  <c r="J889" i="5"/>
  <c r="K889" s="1"/>
  <c r="G186" i="7" s="1"/>
  <c r="H889" i="5"/>
  <c r="I889" s="1"/>
  <c r="F186" i="7" s="1"/>
  <c r="F889" i="5"/>
  <c r="G889" s="1"/>
  <c r="E186" i="7" s="1"/>
  <c r="D889" i="5"/>
  <c r="E889" s="1"/>
  <c r="D186" i="7" s="1"/>
  <c r="L888" i="5"/>
  <c r="M888" s="1"/>
  <c r="H185" i="7" s="1"/>
  <c r="J888" i="5"/>
  <c r="K888" s="1"/>
  <c r="G185" i="7" s="1"/>
  <c r="H888" i="5"/>
  <c r="I888" s="1"/>
  <c r="F185" i="7" s="1"/>
  <c r="F888" i="5"/>
  <c r="G888" s="1"/>
  <c r="E185" i="7" s="1"/>
  <c r="D888" i="5"/>
  <c r="E888" s="1"/>
  <c r="D185" i="7" s="1"/>
  <c r="L887" i="5"/>
  <c r="M887" s="1"/>
  <c r="H184" i="7" s="1"/>
  <c r="J887" i="5"/>
  <c r="K887" s="1"/>
  <c r="G184" i="7" s="1"/>
  <c r="H887" i="5"/>
  <c r="I887" s="1"/>
  <c r="F184" i="7" s="1"/>
  <c r="F887" i="5"/>
  <c r="G887" s="1"/>
  <c r="E184" i="7" s="1"/>
  <c r="D887" i="5"/>
  <c r="E887" s="1"/>
  <c r="D184" i="7" s="1"/>
  <c r="L970" i="5"/>
  <c r="M970" s="1"/>
  <c r="H204" i="7" s="1"/>
  <c r="J970" i="5"/>
  <c r="K970" s="1"/>
  <c r="G204" i="7" s="1"/>
  <c r="H970" i="5"/>
  <c r="I970" s="1"/>
  <c r="F204" i="7" s="1"/>
  <c r="F970" i="5"/>
  <c r="G970" s="1"/>
  <c r="E204" i="7" s="1"/>
  <c r="D970" i="5"/>
  <c r="E970" s="1"/>
  <c r="D204" i="7" s="1"/>
  <c r="L969" i="5"/>
  <c r="M969" s="1"/>
  <c r="H203" i="7" s="1"/>
  <c r="J969" i="5"/>
  <c r="K969" s="1"/>
  <c r="G203" i="7" s="1"/>
  <c r="H969" i="5"/>
  <c r="I969" s="1"/>
  <c r="F203" i="7" s="1"/>
  <c r="F969" i="5"/>
  <c r="G969" s="1"/>
  <c r="E203" i="7" s="1"/>
  <c r="D969" i="5"/>
  <c r="E969" s="1"/>
  <c r="D203" i="7" s="1"/>
  <c r="L968" i="5"/>
  <c r="M968" s="1"/>
  <c r="H202" i="7" s="1"/>
  <c r="J968" i="5"/>
  <c r="K968" s="1"/>
  <c r="G202" i="7" s="1"/>
  <c r="H968" i="5"/>
  <c r="I968" s="1"/>
  <c r="F202" i="7" s="1"/>
  <c r="F968" i="5"/>
  <c r="G968" s="1"/>
  <c r="E202" i="7" s="1"/>
  <c r="D968" i="5"/>
  <c r="E968" s="1"/>
  <c r="D202" i="7" s="1"/>
  <c r="L967" i="5"/>
  <c r="M967" s="1"/>
  <c r="H201" i="7" s="1"/>
  <c r="J967" i="5"/>
  <c r="K967" s="1"/>
  <c r="G201" i="7" s="1"/>
  <c r="H967" i="5"/>
  <c r="I967" s="1"/>
  <c r="F201" i="7" s="1"/>
  <c r="F967" i="5"/>
  <c r="G967" s="1"/>
  <c r="E201" i="7" s="1"/>
  <c r="D967" i="5"/>
  <c r="E967" s="1"/>
  <c r="D201" i="7" s="1"/>
  <c r="L966" i="5"/>
  <c r="M966" s="1"/>
  <c r="H200" i="7" s="1"/>
  <c r="J966" i="5"/>
  <c r="K966" s="1"/>
  <c r="G200" i="7" s="1"/>
  <c r="H966" i="5"/>
  <c r="I966" s="1"/>
  <c r="F200" i="7" s="1"/>
  <c r="F966" i="5"/>
  <c r="G966" s="1"/>
  <c r="E200" i="7" s="1"/>
  <c r="D966" i="5"/>
  <c r="E966" s="1"/>
  <c r="D200" i="7" s="1"/>
  <c r="L965" i="5"/>
  <c r="M965" s="1"/>
  <c r="H199" i="7" s="1"/>
  <c r="J965" i="5"/>
  <c r="K965" s="1"/>
  <c r="G199" i="7" s="1"/>
  <c r="H965" i="5"/>
  <c r="I965" s="1"/>
  <c r="F199" i="7" s="1"/>
  <c r="F965" i="5"/>
  <c r="G965" s="1"/>
  <c r="E199" i="7" s="1"/>
  <c r="D965" i="5"/>
  <c r="E965" s="1"/>
  <c r="D199" i="7" s="1"/>
  <c r="L1044" i="5"/>
  <c r="M1044" s="1"/>
  <c r="H215" i="7" s="1"/>
  <c r="J1044" i="5"/>
  <c r="K1044" s="1"/>
  <c r="G215" i="7" s="1"/>
  <c r="H1044" i="5"/>
  <c r="I1044" s="1"/>
  <c r="F215" i="7" s="1"/>
  <c r="F1044" i="5"/>
  <c r="G1044" s="1"/>
  <c r="E215" i="7" s="1"/>
  <c r="D1044" i="5"/>
  <c r="E1044" s="1"/>
  <c r="D215" i="7" s="1"/>
  <c r="L1043" i="5"/>
  <c r="M1043" s="1"/>
  <c r="H214" i="7" s="1"/>
  <c r="J1043" i="5"/>
  <c r="K1043" s="1"/>
  <c r="G214" i="7" s="1"/>
  <c r="H1043" i="5"/>
  <c r="I1043" s="1"/>
  <c r="F214" i="7" s="1"/>
  <c r="F1043" i="5"/>
  <c r="G1043" s="1"/>
  <c r="E214" i="7" s="1"/>
  <c r="D1043" i="5"/>
  <c r="E1043" s="1"/>
  <c r="D214" i="7" s="1"/>
  <c r="L1120" i="5"/>
  <c r="M1120" s="1"/>
  <c r="H232" i="7" s="1"/>
  <c r="J1120" i="5"/>
  <c r="K1120" s="1"/>
  <c r="G232" i="7" s="1"/>
  <c r="H1120" i="5"/>
  <c r="I1120" s="1"/>
  <c r="F232" i="7" s="1"/>
  <c r="F1120" i="5"/>
  <c r="G1120" s="1"/>
  <c r="E232" i="7" s="1"/>
  <c r="D1120" i="5"/>
  <c r="E1120" s="1"/>
  <c r="D232" i="7" s="1"/>
  <c r="L1119" i="5"/>
  <c r="M1119" s="1"/>
  <c r="H231" i="7" s="1"/>
  <c r="J1119" i="5"/>
  <c r="K1119" s="1"/>
  <c r="G231" i="7" s="1"/>
  <c r="H1119" i="5"/>
  <c r="I1119" s="1"/>
  <c r="F231" i="7" s="1"/>
  <c r="F1119" i="5"/>
  <c r="G1119" s="1"/>
  <c r="E231" i="7" s="1"/>
  <c r="D1119" i="5"/>
  <c r="E1119" s="1"/>
  <c r="D231" i="7" s="1"/>
  <c r="L1118" i="5"/>
  <c r="M1118" s="1"/>
  <c r="H230" i="7" s="1"/>
  <c r="J1118" i="5"/>
  <c r="K1118" s="1"/>
  <c r="G230" i="7" s="1"/>
  <c r="H1118" i="5"/>
  <c r="I1118" s="1"/>
  <c r="F230" i="7" s="1"/>
  <c r="F1118" i="5"/>
  <c r="G1118" s="1"/>
  <c r="E230" i="7" s="1"/>
  <c r="D1118" i="5"/>
  <c r="E1118" s="1"/>
  <c r="D230" i="7" s="1"/>
  <c r="L1117" i="5"/>
  <c r="M1117" s="1"/>
  <c r="H229" i="7" s="1"/>
  <c r="J1117" i="5"/>
  <c r="K1117" s="1"/>
  <c r="G229" i="7" s="1"/>
  <c r="H1117" i="5"/>
  <c r="I1117" s="1"/>
  <c r="F229" i="7" s="1"/>
  <c r="F1117" i="5"/>
  <c r="G1117" s="1"/>
  <c r="E229" i="7" s="1"/>
  <c r="D1117" i="5"/>
  <c r="E1117" s="1"/>
  <c r="D229" i="7" s="1"/>
  <c r="L1116" i="5"/>
  <c r="M1116" s="1"/>
  <c r="H228" i="7" s="1"/>
  <c r="J1116" i="5"/>
  <c r="K1116" s="1"/>
  <c r="G228" i="7" s="1"/>
  <c r="H1116" i="5"/>
  <c r="I1116" s="1"/>
  <c r="F228" i="7" s="1"/>
  <c r="F1116" i="5"/>
  <c r="G1116" s="1"/>
  <c r="E228" i="7" s="1"/>
  <c r="D1116" i="5"/>
  <c r="E1116" s="1"/>
  <c r="D228" i="7" s="1"/>
  <c r="L1194" i="5"/>
  <c r="M1194" s="1"/>
  <c r="H244" i="7" s="1"/>
  <c r="J1194" i="5"/>
  <c r="K1194" s="1"/>
  <c r="G244" i="7" s="1"/>
  <c r="H1194" i="5"/>
  <c r="I1194" s="1"/>
  <c r="F244" i="7" s="1"/>
  <c r="F1194" i="5"/>
  <c r="G1194" s="1"/>
  <c r="E244" i="7" s="1"/>
  <c r="D1194" i="5"/>
  <c r="E1194" s="1"/>
  <c r="D244" i="7" s="1"/>
  <c r="L1193" i="5"/>
  <c r="M1193" s="1"/>
  <c r="H243" i="7" s="1"/>
  <c r="J1193" i="5"/>
  <c r="K1193" s="1"/>
  <c r="G243" i="7" s="1"/>
  <c r="H1193" i="5"/>
  <c r="I1193" s="1"/>
  <c r="F243" i="7" s="1"/>
  <c r="F1193" i="5"/>
  <c r="G1193" s="1"/>
  <c r="E243" i="7" s="1"/>
  <c r="D1193" i="5"/>
  <c r="E1193" s="1"/>
  <c r="D243" i="7" s="1"/>
  <c r="L1266" i="5"/>
  <c r="M1266" s="1"/>
  <c r="H257" i="7" s="1"/>
  <c r="J1266" i="5"/>
  <c r="K1266" s="1"/>
  <c r="G257" i="7" s="1"/>
  <c r="H1266" i="5"/>
  <c r="I1266" s="1"/>
  <c r="F257" i="7" s="1"/>
  <c r="F1266" i="5"/>
  <c r="G1266" s="1"/>
  <c r="E257" i="7" s="1"/>
  <c r="D1266" i="5"/>
  <c r="E1266" s="1"/>
  <c r="D257" i="7" s="1"/>
  <c r="L1265" i="5"/>
  <c r="M1265" s="1"/>
  <c r="H256" i="7" s="1"/>
  <c r="J1265" i="5"/>
  <c r="K1265" s="1"/>
  <c r="G256" i="7" s="1"/>
  <c r="H1265" i="5"/>
  <c r="I1265" s="1"/>
  <c r="F256" i="7" s="1"/>
  <c r="F1265" i="5"/>
  <c r="G1265" s="1"/>
  <c r="E256" i="7" s="1"/>
  <c r="D1265" i="5"/>
  <c r="E1265" s="1"/>
  <c r="D256" i="7" s="1"/>
  <c r="L1340" i="5"/>
  <c r="M1340" s="1"/>
  <c r="H272" i="7" s="1"/>
  <c r="J1340" i="5"/>
  <c r="K1340" s="1"/>
  <c r="G272" i="7" s="1"/>
  <c r="H1340" i="5"/>
  <c r="I1340" s="1"/>
  <c r="F272" i="7" s="1"/>
  <c r="F1340" i="5"/>
  <c r="G1340" s="1"/>
  <c r="E272" i="7" s="1"/>
  <c r="D1340" i="5"/>
  <c r="E1340" s="1"/>
  <c r="D272" i="7" s="1"/>
  <c r="L1339" i="5"/>
  <c r="M1339" s="1"/>
  <c r="H271" i="7" s="1"/>
  <c r="J1339" i="5"/>
  <c r="K1339" s="1"/>
  <c r="G271" i="7" s="1"/>
  <c r="H1339" i="5"/>
  <c r="I1339" s="1"/>
  <c r="F271" i="7" s="1"/>
  <c r="F1339" i="5"/>
  <c r="G1339" s="1"/>
  <c r="E271" i="7" s="1"/>
  <c r="D1339" i="5"/>
  <c r="E1339" s="1"/>
  <c r="D271" i="7" s="1"/>
  <c r="L1338" i="5"/>
  <c r="M1338" s="1"/>
  <c r="H270" i="7" s="1"/>
  <c r="J1338" i="5"/>
  <c r="K1338" s="1"/>
  <c r="G270" i="7" s="1"/>
  <c r="H1338" i="5"/>
  <c r="I1338" s="1"/>
  <c r="F270" i="7" s="1"/>
  <c r="F1338" i="5"/>
  <c r="G1338" s="1"/>
  <c r="E270" i="7" s="1"/>
  <c r="D1338" i="5"/>
  <c r="E1338" s="1"/>
  <c r="D270" i="7" s="1"/>
  <c r="L1414" i="5"/>
  <c r="M1414" s="1"/>
  <c r="H286" i="7" s="1"/>
  <c r="J1414" i="5"/>
  <c r="K1414" s="1"/>
  <c r="G286" i="7" s="1"/>
  <c r="H1414" i="5"/>
  <c r="I1414" s="1"/>
  <c r="F286" i="7" s="1"/>
  <c r="F1414" i="5"/>
  <c r="G1414" s="1"/>
  <c r="E286" i="7" s="1"/>
  <c r="D1414" i="5"/>
  <c r="E1414" s="1"/>
  <c r="D286" i="7" s="1"/>
  <c r="L1413" i="5"/>
  <c r="M1413" s="1"/>
  <c r="H285" i="7" s="1"/>
  <c r="J1413" i="5"/>
  <c r="K1413" s="1"/>
  <c r="G285" i="7" s="1"/>
  <c r="H1413" i="5"/>
  <c r="I1413" s="1"/>
  <c r="F285" i="7" s="1"/>
  <c r="F1413" i="5"/>
  <c r="G1413" s="1"/>
  <c r="E285" i="7" s="1"/>
  <c r="D1413" i="5"/>
  <c r="E1413" s="1"/>
  <c r="D285" i="7" s="1"/>
  <c r="L1412" i="5"/>
  <c r="M1412" s="1"/>
  <c r="H284" i="7" s="1"/>
  <c r="J1412" i="5"/>
  <c r="K1412" s="1"/>
  <c r="G284" i="7" s="1"/>
  <c r="H1412" i="5"/>
  <c r="I1412" s="1"/>
  <c r="F284" i="7" s="1"/>
  <c r="F1412" i="5"/>
  <c r="G1412" s="1"/>
  <c r="E284" i="7" s="1"/>
  <c r="D1412" i="5"/>
  <c r="E1412" s="1"/>
  <c r="D284" i="7" s="1"/>
  <c r="L1488" i="5"/>
  <c r="M1488" s="1"/>
  <c r="H300" i="7" s="1"/>
  <c r="J1488" i="5"/>
  <c r="K1488" s="1"/>
  <c r="G300" i="7" s="1"/>
  <c r="H1488" i="5"/>
  <c r="I1488" s="1"/>
  <c r="F300" i="7" s="1"/>
  <c r="F1488" i="5"/>
  <c r="G1488" s="1"/>
  <c r="E300" i="7" s="1"/>
  <c r="D1488" i="5"/>
  <c r="E1488" s="1"/>
  <c r="D300" i="7" s="1"/>
  <c r="L1487" i="5"/>
  <c r="M1487" s="1"/>
  <c r="H299" i="7" s="1"/>
  <c r="J1487" i="5"/>
  <c r="K1487" s="1"/>
  <c r="G299" i="7" s="1"/>
  <c r="H1487" i="5"/>
  <c r="I1487" s="1"/>
  <c r="F299" i="7" s="1"/>
  <c r="F1487" i="5"/>
  <c r="G1487" s="1"/>
  <c r="E299" i="7" s="1"/>
  <c r="D1487" i="5"/>
  <c r="E1487" s="1"/>
  <c r="D299" i="7" s="1"/>
  <c r="L1486" i="5"/>
  <c r="M1486" s="1"/>
  <c r="H298" i="7" s="1"/>
  <c r="J1486" i="5"/>
  <c r="K1486" s="1"/>
  <c r="G298" i="7" s="1"/>
  <c r="H1486" i="5"/>
  <c r="I1486" s="1"/>
  <c r="F298" i="7" s="1"/>
  <c r="F1486" i="5"/>
  <c r="G1486" s="1"/>
  <c r="E298" i="7" s="1"/>
  <c r="D1486" i="5"/>
  <c r="E1486" s="1"/>
  <c r="D298" i="7" s="1"/>
  <c r="L1563" i="5"/>
  <c r="M1563" s="1"/>
  <c r="H315" i="7" s="1"/>
  <c r="J1563" i="5"/>
  <c r="K1563" s="1"/>
  <c r="G315" i="7" s="1"/>
  <c r="H1563" i="5"/>
  <c r="I1563" s="1"/>
  <c r="F315" i="7" s="1"/>
  <c r="F1563" i="5"/>
  <c r="G1563" s="1"/>
  <c r="E315" i="7" s="1"/>
  <c r="D1563" i="5"/>
  <c r="E1563" s="1"/>
  <c r="D315" i="7" s="1"/>
  <c r="L1562" i="5"/>
  <c r="M1562" s="1"/>
  <c r="H314" i="7" s="1"/>
  <c r="J1562" i="5"/>
  <c r="K1562" s="1"/>
  <c r="G314" i="7" s="1"/>
  <c r="H1562" i="5"/>
  <c r="I1562" s="1"/>
  <c r="F314" i="7" s="1"/>
  <c r="F1562" i="5"/>
  <c r="D1562"/>
  <c r="E1562" s="1"/>
  <c r="D314" i="7" s="1"/>
  <c r="L1561" i="5"/>
  <c r="M1561" s="1"/>
  <c r="H313" i="7" s="1"/>
  <c r="J1561" i="5"/>
  <c r="K1561" s="1"/>
  <c r="G313" i="7" s="1"/>
  <c r="H1561" i="5"/>
  <c r="I1561" s="1"/>
  <c r="F313" i="7" s="1"/>
  <c r="F1561" i="5"/>
  <c r="D1561"/>
  <c r="E1561" s="1"/>
  <c r="D313" i="7" s="1"/>
  <c r="L1560" i="5"/>
  <c r="M1560" s="1"/>
  <c r="H312" i="7" s="1"/>
  <c r="J1560" i="5"/>
  <c r="K1560" s="1"/>
  <c r="G312" i="7" s="1"/>
  <c r="H1560" i="5"/>
  <c r="I1560" s="1"/>
  <c r="F312" i="7" s="1"/>
  <c r="F1560" i="5"/>
  <c r="D1560"/>
  <c r="E1560" s="1"/>
  <c r="D312" i="7" s="1"/>
  <c r="L1932" i="5"/>
  <c r="M1932" s="1"/>
  <c r="H378" i="7" s="1"/>
  <c r="J1932" i="5"/>
  <c r="K1932" s="1"/>
  <c r="G378" i="7" s="1"/>
  <c r="H1932" i="5"/>
  <c r="I1932" s="1"/>
  <c r="F378" i="7" s="1"/>
  <c r="F1932" i="5"/>
  <c r="G1932" s="1"/>
  <c r="E378" i="7" s="1"/>
  <c r="D1932" i="5"/>
  <c r="E1932" s="1"/>
  <c r="D378" i="7" s="1"/>
  <c r="L1931" i="5"/>
  <c r="M1931" s="1"/>
  <c r="H377" i="7" s="1"/>
  <c r="J1931" i="5"/>
  <c r="K1931" s="1"/>
  <c r="G377" i="7" s="1"/>
  <c r="H1931" i="5"/>
  <c r="I1931" s="1"/>
  <c r="F377" i="7" s="1"/>
  <c r="F1931" i="5"/>
  <c r="G1931" s="1"/>
  <c r="E377" i="7" s="1"/>
  <c r="D1931" i="5"/>
  <c r="L1930"/>
  <c r="M1930" s="1"/>
  <c r="H376" i="7" s="1"/>
  <c r="J1930" i="5"/>
  <c r="K1930" s="1"/>
  <c r="G376" i="7" s="1"/>
  <c r="H1930" i="5"/>
  <c r="I1930" s="1"/>
  <c r="F376" i="7" s="1"/>
  <c r="F1930" i="5"/>
  <c r="G1930" s="1"/>
  <c r="E376" i="7" s="1"/>
  <c r="D1930" i="5"/>
  <c r="E1930" s="1"/>
  <c r="D376" i="7" s="1"/>
  <c r="L1929" i="5"/>
  <c r="M1929" s="1"/>
  <c r="H375" i="7" s="1"/>
  <c r="J1929" i="5"/>
  <c r="K1929" s="1"/>
  <c r="G375" i="7" s="1"/>
  <c r="H1929" i="5"/>
  <c r="I1929" s="1"/>
  <c r="F375" i="7" s="1"/>
  <c r="F1929" i="5"/>
  <c r="G1929" s="1"/>
  <c r="E375" i="7" s="1"/>
  <c r="D1929" i="5"/>
  <c r="E1929" s="1"/>
  <c r="D375" i="7" s="1"/>
  <c r="L1928" i="5"/>
  <c r="M1928" s="1"/>
  <c r="H374" i="7" s="1"/>
  <c r="J1928" i="5"/>
  <c r="K1928" s="1"/>
  <c r="G374" i="7" s="1"/>
  <c r="H1928" i="5"/>
  <c r="I1928" s="1"/>
  <c r="F374" i="7" s="1"/>
  <c r="F1928" i="5"/>
  <c r="G1928" s="1"/>
  <c r="E374" i="7" s="1"/>
  <c r="D1928" i="5"/>
  <c r="E1928" s="1"/>
  <c r="D374" i="7" s="1"/>
  <c r="L2060" i="5"/>
  <c r="M2060" s="1"/>
  <c r="H391" i="7" s="1"/>
  <c r="J2060" i="5"/>
  <c r="K2060" s="1"/>
  <c r="G391" i="7" s="1"/>
  <c r="H2060" i="5"/>
  <c r="I2060" s="1"/>
  <c r="F391" i="7" s="1"/>
  <c r="F2060" i="5"/>
  <c r="G2060" s="1"/>
  <c r="E391" i="7" s="1"/>
  <c r="D2060" i="5"/>
  <c r="E2060" s="1"/>
  <c r="D391" i="7" s="1"/>
  <c r="H2338" i="5"/>
  <c r="I2338" s="1"/>
  <c r="F459" i="7" s="1"/>
  <c r="H2333" i="5"/>
  <c r="I2333" s="1"/>
  <c r="F454" i="7" s="1"/>
  <c r="H2331" i="5"/>
  <c r="I2331" s="1"/>
  <c r="F452" i="7" s="1"/>
  <c r="H2330" i="5"/>
  <c r="I2330" s="1"/>
  <c r="F451" i="7" s="1"/>
  <c r="H2329" i="5"/>
  <c r="I2329" s="1"/>
  <c r="F450" i="7" s="1"/>
  <c r="H2328" i="5"/>
  <c r="I2328" s="1"/>
  <c r="F449" i="7" s="1"/>
  <c r="H2327" i="5"/>
  <c r="I2327" s="1"/>
  <c r="F448" i="7" s="1"/>
  <c r="T2340" i="5"/>
  <c r="U2340" s="1"/>
  <c r="L461" i="7" s="1"/>
  <c r="P2340" i="5"/>
  <c r="Q2340" s="1"/>
  <c r="J461" i="7" s="1"/>
  <c r="L2340" i="5"/>
  <c r="M2340" s="1"/>
  <c r="H461" i="7" s="1"/>
  <c r="H2340" i="5"/>
  <c r="I2340" s="1"/>
  <c r="F461" i="7" s="1"/>
  <c r="D2340" i="5"/>
  <c r="E2340" s="1"/>
  <c r="D461" i="7" s="1"/>
  <c r="T2339" i="5"/>
  <c r="U2339" s="1"/>
  <c r="L460" i="7" s="1"/>
  <c r="P2339" i="5"/>
  <c r="Q2339" s="1"/>
  <c r="J460" i="7" s="1"/>
  <c r="L2339" i="5"/>
  <c r="M2339" s="1"/>
  <c r="H460" i="7" s="1"/>
  <c r="H2339" i="5"/>
  <c r="I2339" s="1"/>
  <c r="F460" i="7" s="1"/>
  <c r="D2339" i="5"/>
  <c r="E2339" s="1"/>
  <c r="D460" i="7" s="1"/>
  <c r="T2338" i="5"/>
  <c r="U2338" s="1"/>
  <c r="L459" i="7" s="1"/>
  <c r="P2338" i="5"/>
  <c r="Q2338" s="1"/>
  <c r="J459" i="7" s="1"/>
  <c r="L2338" i="5"/>
  <c r="M2338" s="1"/>
  <c r="H459" i="7" s="1"/>
  <c r="D2338" i="5"/>
  <c r="T2336"/>
  <c r="U2336" s="1"/>
  <c r="L457" i="7" s="1"/>
  <c r="P2336" i="5"/>
  <c r="Q2336" s="1"/>
  <c r="J457" i="7" s="1"/>
  <c r="L2336" i="5"/>
  <c r="M2336" s="1"/>
  <c r="H457" i="7" s="1"/>
  <c r="D2336" i="5"/>
  <c r="E2336" s="1"/>
  <c r="D457" i="7" s="1"/>
  <c r="T2335" i="5"/>
  <c r="U2335" s="1"/>
  <c r="L456" i="7" s="1"/>
  <c r="P2335" i="5"/>
  <c r="Q2335" s="1"/>
  <c r="J456" i="7" s="1"/>
  <c r="L2335" i="5"/>
  <c r="M2335" s="1"/>
  <c r="H456" i="7" s="1"/>
  <c r="D2335" i="5"/>
  <c r="E2335" s="1"/>
  <c r="D456" i="7" s="1"/>
  <c r="T2334" i="5"/>
  <c r="U2334" s="1"/>
  <c r="L455" i="7" s="1"/>
  <c r="P2334" i="5"/>
  <c r="Q2334" s="1"/>
  <c r="J455" i="7" s="1"/>
  <c r="L2334" i="5"/>
  <c r="M2334" s="1"/>
  <c r="H455" i="7" s="1"/>
  <c r="D2334" i="5"/>
  <c r="E2334" s="1"/>
  <c r="D455" i="7" s="1"/>
  <c r="T2333" i="5"/>
  <c r="U2333" s="1"/>
  <c r="L454" i="7" s="1"/>
  <c r="P2333" i="5"/>
  <c r="Q2333" s="1"/>
  <c r="J454" i="7" s="1"/>
  <c r="L2333" i="5"/>
  <c r="M2333" s="1"/>
  <c r="H454" i="7" s="1"/>
  <c r="D2333" i="5"/>
  <c r="E2333" s="1"/>
  <c r="D454" i="7" s="1"/>
  <c r="T2332" i="5"/>
  <c r="U2332" s="1"/>
  <c r="L453" i="7" s="1"/>
  <c r="P2332" i="5"/>
  <c r="Q2332" s="1"/>
  <c r="J453" i="7" s="1"/>
  <c r="L2332" i="5"/>
  <c r="M2332" s="1"/>
  <c r="H453" i="7" s="1"/>
  <c r="H2332" i="5"/>
  <c r="I2332" s="1"/>
  <c r="F453" i="7" s="1"/>
  <c r="D2332" i="5"/>
  <c r="E2332" s="1"/>
  <c r="D453" i="7" s="1"/>
  <c r="T2331" i="5"/>
  <c r="U2331" s="1"/>
  <c r="L452" i="7" s="1"/>
  <c r="P2331" i="5"/>
  <c r="Q2331" s="1"/>
  <c r="J452" i="7" s="1"/>
  <c r="L2331" i="5"/>
  <c r="M2331" s="1"/>
  <c r="H452" i="7" s="1"/>
  <c r="D2331" i="5"/>
  <c r="E2331" s="1"/>
  <c r="D452" i="7" s="1"/>
  <c r="T2330" i="5"/>
  <c r="U2330" s="1"/>
  <c r="L451" i="7" s="1"/>
  <c r="P2330" i="5"/>
  <c r="Q2330" s="1"/>
  <c r="J451" i="7" s="1"/>
  <c r="L2330" i="5"/>
  <c r="M2330" s="1"/>
  <c r="H451" i="7" s="1"/>
  <c r="D2330" i="5"/>
  <c r="E2330" s="1"/>
  <c r="D451" i="7" s="1"/>
  <c r="T2329" i="5"/>
  <c r="U2329" s="1"/>
  <c r="L450" i="7" s="1"/>
  <c r="P2329" i="5"/>
  <c r="Q2329" s="1"/>
  <c r="J450" i="7" s="1"/>
  <c r="L2329" i="5"/>
  <c r="M2329" s="1"/>
  <c r="H450" i="7" s="1"/>
  <c r="D2329" i="5"/>
  <c r="E2329" s="1"/>
  <c r="D450" i="7" s="1"/>
  <c r="T2328" i="5"/>
  <c r="U2328" s="1"/>
  <c r="L449" i="7" s="1"/>
  <c r="P2328" i="5"/>
  <c r="Q2328" s="1"/>
  <c r="J449" i="7" s="1"/>
  <c r="L2328" i="5"/>
  <c r="M2328" s="1"/>
  <c r="H449" i="7" s="1"/>
  <c r="D2328" i="5"/>
  <c r="E2328" s="1"/>
  <c r="D449" i="7" s="1"/>
  <c r="T2327" i="5"/>
  <c r="U2327" s="1"/>
  <c r="L448" i="7" s="1"/>
  <c r="P2327" i="5"/>
  <c r="Q2327" s="1"/>
  <c r="J448" i="7" s="1"/>
  <c r="L2327" i="5"/>
  <c r="M2327" s="1"/>
  <c r="H448" i="7" s="1"/>
  <c r="D2327" i="5"/>
  <c r="E2327" s="1"/>
  <c r="D448" i="7" s="1"/>
  <c r="J2267" i="5"/>
  <c r="K2267" s="1"/>
  <c r="G440" i="7" s="1"/>
  <c r="H2267" i="5"/>
  <c r="I2267" s="1"/>
  <c r="F440" i="7" s="1"/>
  <c r="J2265" i="5"/>
  <c r="K2265" s="1"/>
  <c r="G438" i="7" s="1"/>
  <c r="H2264" i="5"/>
  <c r="I2264" s="1"/>
  <c r="F437" i="7" s="1"/>
  <c r="J2263" i="5"/>
  <c r="K2263" s="1"/>
  <c r="G436" i="7" s="1"/>
  <c r="V2268" i="5"/>
  <c r="W2268" s="1"/>
  <c r="M441" i="7" s="1"/>
  <c r="T2268" i="5"/>
  <c r="U2268" s="1"/>
  <c r="L441" i="7" s="1"/>
  <c r="R2268" i="5"/>
  <c r="S2268" s="1"/>
  <c r="K441" i="7" s="1"/>
  <c r="P2268" i="5"/>
  <c r="Q2268" s="1"/>
  <c r="J441" i="7" s="1"/>
  <c r="N2268" i="5"/>
  <c r="O2268" s="1"/>
  <c r="I441" i="7" s="1"/>
  <c r="L2268" i="5"/>
  <c r="M2268" s="1"/>
  <c r="H441" i="7" s="1"/>
  <c r="J2268" i="5"/>
  <c r="K2268" s="1"/>
  <c r="G441" i="7" s="1"/>
  <c r="H2268" i="5"/>
  <c r="I2268" s="1"/>
  <c r="F441" i="7" s="1"/>
  <c r="F2268" i="5"/>
  <c r="G2268" s="1"/>
  <c r="E441" i="7" s="1"/>
  <c r="D2268" i="5"/>
  <c r="E2268" s="1"/>
  <c r="D441" i="7" s="1"/>
  <c r="V2267" i="5"/>
  <c r="W2267" s="1"/>
  <c r="M440" i="7" s="1"/>
  <c r="T2267" i="5"/>
  <c r="U2267" s="1"/>
  <c r="L440" i="7" s="1"/>
  <c r="R2267" i="5"/>
  <c r="S2267" s="1"/>
  <c r="K440" i="7" s="1"/>
  <c r="P2267" i="5"/>
  <c r="Q2267" s="1"/>
  <c r="J440" i="7" s="1"/>
  <c r="N2267" i="5"/>
  <c r="O2267" s="1"/>
  <c r="I440" i="7" s="1"/>
  <c r="L2267" i="5"/>
  <c r="M2267" s="1"/>
  <c r="H440" i="7" s="1"/>
  <c r="F2267" i="5"/>
  <c r="G2267" s="1"/>
  <c r="E440" i="7" s="1"/>
  <c r="D2267" i="5"/>
  <c r="E2267" s="1"/>
  <c r="D440" i="7" s="1"/>
  <c r="V2266" i="5"/>
  <c r="W2266" s="1"/>
  <c r="M439" i="7" s="1"/>
  <c r="T2266" i="5"/>
  <c r="U2266" s="1"/>
  <c r="L439" i="7" s="1"/>
  <c r="R2266" i="5"/>
  <c r="S2266" s="1"/>
  <c r="K439" i="7" s="1"/>
  <c r="P2266" i="5"/>
  <c r="Q2266" s="1"/>
  <c r="J439" i="7" s="1"/>
  <c r="N2266" i="5"/>
  <c r="O2266" s="1"/>
  <c r="I439" i="7" s="1"/>
  <c r="L2266" i="5"/>
  <c r="M2266" s="1"/>
  <c r="H439" i="7" s="1"/>
  <c r="J2266" i="5"/>
  <c r="K2266" s="1"/>
  <c r="G439" i="7" s="1"/>
  <c r="H2266" i="5"/>
  <c r="I2266" s="1"/>
  <c r="F439" i="7" s="1"/>
  <c r="F2266" i="5"/>
  <c r="G2266" s="1"/>
  <c r="E439" i="7" s="1"/>
  <c r="D2266" i="5"/>
  <c r="E2266" s="1"/>
  <c r="D439" i="7" s="1"/>
  <c r="V2265" i="5"/>
  <c r="W2265" s="1"/>
  <c r="M438" i="7" s="1"/>
  <c r="T2265" i="5"/>
  <c r="U2265" s="1"/>
  <c r="L438" i="7" s="1"/>
  <c r="R2265" i="5"/>
  <c r="S2265" s="1"/>
  <c r="K438" i="7" s="1"/>
  <c r="P2265" i="5"/>
  <c r="Q2265" s="1"/>
  <c r="J438" i="7" s="1"/>
  <c r="N2265" i="5"/>
  <c r="O2265" s="1"/>
  <c r="I438" i="7" s="1"/>
  <c r="L2265" i="5"/>
  <c r="M2265" s="1"/>
  <c r="H438" i="7" s="1"/>
  <c r="H2265" i="5"/>
  <c r="I2265" s="1"/>
  <c r="F438" i="7" s="1"/>
  <c r="F2265" i="5"/>
  <c r="G2265" s="1"/>
  <c r="E438" i="7" s="1"/>
  <c r="D2265" i="5"/>
  <c r="E2265" s="1"/>
  <c r="D438" i="7" s="1"/>
  <c r="V2264" i="5"/>
  <c r="W2264" s="1"/>
  <c r="M437" i="7" s="1"/>
  <c r="T2264" i="5"/>
  <c r="U2264" s="1"/>
  <c r="L437" i="7" s="1"/>
  <c r="R2264" i="5"/>
  <c r="S2264" s="1"/>
  <c r="K437" i="7" s="1"/>
  <c r="P2264" i="5"/>
  <c r="Q2264" s="1"/>
  <c r="J437" i="7" s="1"/>
  <c r="N2264" i="5"/>
  <c r="O2264" s="1"/>
  <c r="I437" i="7" s="1"/>
  <c r="L2264" i="5"/>
  <c r="M2264" s="1"/>
  <c r="H437" i="7" s="1"/>
  <c r="J2264" i="5"/>
  <c r="K2264" s="1"/>
  <c r="G437" i="7" s="1"/>
  <c r="F2264" i="5"/>
  <c r="G2264" s="1"/>
  <c r="E437" i="7" s="1"/>
  <c r="D2264" i="5"/>
  <c r="V2263"/>
  <c r="T2263"/>
  <c r="U2263" s="1"/>
  <c r="L436" i="7" s="1"/>
  <c r="R2263" i="5"/>
  <c r="S2263" s="1"/>
  <c r="K436" i="7" s="1"/>
  <c r="P2263" i="5"/>
  <c r="Q2263" s="1"/>
  <c r="J436" i="7" s="1"/>
  <c r="N2263" i="5"/>
  <c r="O2263" s="1"/>
  <c r="I436" i="7" s="1"/>
  <c r="L2263" i="5"/>
  <c r="M2263" s="1"/>
  <c r="H436" i="7" s="1"/>
  <c r="H2263" i="5"/>
  <c r="I2263" s="1"/>
  <c r="F436" i="7" s="1"/>
  <c r="F2263" i="5"/>
  <c r="G2263" s="1"/>
  <c r="E436" i="7" s="1"/>
  <c r="D2263" i="5"/>
  <c r="E2263" s="1"/>
  <c r="D436" i="7" s="1"/>
  <c r="V2262" i="5"/>
  <c r="W2262" s="1"/>
  <c r="M435" i="7" s="1"/>
  <c r="T2262" i="5"/>
  <c r="U2262" s="1"/>
  <c r="L435" i="7" s="1"/>
  <c r="R2262" i="5"/>
  <c r="S2262" s="1"/>
  <c r="K435" i="7" s="1"/>
  <c r="P2262" i="5"/>
  <c r="Q2262" s="1"/>
  <c r="J435" i="7" s="1"/>
  <c r="N2262" i="5"/>
  <c r="O2262" s="1"/>
  <c r="I435" i="7" s="1"/>
  <c r="L2262" i="5"/>
  <c r="M2262" s="1"/>
  <c r="H435" i="7" s="1"/>
  <c r="J2262" i="5"/>
  <c r="K2262" s="1"/>
  <c r="G435" i="7" s="1"/>
  <c r="F2262" i="5"/>
  <c r="G2262" s="1"/>
  <c r="E435" i="7" s="1"/>
  <c r="D2262" i="5"/>
  <c r="E2262" s="1"/>
  <c r="D435" i="7" s="1"/>
  <c r="V2261" i="5"/>
  <c r="W2261" s="1"/>
  <c r="M434" i="7" s="1"/>
  <c r="T2261" i="5"/>
  <c r="U2261" s="1"/>
  <c r="L434" i="7" s="1"/>
  <c r="R2261" i="5"/>
  <c r="S2261" s="1"/>
  <c r="K434" i="7" s="1"/>
  <c r="P2261" i="5"/>
  <c r="Q2261" s="1"/>
  <c r="J434" i="7" s="1"/>
  <c r="N2261" i="5"/>
  <c r="O2261" s="1"/>
  <c r="I434" i="7" s="1"/>
  <c r="L2261" i="5"/>
  <c r="M2261" s="1"/>
  <c r="H434" i="7" s="1"/>
  <c r="H2261" i="5"/>
  <c r="I2261" s="1"/>
  <c r="F434" i="7" s="1"/>
  <c r="F2261" i="5"/>
  <c r="G2261" s="1"/>
  <c r="E434" i="7" s="1"/>
  <c r="D2261" i="5"/>
  <c r="E2261" s="1"/>
  <c r="D434" i="7" s="1"/>
  <c r="V2260" i="5"/>
  <c r="W2260" s="1"/>
  <c r="M433" i="7" s="1"/>
  <c r="T2260" i="5"/>
  <c r="U2260" s="1"/>
  <c r="L433" i="7" s="1"/>
  <c r="R2260" i="5"/>
  <c r="S2260" s="1"/>
  <c r="K433" i="7" s="1"/>
  <c r="P2260" i="5"/>
  <c r="Q2260" s="1"/>
  <c r="J433" i="7" s="1"/>
  <c r="N2260" i="5"/>
  <c r="O2260" s="1"/>
  <c r="I433" i="7" s="1"/>
  <c r="L2260" i="5"/>
  <c r="M2260" s="1"/>
  <c r="H433" i="7" s="1"/>
  <c r="J2260" i="5"/>
  <c r="K2260" s="1"/>
  <c r="G433" i="7" s="1"/>
  <c r="H2260" i="5"/>
  <c r="I2260" s="1"/>
  <c r="F433" i="7" s="1"/>
  <c r="F2260" i="5"/>
  <c r="G2260" s="1"/>
  <c r="E433" i="7" s="1"/>
  <c r="D2260" i="5"/>
  <c r="E2260" s="1"/>
  <c r="D433" i="7" s="1"/>
  <c r="V2259" i="5"/>
  <c r="W2259" s="1"/>
  <c r="M432" i="7" s="1"/>
  <c r="T2259" i="5"/>
  <c r="U2259" s="1"/>
  <c r="L432" i="7" s="1"/>
  <c r="R2259" i="5"/>
  <c r="S2259" s="1"/>
  <c r="K432" i="7" s="1"/>
  <c r="P2259" i="5"/>
  <c r="Q2259" s="1"/>
  <c r="J432" i="7" s="1"/>
  <c r="N2259" i="5"/>
  <c r="O2259" s="1"/>
  <c r="I432" i="7" s="1"/>
  <c r="L2259" i="5"/>
  <c r="M2259" s="1"/>
  <c r="H432" i="7" s="1"/>
  <c r="F2259" i="5"/>
  <c r="G2259" s="1"/>
  <c r="E432" i="7" s="1"/>
  <c r="D2259" i="5"/>
  <c r="E2259" s="1"/>
  <c r="D432" i="7" s="1"/>
  <c r="J2200" i="5"/>
  <c r="K2200" s="1"/>
  <c r="G425" i="7" s="1"/>
  <c r="J2198" i="5"/>
  <c r="K2198" s="1"/>
  <c r="G423" i="7" s="1"/>
  <c r="H2198" i="5"/>
  <c r="I2198" s="1"/>
  <c r="F423" i="7" s="1"/>
  <c r="J2191" i="5"/>
  <c r="K2191" s="1"/>
  <c r="G416" i="7" s="1"/>
  <c r="J2187" i="5"/>
  <c r="K2187" s="1"/>
  <c r="G412" i="7" s="1"/>
  <c r="H2191" i="5"/>
  <c r="I2191" s="1"/>
  <c r="F416" i="7" s="1"/>
  <c r="H2190" i="5"/>
  <c r="I2190" s="1"/>
  <c r="F415" i="7" s="1"/>
  <c r="H2187" i="5"/>
  <c r="I2187" s="1"/>
  <c r="F412" i="7" s="1"/>
  <c r="V2200" i="5"/>
  <c r="W2200" s="1"/>
  <c r="M425" i="7" s="1"/>
  <c r="T2200" i="5"/>
  <c r="U2200" s="1"/>
  <c r="L425" i="7" s="1"/>
  <c r="R2200" i="5"/>
  <c r="S2200" s="1"/>
  <c r="K425" i="7" s="1"/>
  <c r="P2200" i="5"/>
  <c r="Q2200" s="1"/>
  <c r="J425" i="7" s="1"/>
  <c r="N2200" i="5"/>
  <c r="O2200" s="1"/>
  <c r="I425" i="7" s="1"/>
  <c r="L2200" i="5"/>
  <c r="M2200" s="1"/>
  <c r="H425" i="7" s="1"/>
  <c r="H2200" i="5"/>
  <c r="I2200" s="1"/>
  <c r="F425" i="7" s="1"/>
  <c r="F2200" i="5"/>
  <c r="G2200" s="1"/>
  <c r="E425" i="7" s="1"/>
  <c r="D2200" i="5"/>
  <c r="E2200" s="1"/>
  <c r="D425" i="7" s="1"/>
  <c r="V2199" i="5"/>
  <c r="T2199"/>
  <c r="U2199" s="1"/>
  <c r="L424" i="7" s="1"/>
  <c r="R2199" i="5"/>
  <c r="S2199" s="1"/>
  <c r="K424" i="7" s="1"/>
  <c r="P2199" i="5"/>
  <c r="Q2199" s="1"/>
  <c r="J424" i="7" s="1"/>
  <c r="N2199" i="5"/>
  <c r="O2199" s="1"/>
  <c r="I424" i="7" s="1"/>
  <c r="L2199" i="5"/>
  <c r="M2199" s="1"/>
  <c r="H424" i="7" s="1"/>
  <c r="J2199" i="5"/>
  <c r="K2199" s="1"/>
  <c r="G424" i="7" s="1"/>
  <c r="H2199" i="5"/>
  <c r="I2199" s="1"/>
  <c r="F424" i="7" s="1"/>
  <c r="F2199" i="5"/>
  <c r="G2199" s="1"/>
  <c r="E424" i="7" s="1"/>
  <c r="D2199" i="5"/>
  <c r="E2199" s="1"/>
  <c r="D424" i="7" s="1"/>
  <c r="V2198" i="5"/>
  <c r="W2198" s="1"/>
  <c r="M423" i="7" s="1"/>
  <c r="T2198" i="5"/>
  <c r="U2198" s="1"/>
  <c r="L423" i="7" s="1"/>
  <c r="R2198" i="5"/>
  <c r="S2198" s="1"/>
  <c r="K423" i="7" s="1"/>
  <c r="P2198" i="5"/>
  <c r="Q2198" s="1"/>
  <c r="J423" i="7" s="1"/>
  <c r="N2198" i="5"/>
  <c r="O2198" s="1"/>
  <c r="I423" i="7" s="1"/>
  <c r="L2198" i="5"/>
  <c r="M2198" s="1"/>
  <c r="H423" i="7" s="1"/>
  <c r="F2198" i="5"/>
  <c r="G2198" s="1"/>
  <c r="E423" i="7" s="1"/>
  <c r="D2198" i="5"/>
  <c r="E2198" s="1"/>
  <c r="D423" i="7" s="1"/>
  <c r="V2196" i="5"/>
  <c r="T2196"/>
  <c r="U2196" s="1"/>
  <c r="L421" i="7" s="1"/>
  <c r="R2196" i="5"/>
  <c r="S2196" s="1"/>
  <c r="K421" i="7" s="1"/>
  <c r="P2196" i="5"/>
  <c r="Q2196" s="1"/>
  <c r="J421" i="7" s="1"/>
  <c r="N2196" i="5"/>
  <c r="O2196" s="1"/>
  <c r="I421" i="7" s="1"/>
  <c r="L2196" i="5"/>
  <c r="M2196" s="1"/>
  <c r="H421" i="7" s="1"/>
  <c r="F2196" i="5"/>
  <c r="G2196" s="1"/>
  <c r="E421" i="7" s="1"/>
  <c r="D2196" i="5"/>
  <c r="E2196" s="1"/>
  <c r="D421" i="7" s="1"/>
  <c r="V2195" i="5"/>
  <c r="W2195" s="1"/>
  <c r="M420" i="7" s="1"/>
  <c r="T2195" i="5"/>
  <c r="U2195" s="1"/>
  <c r="L420" i="7" s="1"/>
  <c r="R2195" i="5"/>
  <c r="S2195" s="1"/>
  <c r="K420" i="7" s="1"/>
  <c r="P2195" i="5"/>
  <c r="Q2195" s="1"/>
  <c r="J420" i="7" s="1"/>
  <c r="N2195" i="5"/>
  <c r="O2195" s="1"/>
  <c r="I420" i="7" s="1"/>
  <c r="L2195" i="5"/>
  <c r="M2195" s="1"/>
  <c r="F2195"/>
  <c r="G2195" s="1"/>
  <c r="E420" i="7" s="1"/>
  <c r="D2195" i="5"/>
  <c r="E2195" s="1"/>
  <c r="D420" i="7" s="1"/>
  <c r="V2194" i="5"/>
  <c r="W2194" s="1"/>
  <c r="M419" i="7" s="1"/>
  <c r="T2194" i="5"/>
  <c r="U2194" s="1"/>
  <c r="L419" i="7" s="1"/>
  <c r="R2194" i="5"/>
  <c r="S2194" s="1"/>
  <c r="K419" i="7" s="1"/>
  <c r="P2194" i="5"/>
  <c r="Q2194" s="1"/>
  <c r="N2194"/>
  <c r="O2194" s="1"/>
  <c r="I419" i="7" s="1"/>
  <c r="L2194" i="5"/>
  <c r="M2194" s="1"/>
  <c r="H419" i="7" s="1"/>
  <c r="F2194" i="5"/>
  <c r="G2194" s="1"/>
  <c r="E419" i="7" s="1"/>
  <c r="D2194" i="5"/>
  <c r="E2194" s="1"/>
  <c r="D419" i="7" s="1"/>
  <c r="V2193" i="5"/>
  <c r="W2193" s="1"/>
  <c r="M418" i="7" s="1"/>
  <c r="T2193" i="5"/>
  <c r="U2193" s="1"/>
  <c r="L418" i="7" s="1"/>
  <c r="R2193" i="5"/>
  <c r="S2193" s="1"/>
  <c r="K418" i="7" s="1"/>
  <c r="P2193" i="5"/>
  <c r="Q2193" s="1"/>
  <c r="J418" i="7" s="1"/>
  <c r="N2193" i="5"/>
  <c r="O2193" s="1"/>
  <c r="I418" i="7" s="1"/>
  <c r="L2193" i="5"/>
  <c r="M2193" s="1"/>
  <c r="H418" i="7" s="1"/>
  <c r="J2193" i="5"/>
  <c r="K2193" s="1"/>
  <c r="G418" i="7" s="1"/>
  <c r="H2193" i="5"/>
  <c r="I2193" s="1"/>
  <c r="F418" i="7" s="1"/>
  <c r="F2193" i="5"/>
  <c r="G2193" s="1"/>
  <c r="E418" i="7" s="1"/>
  <c r="D2193" i="5"/>
  <c r="E2193" s="1"/>
  <c r="D418" i="7" s="1"/>
  <c r="V2192" i="5"/>
  <c r="W2192" s="1"/>
  <c r="M417" i="7" s="1"/>
  <c r="T2192" i="5"/>
  <c r="U2192" s="1"/>
  <c r="L417" i="7" s="1"/>
  <c r="R2192" i="5"/>
  <c r="S2192" s="1"/>
  <c r="K417" i="7" s="1"/>
  <c r="P2192" i="5"/>
  <c r="Q2192" s="1"/>
  <c r="J417" i="7" s="1"/>
  <c r="N2192" i="5"/>
  <c r="O2192" s="1"/>
  <c r="I417" i="7" s="1"/>
  <c r="L2192" i="5"/>
  <c r="M2192" s="1"/>
  <c r="H417" i="7" s="1"/>
  <c r="J2192" i="5"/>
  <c r="K2192" s="1"/>
  <c r="G417" i="7" s="1"/>
  <c r="H2192" i="5"/>
  <c r="I2192" s="1"/>
  <c r="F417" i="7" s="1"/>
  <c r="F2192" i="5"/>
  <c r="G2192" s="1"/>
  <c r="E417" i="7" s="1"/>
  <c r="D2192" i="5"/>
  <c r="E2192" s="1"/>
  <c r="D417" i="7" s="1"/>
  <c r="V2191" i="5"/>
  <c r="W2191" s="1"/>
  <c r="M416" i="7" s="1"/>
  <c r="T2191" i="5"/>
  <c r="U2191" s="1"/>
  <c r="L416" i="7" s="1"/>
  <c r="R2191" i="5"/>
  <c r="S2191" s="1"/>
  <c r="K416" i="7" s="1"/>
  <c r="P2191" i="5"/>
  <c r="Q2191" s="1"/>
  <c r="J416" i="7" s="1"/>
  <c r="N2191" i="5"/>
  <c r="O2191" s="1"/>
  <c r="I416" i="7" s="1"/>
  <c r="L2191" i="5"/>
  <c r="M2191" s="1"/>
  <c r="H416" i="7" s="1"/>
  <c r="F2191" i="5"/>
  <c r="G2191" s="1"/>
  <c r="E416" i="7" s="1"/>
  <c r="D2191" i="5"/>
  <c r="E2191" s="1"/>
  <c r="D416" i="7" s="1"/>
  <c r="V2190" i="5"/>
  <c r="W2190" s="1"/>
  <c r="M415" i="7" s="1"/>
  <c r="T2190" i="5"/>
  <c r="U2190" s="1"/>
  <c r="L415" i="7" s="1"/>
  <c r="R2190" i="5"/>
  <c r="S2190" s="1"/>
  <c r="K415" i="7" s="1"/>
  <c r="P2190" i="5"/>
  <c r="Q2190" s="1"/>
  <c r="J415" i="7" s="1"/>
  <c r="N2190" i="5"/>
  <c r="O2190" s="1"/>
  <c r="I415" i="7" s="1"/>
  <c r="L2190" i="5"/>
  <c r="M2190" s="1"/>
  <c r="H415" i="7" s="1"/>
  <c r="F2190" i="5"/>
  <c r="G2190" s="1"/>
  <c r="E415" i="7" s="1"/>
  <c r="D2190" i="5"/>
  <c r="E2190" s="1"/>
  <c r="D415" i="7" s="1"/>
  <c r="V2189" i="5"/>
  <c r="W2189" s="1"/>
  <c r="M414" i="7" s="1"/>
  <c r="T2189" i="5"/>
  <c r="U2189" s="1"/>
  <c r="L414" i="7" s="1"/>
  <c r="R2189" i="5"/>
  <c r="S2189" s="1"/>
  <c r="K414" i="7" s="1"/>
  <c r="P2189" i="5"/>
  <c r="Q2189" s="1"/>
  <c r="J414" i="7" s="1"/>
  <c r="N2189" i="5"/>
  <c r="O2189" s="1"/>
  <c r="I414" i="7" s="1"/>
  <c r="L2189" i="5"/>
  <c r="M2189" s="1"/>
  <c r="H414" i="7" s="1"/>
  <c r="H2189" i="5"/>
  <c r="I2189" s="1"/>
  <c r="F414" i="7" s="1"/>
  <c r="F2189" i="5"/>
  <c r="G2189" s="1"/>
  <c r="E414" i="7" s="1"/>
  <c r="D2189" i="5"/>
  <c r="E2189" s="1"/>
  <c r="D414" i="7" s="1"/>
  <c r="V2188" i="5"/>
  <c r="W2188" s="1"/>
  <c r="M413" i="7" s="1"/>
  <c r="T2188" i="5"/>
  <c r="U2188" s="1"/>
  <c r="L413" i="7" s="1"/>
  <c r="R2188" i="5"/>
  <c r="S2188" s="1"/>
  <c r="K413" i="7" s="1"/>
  <c r="P2188" i="5"/>
  <c r="Q2188" s="1"/>
  <c r="J413" i="7" s="1"/>
  <c r="N2188" i="5"/>
  <c r="O2188" s="1"/>
  <c r="I413" i="7" s="1"/>
  <c r="L2188" i="5"/>
  <c r="M2188" s="1"/>
  <c r="H413" i="7" s="1"/>
  <c r="H2188" i="5"/>
  <c r="I2188" s="1"/>
  <c r="F2188"/>
  <c r="G2188" s="1"/>
  <c r="E413" i="7" s="1"/>
  <c r="D2188" i="5"/>
  <c r="E2188" s="1"/>
  <c r="D413" i="7" s="1"/>
  <c r="V2187" i="5"/>
  <c r="T2187"/>
  <c r="U2187" s="1"/>
  <c r="L412" i="7" s="1"/>
  <c r="R2187" i="5"/>
  <c r="S2187" s="1"/>
  <c r="K412" i="7" s="1"/>
  <c r="P2187" i="5"/>
  <c r="Q2187" s="1"/>
  <c r="J412" i="7" s="1"/>
  <c r="N2187" i="5"/>
  <c r="O2187" s="1"/>
  <c r="I412" i="7" s="1"/>
  <c r="L2187" i="5"/>
  <c r="M2187" s="1"/>
  <c r="H412" i="7" s="1"/>
  <c r="F2187" i="5"/>
  <c r="G2187" s="1"/>
  <c r="E412" i="7" s="1"/>
  <c r="D2187" i="5"/>
  <c r="E2187" s="1"/>
  <c r="D412" i="7" s="1"/>
  <c r="J2122" i="5"/>
  <c r="K2122" s="1"/>
  <c r="G399" i="7" s="1"/>
  <c r="J2127" i="5"/>
  <c r="K2127" s="1"/>
  <c r="G404" i="7" s="1"/>
  <c r="J2126" i="5"/>
  <c r="K2126" s="1"/>
  <c r="G403" i="7" s="1"/>
  <c r="J2125" i="5"/>
  <c r="K2125" s="1"/>
  <c r="G402" i="7" s="1"/>
  <c r="J2120" i="5"/>
  <c r="K2120" s="1"/>
  <c r="G397" i="7" s="1"/>
  <c r="J2119" i="5"/>
  <c r="K2119" s="1"/>
  <c r="G396" i="7" s="1"/>
  <c r="H2127" i="5"/>
  <c r="I2127" s="1"/>
  <c r="F404" i="7" s="1"/>
  <c r="H2123" i="5"/>
  <c r="H2119"/>
  <c r="I2119" s="1"/>
  <c r="F396" i="7" s="1"/>
  <c r="L2127" i="5"/>
  <c r="M2127" s="1"/>
  <c r="H404" i="7" s="1"/>
  <c r="N2127" i="5"/>
  <c r="O2127" s="1"/>
  <c r="I404" i="7" s="1"/>
  <c r="R2127" i="5"/>
  <c r="S2127" s="1"/>
  <c r="K404" i="7" s="1"/>
  <c r="V2127" i="5"/>
  <c r="T2127"/>
  <c r="U2127" s="1"/>
  <c r="L404" i="7" s="1"/>
  <c r="P2127" i="5"/>
  <c r="Q2127" s="1"/>
  <c r="V2126"/>
  <c r="W2126" s="1"/>
  <c r="M403" i="7" s="1"/>
  <c r="T2126" i="5"/>
  <c r="U2126" s="1"/>
  <c r="L403" i="7" s="1"/>
  <c r="R2126" i="5"/>
  <c r="S2126" s="1"/>
  <c r="K403" i="7" s="1"/>
  <c r="P2126" i="5"/>
  <c r="Q2126" s="1"/>
  <c r="J403" i="7" s="1"/>
  <c r="N2126" i="5"/>
  <c r="O2126" s="1"/>
  <c r="I403" i="7" s="1"/>
  <c r="L2126" i="5"/>
  <c r="M2126" s="1"/>
  <c r="H403" i="7" s="1"/>
  <c r="H2126" i="5"/>
  <c r="I2126" s="1"/>
  <c r="F403" i="7" s="1"/>
  <c r="F2126" i="5"/>
  <c r="G2126" s="1"/>
  <c r="E403" i="7" s="1"/>
  <c r="D2126" i="5"/>
  <c r="E2126" s="1"/>
  <c r="D403" i="7" s="1"/>
  <c r="V2125" i="5"/>
  <c r="W2125" s="1"/>
  <c r="M402" i="7" s="1"/>
  <c r="T2125" i="5"/>
  <c r="U2125" s="1"/>
  <c r="L402" i="7" s="1"/>
  <c r="R2125" i="5"/>
  <c r="S2125" s="1"/>
  <c r="K402" i="7" s="1"/>
  <c r="P2125" i="5"/>
  <c r="Q2125" s="1"/>
  <c r="J402" i="7" s="1"/>
  <c r="N2125" i="5"/>
  <c r="O2125" s="1"/>
  <c r="I402" i="7" s="1"/>
  <c r="L2125" i="5"/>
  <c r="M2125" s="1"/>
  <c r="H402" i="7" s="1"/>
  <c r="H2125" i="5"/>
  <c r="I2125" s="1"/>
  <c r="F402" i="7" s="1"/>
  <c r="F2125" i="5"/>
  <c r="G2125" s="1"/>
  <c r="E402" i="7" s="1"/>
  <c r="D2125" i="5"/>
  <c r="V2123"/>
  <c r="T2123"/>
  <c r="R2123"/>
  <c r="P2123"/>
  <c r="N2123"/>
  <c r="L2123"/>
  <c r="J2123"/>
  <c r="F2123"/>
  <c r="D2123"/>
  <c r="E2123" s="1"/>
  <c r="V2122"/>
  <c r="W2122" s="1"/>
  <c r="M399" i="7" s="1"/>
  <c r="T2122" i="5"/>
  <c r="U2122" s="1"/>
  <c r="L399" i="7" s="1"/>
  <c r="R2122" i="5"/>
  <c r="S2122" s="1"/>
  <c r="K399" i="7" s="1"/>
  <c r="P2122" i="5"/>
  <c r="Q2122" s="1"/>
  <c r="J399" i="7" s="1"/>
  <c r="N2122" i="5"/>
  <c r="O2122" s="1"/>
  <c r="I399" i="7" s="1"/>
  <c r="L2122" i="5"/>
  <c r="M2122" s="1"/>
  <c r="H399" i="7" s="1"/>
  <c r="F2122" i="5"/>
  <c r="G2122" s="1"/>
  <c r="E399" i="7" s="1"/>
  <c r="D2122" i="5"/>
  <c r="V2120"/>
  <c r="W2120" s="1"/>
  <c r="M397" i="7" s="1"/>
  <c r="T2120" i="5"/>
  <c r="U2120" s="1"/>
  <c r="L397" i="7" s="1"/>
  <c r="R2120" i="5"/>
  <c r="S2120" s="1"/>
  <c r="K397" i="7" s="1"/>
  <c r="P2120" i="5"/>
  <c r="Q2120" s="1"/>
  <c r="J397" i="7" s="1"/>
  <c r="N2120" i="5"/>
  <c r="O2120" s="1"/>
  <c r="I397" i="7" s="1"/>
  <c r="L2120" i="5"/>
  <c r="M2120" s="1"/>
  <c r="H397" i="7" s="1"/>
  <c r="H2120" i="5"/>
  <c r="I2120" s="1"/>
  <c r="F397" i="7" s="1"/>
  <c r="F2120" i="5"/>
  <c r="G2120" s="1"/>
  <c r="E397" i="7" s="1"/>
  <c r="D2120" i="5"/>
  <c r="E2120" s="1"/>
  <c r="D397" i="7" s="1"/>
  <c r="V2119" i="5"/>
  <c r="W2119" s="1"/>
  <c r="M396" i="7" s="1"/>
  <c r="T2119" i="5"/>
  <c r="U2119" s="1"/>
  <c r="L396" i="7" s="1"/>
  <c r="R2119" i="5"/>
  <c r="S2119" s="1"/>
  <c r="K396" i="7" s="1"/>
  <c r="P2119" i="5"/>
  <c r="Q2119" s="1"/>
  <c r="J396" i="7" s="1"/>
  <c r="N2119" i="5"/>
  <c r="L2119"/>
  <c r="M2119" s="1"/>
  <c r="H396" i="7" s="1"/>
  <c r="F2119" i="5"/>
  <c r="G2119" s="1"/>
  <c r="E396" i="7" s="1"/>
  <c r="D2119" i="5"/>
  <c r="E2119" s="1"/>
  <c r="D396" i="7" s="1"/>
  <c r="F1995" i="5"/>
  <c r="G1995" s="1"/>
  <c r="E384" i="7" s="1"/>
  <c r="H1996" i="5"/>
  <c r="F1996"/>
  <c r="G1996" s="1"/>
  <c r="E385" i="7" s="1"/>
  <c r="H1995" i="5"/>
  <c r="F300"/>
  <c r="G300" s="1"/>
  <c r="E64" i="7" s="1"/>
  <c r="F297" i="5"/>
  <c r="G297" s="1"/>
  <c r="E61" i="7" s="1"/>
  <c r="F296" i="5"/>
  <c r="G296" s="1"/>
  <c r="E60" i="7" s="1"/>
  <c r="H300" i="5"/>
  <c r="I300" s="1"/>
  <c r="F64" i="7" s="1"/>
  <c r="H299" i="5"/>
  <c r="I299" s="1"/>
  <c r="F63" i="7" s="1"/>
  <c r="F299" i="5"/>
  <c r="G299" s="1"/>
  <c r="E63" i="7" s="1"/>
  <c r="H298" i="5"/>
  <c r="I298" s="1"/>
  <c r="F62" i="7" s="1"/>
  <c r="F298" i="5"/>
  <c r="G298" s="1"/>
  <c r="E62" i="7" s="1"/>
  <c r="H297" i="5"/>
  <c r="I297" s="1"/>
  <c r="F61" i="7" s="1"/>
  <c r="H296" i="5"/>
  <c r="I296" s="1"/>
  <c r="F60" i="7" s="1"/>
  <c r="F173" i="5"/>
  <c r="G173" s="1"/>
  <c r="E48" i="7" s="1"/>
  <c r="F172" i="5"/>
  <c r="G172" s="1"/>
  <c r="E47" i="7" s="1"/>
  <c r="F169" i="5"/>
  <c r="G169" s="1"/>
  <c r="E44" i="7" s="1"/>
  <c r="H170" i="5"/>
  <c r="I170" s="1"/>
  <c r="F45" i="7" s="1"/>
  <c r="F170" i="5"/>
  <c r="G170" s="1"/>
  <c r="E45" i="7" s="1"/>
  <c r="D170" i="5"/>
  <c r="E170" s="1"/>
  <c r="D45" i="7" s="1"/>
  <c r="H173" i="5"/>
  <c r="I173" s="1"/>
  <c r="F48" i="7" s="1"/>
  <c r="H172" i="5"/>
  <c r="I172" s="1"/>
  <c r="F47" i="7" s="1"/>
  <c r="H171" i="5"/>
  <c r="I171" s="1"/>
  <c r="F46" i="7" s="1"/>
  <c r="F171" i="5"/>
  <c r="G171" s="1"/>
  <c r="E46" i="7" s="1"/>
  <c r="H169" i="5"/>
  <c r="I169" s="1"/>
  <c r="F44" i="7" s="1"/>
  <c r="F96" i="5"/>
  <c r="G96" s="1"/>
  <c r="E30" i="7" s="1"/>
  <c r="F95" i="5"/>
  <c r="G95" s="1"/>
  <c r="E29" i="7" s="1"/>
  <c r="F19" i="5"/>
  <c r="G19" s="1"/>
  <c r="E16" i="7" s="1"/>
  <c r="F18" i="5"/>
  <c r="G18" s="1"/>
  <c r="E15" i="7" s="1"/>
  <c r="F16" i="5"/>
  <c r="G16" s="1"/>
  <c r="E13" i="7" s="1"/>
  <c r="F15" i="5"/>
  <c r="G15" s="1"/>
  <c r="E12" i="7" s="1"/>
  <c r="F20" i="5"/>
  <c r="G20" s="1"/>
  <c r="E17" i="7" s="1"/>
  <c r="F17" i="5"/>
  <c r="G17" s="1"/>
  <c r="E14" i="7" s="1"/>
  <c r="E15" i="5"/>
  <c r="D12" i="7" s="1"/>
  <c r="C50" i="6"/>
  <c r="B2589" i="5" s="1"/>
  <c r="B48" i="6"/>
  <c r="C49"/>
  <c r="C44"/>
  <c r="B445" i="7" s="1"/>
  <c r="C43" i="6"/>
  <c r="B2255" i="5" s="1"/>
  <c r="C42" i="6"/>
  <c r="C41"/>
  <c r="B393" i="7" s="1"/>
  <c r="B40" i="6"/>
  <c r="C46"/>
  <c r="B2453" i="5" s="1"/>
  <c r="C45" i="6"/>
  <c r="C38"/>
  <c r="B388" i="7" s="1"/>
  <c r="B37" i="6"/>
  <c r="C35"/>
  <c r="B1990" i="5" s="1"/>
  <c r="C34" i="6"/>
  <c r="B1923" i="5"/>
  <c r="C33" i="6"/>
  <c r="B360" i="7" s="1"/>
  <c r="C32" i="6"/>
  <c r="B1780" i="5" s="1"/>
  <c r="C31" i="6"/>
  <c r="C30"/>
  <c r="B322" i="7" s="1"/>
  <c r="C29" i="6"/>
  <c r="B1555" i="5" s="1"/>
  <c r="C28" i="6"/>
  <c r="B1481" i="5" s="1"/>
  <c r="C27" i="6"/>
  <c r="B1407" i="5" s="1"/>
  <c r="C26" i="6"/>
  <c r="B1333" i="5" s="1"/>
  <c r="C25" i="6"/>
  <c r="B1260" i="5" s="1"/>
  <c r="C24" i="6"/>
  <c r="B1188" i="5" s="1"/>
  <c r="C23" i="6"/>
  <c r="B1111" i="5" s="1"/>
  <c r="C22" i="6"/>
  <c r="B1038" i="5" s="1"/>
  <c r="C21" i="6"/>
  <c r="C20"/>
  <c r="B882" i="5" s="1"/>
  <c r="C19" i="6"/>
  <c r="C18"/>
  <c r="B736" i="5" s="1"/>
  <c r="C17" i="6"/>
  <c r="B663" i="5" s="1"/>
  <c r="C16" i="6"/>
  <c r="B591" i="5" s="1"/>
  <c r="C15" i="6"/>
  <c r="B517" i="5" s="1"/>
  <c r="B444"/>
  <c r="C12" i="6"/>
  <c r="B71" i="7" s="1"/>
  <c r="C11" i="6"/>
  <c r="B56" i="7" s="1"/>
  <c r="C10" i="6"/>
  <c r="B40" i="7" s="1"/>
  <c r="C9" i="6"/>
  <c r="B25" i="7" s="1"/>
  <c r="C8" i="6"/>
  <c r="B10" i="5" s="1"/>
  <c r="B7" i="6"/>
  <c r="D4"/>
  <c r="B75" i="7"/>
  <c r="D2537" i="5"/>
  <c r="E2537" s="1"/>
  <c r="D493" i="7" s="1"/>
  <c r="D389" i="5"/>
  <c r="E389" s="1"/>
  <c r="M84" i="7" s="1"/>
  <c r="D388" i="5"/>
  <c r="D387"/>
  <c r="E387" s="1"/>
  <c r="M82" i="7" s="1"/>
  <c r="D386" i="5"/>
  <c r="E386" s="1"/>
  <c r="M81" i="7" s="1"/>
  <c r="D385" i="5"/>
  <c r="E385" s="1"/>
  <c r="M80" i="7" s="1"/>
  <c r="D384" i="5"/>
  <c r="E384" s="1"/>
  <c r="M79" i="7" s="1"/>
  <c r="D382" i="5"/>
  <c r="E382" s="1"/>
  <c r="M77" i="7" s="1"/>
  <c r="D380" i="5"/>
  <c r="E380" s="1"/>
  <c r="M75" i="7" s="1"/>
  <c r="D379" i="5"/>
  <c r="E379" s="1"/>
  <c r="M74" i="7" s="1"/>
  <c r="D378" i="5"/>
  <c r="E378" s="1"/>
  <c r="M73" i="7" s="1"/>
  <c r="D377" i="5"/>
  <c r="E377" s="1"/>
  <c r="M72" i="7" s="1"/>
  <c r="D373" i="5"/>
  <c r="E373" s="1"/>
  <c r="D75" i="7" s="1"/>
  <c r="D307" i="5"/>
  <c r="E307" s="1"/>
  <c r="M60" i="7" s="1"/>
  <c r="D181" i="5"/>
  <c r="E181" s="1"/>
  <c r="M45" i="7" s="1"/>
  <c r="D103" i="5"/>
  <c r="E103" s="1"/>
  <c r="M29" i="7" s="1"/>
  <c r="D29" i="5"/>
  <c r="E29" s="1"/>
  <c r="M14" i="7" s="1"/>
  <c r="D27" i="5"/>
  <c r="E27" s="1"/>
  <c r="M12" i="7" s="1"/>
  <c r="D28" i="5"/>
  <c r="E28" s="1"/>
  <c r="M13" i="7" s="1"/>
  <c r="B378"/>
  <c r="B377"/>
  <c r="B376"/>
  <c r="B375"/>
  <c r="B374"/>
  <c r="D1939" i="5"/>
  <c r="E1939" s="1"/>
  <c r="M374" i="7" s="1"/>
  <c r="D1938" i="5"/>
  <c r="E1938" s="1"/>
  <c r="M373" i="7" s="1"/>
  <c r="D1936" i="5"/>
  <c r="E1936" s="1"/>
  <c r="M371" i="7" s="1"/>
  <c r="B315"/>
  <c r="B314"/>
  <c r="B313"/>
  <c r="B312"/>
  <c r="D1579" i="5"/>
  <c r="D1578"/>
  <c r="E1578" s="1"/>
  <c r="M320" i="7" s="1"/>
  <c r="D1577" i="5"/>
  <c r="E1577" s="1"/>
  <c r="M319" i="7" s="1"/>
  <c r="D1576" i="5"/>
  <c r="E1576" s="1"/>
  <c r="M318" i="7" s="1"/>
  <c r="D1575" i="5"/>
  <c r="E1575" s="1"/>
  <c r="M317" i="7" s="1"/>
  <c r="D1573" i="5"/>
  <c r="E1573" s="1"/>
  <c r="M315" i="7" s="1"/>
  <c r="D1571" i="5"/>
  <c r="E1571" s="1"/>
  <c r="M313" i="7" s="1"/>
  <c r="D1570" i="5"/>
  <c r="E1570" s="1"/>
  <c r="M312" i="7" s="1"/>
  <c r="D1569" i="5"/>
  <c r="E1569" s="1"/>
  <c r="M311" i="7" s="1"/>
  <c r="D1568" i="5"/>
  <c r="E1568" s="1"/>
  <c r="M310" i="7" s="1"/>
  <c r="D1567" i="5"/>
  <c r="E1567" s="1"/>
  <c r="M309" i="7" s="1"/>
  <c r="B272"/>
  <c r="B271"/>
  <c r="B270"/>
  <c r="B257"/>
  <c r="B256"/>
  <c r="B244"/>
  <c r="B243"/>
  <c r="B284"/>
  <c r="D1356" i="5"/>
  <c r="D1355"/>
  <c r="E1355" s="1"/>
  <c r="M278" i="7" s="1"/>
  <c r="D1354" i="5"/>
  <c r="E1354" s="1"/>
  <c r="M277" i="7" s="1"/>
  <c r="D1353" i="5"/>
  <c r="E1353" s="1"/>
  <c r="M276" i="7" s="1"/>
  <c r="D1352" i="5"/>
  <c r="E1352" s="1"/>
  <c r="M275" i="7" s="1"/>
  <c r="D1350" i="5"/>
  <c r="E1350" s="1"/>
  <c r="M273" i="7" s="1"/>
  <c r="D1348" i="5"/>
  <c r="E1348" s="1"/>
  <c r="M271" i="7" s="1"/>
  <c r="D1346" i="5"/>
  <c r="E1346" s="1"/>
  <c r="M269" i="7" s="1"/>
  <c r="D1345" i="5"/>
  <c r="E1345" s="1"/>
  <c r="M268" i="7" s="1"/>
  <c r="D1344" i="5"/>
  <c r="E1344" s="1"/>
  <c r="M267" i="7" s="1"/>
  <c r="D1282" i="5"/>
  <c r="D1281"/>
  <c r="E1281" s="1"/>
  <c r="M264" i="7" s="1"/>
  <c r="D1280" i="5"/>
  <c r="E1280" s="1"/>
  <c r="M263" i="7" s="1"/>
  <c r="D1279" i="5"/>
  <c r="E1279" s="1"/>
  <c r="M262" i="7" s="1"/>
  <c r="D1278" i="5"/>
  <c r="E1278" s="1"/>
  <c r="M261" i="7" s="1"/>
  <c r="D1276" i="5"/>
  <c r="E1276" s="1"/>
  <c r="M259" i="7" s="1"/>
  <c r="D1274" i="5"/>
  <c r="E1274" s="1"/>
  <c r="M257" i="7" s="1"/>
  <c r="D1272" i="5"/>
  <c r="E1272" s="1"/>
  <c r="M255" i="7" s="1"/>
  <c r="D1271" i="5"/>
  <c r="E1271" s="1"/>
  <c r="M254" i="7" s="1"/>
  <c r="D1270" i="5"/>
  <c r="E1270" s="1"/>
  <c r="M253" i="7" s="1"/>
  <c r="D1209" i="5"/>
  <c r="D1208"/>
  <c r="E1208" s="1"/>
  <c r="M250" i="7" s="1"/>
  <c r="D1207" i="5"/>
  <c r="E1207" s="1"/>
  <c r="M249" i="7" s="1"/>
  <c r="D1206" i="5"/>
  <c r="E1206" s="1"/>
  <c r="M248" i="7" s="1"/>
  <c r="D1205" i="5"/>
  <c r="E1205" s="1"/>
  <c r="M247" i="7" s="1"/>
  <c r="D1203" i="5"/>
  <c r="E1203" s="1"/>
  <c r="M245" i="7" s="1"/>
  <c r="D1201" i="5"/>
  <c r="E1201" s="1"/>
  <c r="M243" i="7" s="1"/>
  <c r="D1200" i="5"/>
  <c r="E1200" s="1"/>
  <c r="M242" i="7" s="1"/>
  <c r="D1199" i="5"/>
  <c r="E1199" s="1"/>
  <c r="M241" i="7" s="1"/>
  <c r="D1198" i="5"/>
  <c r="E1198" s="1"/>
  <c r="M240" i="7" s="1"/>
  <c r="B215"/>
  <c r="B214"/>
  <c r="B171"/>
  <c r="B170"/>
  <c r="B157"/>
  <c r="B156"/>
  <c r="D1060" i="5"/>
  <c r="D1059"/>
  <c r="E1059" s="1"/>
  <c r="M222" i="7" s="1"/>
  <c r="D1058" i="5"/>
  <c r="E1058" s="1"/>
  <c r="M221" i="7" s="1"/>
  <c r="D1057" i="5"/>
  <c r="E1057" s="1"/>
  <c r="M220" i="7" s="1"/>
  <c r="D1056" i="5"/>
  <c r="E1056" s="1"/>
  <c r="M219" i="7" s="1"/>
  <c r="D1054" i="5"/>
  <c r="E1054" s="1"/>
  <c r="M217" i="7" s="1"/>
  <c r="D1052" i="5"/>
  <c r="E1052" s="1"/>
  <c r="M215" i="7" s="1"/>
  <c r="D1050" i="5"/>
  <c r="E1050" s="1"/>
  <c r="M213" i="7" s="1"/>
  <c r="D1049" i="5"/>
  <c r="E1049" s="1"/>
  <c r="M212" i="7" s="1"/>
  <c r="D1048" i="5"/>
  <c r="E1048" s="1"/>
  <c r="M211" i="7" s="1"/>
  <c r="D831" i="5"/>
  <c r="D830"/>
  <c r="E830" s="1"/>
  <c r="M178" i="7" s="1"/>
  <c r="D829" i="5"/>
  <c r="E829" s="1"/>
  <c r="M177" i="7" s="1"/>
  <c r="D828" i="5"/>
  <c r="E828" s="1"/>
  <c r="M176" i="7" s="1"/>
  <c r="D827" i="5"/>
  <c r="E827" s="1"/>
  <c r="M175" i="7" s="1"/>
  <c r="D825" i="5"/>
  <c r="E825" s="1"/>
  <c r="M173" i="7" s="1"/>
  <c r="D823" i="5"/>
  <c r="E823" s="1"/>
  <c r="M171" i="7" s="1"/>
  <c r="D821" i="5"/>
  <c r="E821" s="1"/>
  <c r="M169" i="7" s="1"/>
  <c r="D820" i="5"/>
  <c r="E820" s="1"/>
  <c r="M168" i="7" s="1"/>
  <c r="D819" i="5"/>
  <c r="E819" s="1"/>
  <c r="M167" i="7" s="1"/>
  <c r="D758" i="5"/>
  <c r="D757"/>
  <c r="E757" s="1"/>
  <c r="M164" i="7" s="1"/>
  <c r="D756" i="5"/>
  <c r="E756" s="1"/>
  <c r="M163" i="7" s="1"/>
  <c r="D755" i="5"/>
  <c r="E755" s="1"/>
  <c r="M162" i="7" s="1"/>
  <c r="D754" i="5"/>
  <c r="E754" s="1"/>
  <c r="M161" i="7" s="1"/>
  <c r="D752" i="5"/>
  <c r="E752" s="1"/>
  <c r="M159" i="7" s="1"/>
  <c r="D750" i="5"/>
  <c r="E750" s="1"/>
  <c r="M157" i="7" s="1"/>
  <c r="D748" i="5"/>
  <c r="E748" s="1"/>
  <c r="M155" i="7" s="1"/>
  <c r="D747" i="5"/>
  <c r="E747" s="1"/>
  <c r="M154" i="7" s="1"/>
  <c r="D746" i="5"/>
  <c r="E746" s="1"/>
  <c r="M153" i="7" s="1"/>
  <c r="J1786" i="5"/>
  <c r="K1786" s="1"/>
  <c r="G353" i="7" s="1"/>
  <c r="J1788" i="5"/>
  <c r="K1788" s="1"/>
  <c r="G355" i="7" s="1"/>
  <c r="J1789" i="5"/>
  <c r="K1789" s="1"/>
  <c r="G356" i="7" s="1"/>
  <c r="J1790" i="5"/>
  <c r="K1790" s="1"/>
  <c r="G357" i="7" s="1"/>
  <c r="J1791" i="5"/>
  <c r="K1791" s="1"/>
  <c r="G358" i="7" s="1"/>
  <c r="J1785" i="5"/>
  <c r="K1785" s="1"/>
  <c r="G352" i="7" s="1"/>
  <c r="J1710" i="5"/>
  <c r="K1710" s="1"/>
  <c r="G341" i="7" s="1"/>
  <c r="J1711" i="5"/>
  <c r="K1711" s="1"/>
  <c r="G342" i="7" s="1"/>
  <c r="J1712" i="5"/>
  <c r="K1712" s="1"/>
  <c r="G343" i="7" s="1"/>
  <c r="B143"/>
  <c r="B142"/>
  <c r="B130"/>
  <c r="B129"/>
  <c r="B117"/>
  <c r="B116"/>
  <c r="B115"/>
  <c r="B104"/>
  <c r="B103"/>
  <c r="B102"/>
  <c r="D612" i="5"/>
  <c r="D611"/>
  <c r="E611" s="1"/>
  <c r="M136" i="7" s="1"/>
  <c r="D610" i="5"/>
  <c r="E610" s="1"/>
  <c r="M135" i="7" s="1"/>
  <c r="D609" i="5"/>
  <c r="E609" s="1"/>
  <c r="M134" i="7" s="1"/>
  <c r="D608" i="5"/>
  <c r="E608" s="1"/>
  <c r="M133" i="7" s="1"/>
  <c r="D606" i="5"/>
  <c r="E606" s="1"/>
  <c r="M131" i="7" s="1"/>
  <c r="D604" i="5"/>
  <c r="E604" s="1"/>
  <c r="M129" i="7" s="1"/>
  <c r="D603" i="5"/>
  <c r="E603" s="1"/>
  <c r="M128" i="7" s="1"/>
  <c r="D602" i="5"/>
  <c r="E602" s="1"/>
  <c r="M127" i="7" s="1"/>
  <c r="D601" i="5"/>
  <c r="E601" s="1"/>
  <c r="M126" i="7" s="1"/>
  <c r="D540" i="5"/>
  <c r="D539"/>
  <c r="E539" s="1"/>
  <c r="M123" i="7" s="1"/>
  <c r="D538" i="5"/>
  <c r="E538" s="1"/>
  <c r="M122" i="7" s="1"/>
  <c r="D537" i="5"/>
  <c r="E537" s="1"/>
  <c r="M121" i="7" s="1"/>
  <c r="D536" i="5"/>
  <c r="E536" s="1"/>
  <c r="M120" i="7" s="1"/>
  <c r="D534" i="5"/>
  <c r="E534" s="1"/>
  <c r="M118" i="7" s="1"/>
  <c r="D532" i="5"/>
  <c r="E532" s="1"/>
  <c r="M116" i="7" s="1"/>
  <c r="D530" i="5"/>
  <c r="E530" s="1"/>
  <c r="M114" i="7" s="1"/>
  <c r="D529" i="5"/>
  <c r="E529" s="1"/>
  <c r="M113" i="7" s="1"/>
  <c r="D528" i="5"/>
  <c r="E528" s="1"/>
  <c r="M112" i="7" s="1"/>
  <c r="J1787" i="5"/>
  <c r="K1787" s="1"/>
  <c r="G354" i="7" s="1"/>
  <c r="J1709" i="5"/>
  <c r="K1709" s="1"/>
  <c r="G340" i="7" s="1"/>
  <c r="J1713" i="5"/>
  <c r="K1713" s="1"/>
  <c r="G344" i="7" s="1"/>
  <c r="J1714" i="5"/>
  <c r="K1714" s="1"/>
  <c r="G345" i="7" s="1"/>
  <c r="J1708" i="5"/>
  <c r="K1708" s="1"/>
  <c r="G339" i="7" s="1"/>
  <c r="D685" i="5"/>
  <c r="D684"/>
  <c r="E684" s="1"/>
  <c r="M150" i="7" s="1"/>
  <c r="D683" i="5"/>
  <c r="E683" s="1"/>
  <c r="M149" i="7" s="1"/>
  <c r="D682" i="5"/>
  <c r="E682" s="1"/>
  <c r="M148" i="7" s="1"/>
  <c r="D681" i="5"/>
  <c r="E681" s="1"/>
  <c r="M147" i="7" s="1"/>
  <c r="D679" i="5"/>
  <c r="E679" s="1"/>
  <c r="M145" i="7" s="1"/>
  <c r="D677" i="5"/>
  <c r="E677" s="1"/>
  <c r="M143" i="7" s="1"/>
  <c r="D675" i="5"/>
  <c r="E675" s="1"/>
  <c r="M141" i="7" s="1"/>
  <c r="D674" i="5"/>
  <c r="E674" s="1"/>
  <c r="M140" i="7" s="1"/>
  <c r="D673" i="5"/>
  <c r="E673" s="1"/>
  <c r="M139" i="7" s="1"/>
  <c r="D16" i="5"/>
  <c r="E16" s="1"/>
  <c r="D13" i="7" s="1"/>
  <c r="D17" i="5"/>
  <c r="E17" s="1"/>
  <c r="D14" i="7" s="1"/>
  <c r="D18" i="5"/>
  <c r="E18" s="1"/>
  <c r="D15" i="7" s="1"/>
  <c r="D19" i="5"/>
  <c r="E19" s="1"/>
  <c r="D16" i="7" s="1"/>
  <c r="D20" i="5"/>
  <c r="E20" s="1"/>
  <c r="D17" i="7" s="1"/>
  <c r="D24" i="5"/>
  <c r="E24" s="1"/>
  <c r="M9" i="7" s="1"/>
  <c r="D25" i="5"/>
  <c r="E25" s="1"/>
  <c r="M10" i="7" s="1"/>
  <c r="D26" i="5"/>
  <c r="E26" s="1"/>
  <c r="M11" i="7" s="1"/>
  <c r="D30" i="5"/>
  <c r="E30" s="1"/>
  <c r="M15" i="7" s="1"/>
  <c r="D32" i="5"/>
  <c r="E32" s="1"/>
  <c r="M17" i="7" s="1"/>
  <c r="D34" i="5"/>
  <c r="E34" s="1"/>
  <c r="M19" i="7" s="1"/>
  <c r="D35" i="5"/>
  <c r="E35" s="1"/>
  <c r="M20" i="7" s="1"/>
  <c r="D36" i="5"/>
  <c r="E36" s="1"/>
  <c r="M21" i="7" s="1"/>
  <c r="D37" i="5"/>
  <c r="E37" s="1"/>
  <c r="M22" i="7" s="1"/>
  <c r="D38" i="5"/>
  <c r="D39"/>
  <c r="E39" s="1"/>
  <c r="M24" i="7" s="1"/>
  <c r="D95" i="5"/>
  <c r="E95" s="1"/>
  <c r="D29" i="7" s="1"/>
  <c r="D96" i="5"/>
  <c r="E96" s="1"/>
  <c r="D30" i="7" s="1"/>
  <c r="D100" i="5"/>
  <c r="E100" s="1"/>
  <c r="M26" i="7" s="1"/>
  <c r="D101" i="5"/>
  <c r="E101" s="1"/>
  <c r="M27" i="7" s="1"/>
  <c r="D102" i="5"/>
  <c r="E102" s="1"/>
  <c r="M28" i="7" s="1"/>
  <c r="D104" i="5"/>
  <c r="E104" s="1"/>
  <c r="M30" i="7" s="1"/>
  <c r="D106" i="5"/>
  <c r="E106" s="1"/>
  <c r="M32" i="7" s="1"/>
  <c r="D108" i="5"/>
  <c r="E108" s="1"/>
  <c r="M34" i="7" s="1"/>
  <c r="D109" i="5"/>
  <c r="E109" s="1"/>
  <c r="M35" i="7" s="1"/>
  <c r="D110" i="5"/>
  <c r="E110" s="1"/>
  <c r="M36" i="7" s="1"/>
  <c r="D111" i="5"/>
  <c r="E111" s="1"/>
  <c r="M37" i="7" s="1"/>
  <c r="D112" i="5"/>
  <c r="D113"/>
  <c r="E113" s="1"/>
  <c r="M39" i="7" s="1"/>
  <c r="D169" i="5"/>
  <c r="E169" s="1"/>
  <c r="D44" i="7" s="1"/>
  <c r="D171" i="5"/>
  <c r="E171" s="1"/>
  <c r="D46" i="7" s="1"/>
  <c r="D172" i="5"/>
  <c r="E172" s="1"/>
  <c r="D47" i="7" s="1"/>
  <c r="D173" i="5"/>
  <c r="E173" s="1"/>
  <c r="D48" i="7" s="1"/>
  <c r="D177" i="5"/>
  <c r="E177" s="1"/>
  <c r="M41" i="7" s="1"/>
  <c r="D178" i="5"/>
  <c r="E178" s="1"/>
  <c r="M42" i="7" s="1"/>
  <c r="D179" i="5"/>
  <c r="E179" s="1"/>
  <c r="M43" i="7" s="1"/>
  <c r="D180" i="5"/>
  <c r="E180" s="1"/>
  <c r="M44" i="7" s="1"/>
  <c r="D182" i="5"/>
  <c r="E182" s="1"/>
  <c r="M46" i="7" s="1"/>
  <c r="E184" i="5"/>
  <c r="M48" i="7" s="1"/>
  <c r="D186" i="5"/>
  <c r="E186" s="1"/>
  <c r="M50" i="7" s="1"/>
  <c r="D187" i="5"/>
  <c r="E187" s="1"/>
  <c r="M51" i="7" s="1"/>
  <c r="D188" i="5"/>
  <c r="E188" s="1"/>
  <c r="M52" i="7" s="1"/>
  <c r="D189" i="5"/>
  <c r="E189" s="1"/>
  <c r="M53" i="7" s="1"/>
  <c r="D190" i="5"/>
  <c r="D191"/>
  <c r="E191" s="1"/>
  <c r="M55" i="7" s="1"/>
  <c r="D296" i="5"/>
  <c r="E296" s="1"/>
  <c r="D60" i="7" s="1"/>
  <c r="D297" i="5"/>
  <c r="E297" s="1"/>
  <c r="D61" i="7" s="1"/>
  <c r="D298" i="5"/>
  <c r="E298" s="1"/>
  <c r="D62" i="7" s="1"/>
  <c r="D299" i="5"/>
  <c r="E299" s="1"/>
  <c r="D63" i="7" s="1"/>
  <c r="D300" i="5"/>
  <c r="E300" s="1"/>
  <c r="D64" i="7" s="1"/>
  <c r="D304" i="5"/>
  <c r="E304" s="1"/>
  <c r="M57" i="7" s="1"/>
  <c r="D305" i="5"/>
  <c r="E305" s="1"/>
  <c r="M58" i="7" s="1"/>
  <c r="D306" i="5"/>
  <c r="E306" s="1"/>
  <c r="M59" i="7" s="1"/>
  <c r="D308" i="5"/>
  <c r="E308" s="1"/>
  <c r="M61" i="7" s="1"/>
  <c r="D310" i="5"/>
  <c r="E310" s="1"/>
  <c r="M63" i="7" s="1"/>
  <c r="D312" i="5"/>
  <c r="E312" s="1"/>
  <c r="M65" i="7" s="1"/>
  <c r="D313" i="5"/>
  <c r="E313" s="1"/>
  <c r="M66" i="7" s="1"/>
  <c r="D314" i="5"/>
  <c r="E314" s="1"/>
  <c r="M67" i="7" s="1"/>
  <c r="D315" i="5"/>
  <c r="E315" s="1"/>
  <c r="M68" i="7" s="1"/>
  <c r="D316" i="5"/>
  <c r="D317"/>
  <c r="E317" s="1"/>
  <c r="M70" i="7" s="1"/>
  <c r="D455" i="5"/>
  <c r="E455" s="1"/>
  <c r="M99" i="7" s="1"/>
  <c r="D456" i="5"/>
  <c r="E456" s="1"/>
  <c r="M100" i="7" s="1"/>
  <c r="D457" i="5"/>
  <c r="E457" s="1"/>
  <c r="M101" i="7" s="1"/>
  <c r="D458" i="5"/>
  <c r="E458" s="1"/>
  <c r="M102" i="7" s="1"/>
  <c r="D460" i="5"/>
  <c r="E460" s="1"/>
  <c r="M104" i="7" s="1"/>
  <c r="D462" i="5"/>
  <c r="E462" s="1"/>
  <c r="M106" i="7" s="1"/>
  <c r="D463" i="5"/>
  <c r="E463" s="1"/>
  <c r="M107" i="7" s="1"/>
  <c r="D464" i="5"/>
  <c r="E464" s="1"/>
  <c r="M108" i="7" s="1"/>
  <c r="D465" i="5"/>
  <c r="E465" s="1"/>
  <c r="M109" i="7" s="1"/>
  <c r="D466" i="5"/>
  <c r="D896"/>
  <c r="E896" s="1"/>
  <c r="M181" i="7" s="1"/>
  <c r="D897" i="5"/>
  <c r="E897" s="1"/>
  <c r="M182" i="7" s="1"/>
  <c r="D898" i="5"/>
  <c r="E898" s="1"/>
  <c r="M183" i="7" s="1"/>
  <c r="D899" i="5"/>
  <c r="E899" s="1"/>
  <c r="M184" i="7" s="1"/>
  <c r="D901" i="5"/>
  <c r="E901" s="1"/>
  <c r="M186" i="7" s="1"/>
  <c r="D903" i="5"/>
  <c r="E903" s="1"/>
  <c r="M188" i="7" s="1"/>
  <c r="D905" i="5"/>
  <c r="E905" s="1"/>
  <c r="M190" i="7" s="1"/>
  <c r="D906" i="5"/>
  <c r="E906" s="1"/>
  <c r="M191" i="7" s="1"/>
  <c r="D907" i="5"/>
  <c r="E907" s="1"/>
  <c r="M192" i="7" s="1"/>
  <c r="D908" i="5"/>
  <c r="E908" s="1"/>
  <c r="M193" i="7" s="1"/>
  <c r="D909" i="5"/>
  <c r="D974"/>
  <c r="E974" s="1"/>
  <c r="M196" i="7" s="1"/>
  <c r="D975" i="5"/>
  <c r="E975" s="1"/>
  <c r="M197" i="7" s="1"/>
  <c r="D976" i="5"/>
  <c r="E976" s="1"/>
  <c r="M198" i="7" s="1"/>
  <c r="D977" i="5"/>
  <c r="E977" s="1"/>
  <c r="M199" i="7" s="1"/>
  <c r="D979" i="5"/>
  <c r="E979" s="1"/>
  <c r="M201" i="7" s="1"/>
  <c r="D981" i="5"/>
  <c r="E981" s="1"/>
  <c r="M203" i="7" s="1"/>
  <c r="D983" i="5"/>
  <c r="E983" s="1"/>
  <c r="M205" i="7" s="1"/>
  <c r="D984" i="5"/>
  <c r="E984" s="1"/>
  <c r="M206" i="7" s="1"/>
  <c r="D985" i="5"/>
  <c r="E985" s="1"/>
  <c r="M207" i="7" s="1"/>
  <c r="D986" i="5"/>
  <c r="E986" s="1"/>
  <c r="M208" i="7" s="1"/>
  <c r="D987" i="5"/>
  <c r="D1124"/>
  <c r="E1124" s="1"/>
  <c r="M225" i="7" s="1"/>
  <c r="D1125" i="5"/>
  <c r="E1125" s="1"/>
  <c r="M226" i="7" s="1"/>
  <c r="D1126" i="5"/>
  <c r="E1126" s="1"/>
  <c r="M227" i="7" s="1"/>
  <c r="D1127" i="5"/>
  <c r="E1127" s="1"/>
  <c r="M228" i="7" s="1"/>
  <c r="D1129" i="5"/>
  <c r="E1129" s="1"/>
  <c r="M230" i="7" s="1"/>
  <c r="D1131" i="5"/>
  <c r="E1131" s="1"/>
  <c r="M232" i="7" s="1"/>
  <c r="D1133" i="5"/>
  <c r="E1133" s="1"/>
  <c r="M234" i="7" s="1"/>
  <c r="D1134" i="5"/>
  <c r="E1134" s="1"/>
  <c r="M235" i="7" s="1"/>
  <c r="D1135" i="5"/>
  <c r="E1135" s="1"/>
  <c r="M236" i="7" s="1"/>
  <c r="D1136" i="5"/>
  <c r="E1136" s="1"/>
  <c r="M237" i="7" s="1"/>
  <c r="D1137" i="5"/>
  <c r="D1418"/>
  <c r="E1418" s="1"/>
  <c r="M281" i="7" s="1"/>
  <c r="D1419" i="5"/>
  <c r="E1419" s="1"/>
  <c r="M282" i="7" s="1"/>
  <c r="D1420" i="5"/>
  <c r="E1420" s="1"/>
  <c r="M283" i="7" s="1"/>
  <c r="D1421" i="5"/>
  <c r="E1421" s="1"/>
  <c r="M284" i="7" s="1"/>
  <c r="D1422" i="5"/>
  <c r="E1422" s="1"/>
  <c r="M285" i="7" s="1"/>
  <c r="D1424" i="5"/>
  <c r="E1424" s="1"/>
  <c r="M287" i="7" s="1"/>
  <c r="D1426" i="5"/>
  <c r="E1426" s="1"/>
  <c r="M289" i="7" s="1"/>
  <c r="D1427" i="5"/>
  <c r="E1427" s="1"/>
  <c r="M290" i="7" s="1"/>
  <c r="D1428" i="5"/>
  <c r="E1428" s="1"/>
  <c r="M291" i="7" s="1"/>
  <c r="D1429" i="5"/>
  <c r="E1429" s="1"/>
  <c r="M292" i="7" s="1"/>
  <c r="D1430" i="5"/>
  <c r="D1492"/>
  <c r="E1492" s="1"/>
  <c r="M295" i="7" s="1"/>
  <c r="D1493" i="5"/>
  <c r="E1493" s="1"/>
  <c r="M296" i="7" s="1"/>
  <c r="D1494" i="5"/>
  <c r="E1494" s="1"/>
  <c r="M297" i="7" s="1"/>
  <c r="D1495" i="5"/>
  <c r="E1495" s="1"/>
  <c r="M298" i="7" s="1"/>
  <c r="D1496" i="5"/>
  <c r="E1496" s="1"/>
  <c r="M299" i="7" s="1"/>
  <c r="D1498" i="5"/>
  <c r="E1498" s="1"/>
  <c r="M301" i="7" s="1"/>
  <c r="D1500" i="5"/>
  <c r="E1500" s="1"/>
  <c r="M303" i="7" s="1"/>
  <c r="D1501" i="5"/>
  <c r="E1501" s="1"/>
  <c r="M304" i="7" s="1"/>
  <c r="D1502" i="5"/>
  <c r="E1502" s="1"/>
  <c r="M305" i="7" s="1"/>
  <c r="D1503" i="5"/>
  <c r="E1503" s="1"/>
  <c r="M306" i="7" s="1"/>
  <c r="D1504" i="5"/>
  <c r="D1635"/>
  <c r="E1635" s="1"/>
  <c r="D326" i="7" s="1"/>
  <c r="D1636" i="5"/>
  <c r="E1636" s="1"/>
  <c r="D327" i="7" s="1"/>
  <c r="D1637" i="5"/>
  <c r="E1637" s="1"/>
  <c r="D328" i="7" s="1"/>
  <c r="D1641" i="5"/>
  <c r="E1641" s="1"/>
  <c r="M323" i="7" s="1"/>
  <c r="D1642" i="5"/>
  <c r="D1643"/>
  <c r="D1644"/>
  <c r="E1644" s="1"/>
  <c r="M326" i="7" s="1"/>
  <c r="D1646" i="5"/>
  <c r="E1646" s="1"/>
  <c r="M328" i="7" s="1"/>
  <c r="D1648" i="5"/>
  <c r="E1648" s="1"/>
  <c r="M330" i="7" s="1"/>
  <c r="D1649" i="5"/>
  <c r="E1649" s="1"/>
  <c r="M331" i="7" s="1"/>
  <c r="D1650" i="5"/>
  <c r="E1650" s="1"/>
  <c r="M332" i="7" s="1"/>
  <c r="D1651" i="5"/>
  <c r="D1652"/>
  <c r="E1652" s="1"/>
  <c r="M334" i="7" s="1"/>
  <c r="D1708" i="5"/>
  <c r="E1708" s="1"/>
  <c r="D339" i="7" s="1"/>
  <c r="D1709" i="5"/>
  <c r="E1709" s="1"/>
  <c r="D340" i="7" s="1"/>
  <c r="D1710" i="5"/>
  <c r="E1710" s="1"/>
  <c r="D341" i="7" s="1"/>
  <c r="D1711" i="5"/>
  <c r="E1711" s="1"/>
  <c r="D342" i="7" s="1"/>
  <c r="D1712" i="5"/>
  <c r="E1712" s="1"/>
  <c r="D343" i="7" s="1"/>
  <c r="D1713" i="5"/>
  <c r="E1713" s="1"/>
  <c r="D344" i="7" s="1"/>
  <c r="D1714" i="5"/>
  <c r="E1714" s="1"/>
  <c r="D345" i="7" s="1"/>
  <c r="D1718" i="5"/>
  <c r="E1718" s="1"/>
  <c r="M336" i="7" s="1"/>
  <c r="D1719" i="5"/>
  <c r="E1719" s="1"/>
  <c r="M337" i="7" s="1"/>
  <c r="D1720" i="5"/>
  <c r="E1720" s="1"/>
  <c r="M338" i="7" s="1"/>
  <c r="D1721" i="5"/>
  <c r="E1721" s="1"/>
  <c r="M339" i="7" s="1"/>
  <c r="D1723" i="5"/>
  <c r="E1723" s="1"/>
  <c r="M341" i="7" s="1"/>
  <c r="D1725" i="5"/>
  <c r="E1725" s="1"/>
  <c r="M343" i="7" s="1"/>
  <c r="D1726" i="5"/>
  <c r="E1726" s="1"/>
  <c r="M344" i="7" s="1"/>
  <c r="D1727" i="5"/>
  <c r="E1727" s="1"/>
  <c r="M345" i="7" s="1"/>
  <c r="D1728" i="5"/>
  <c r="D1729"/>
  <c r="E1729" s="1"/>
  <c r="M347" i="7" s="1"/>
  <c r="D1785" i="5"/>
  <c r="E1785" s="1"/>
  <c r="D352" i="7" s="1"/>
  <c r="D1786" i="5"/>
  <c r="E1786" s="1"/>
  <c r="D353" i="7" s="1"/>
  <c r="D1787" i="5"/>
  <c r="E1787" s="1"/>
  <c r="D354" i="7" s="1"/>
  <c r="D1788" i="5"/>
  <c r="E1788" s="1"/>
  <c r="D355" i="7" s="1"/>
  <c r="D1789" i="5"/>
  <c r="E1789" s="1"/>
  <c r="D356" i="7" s="1"/>
  <c r="D1790" i="5"/>
  <c r="E1790" s="1"/>
  <c r="D357" i="7" s="1"/>
  <c r="D1791" i="5"/>
  <c r="E1791" s="1"/>
  <c r="D358" i="7" s="1"/>
  <c r="D1795" i="5"/>
  <c r="E1795" s="1"/>
  <c r="M349" i="7" s="1"/>
  <c r="D1796" i="5"/>
  <c r="E1796" s="1"/>
  <c r="M350" i="7" s="1"/>
  <c r="D1797" i="5"/>
  <c r="E1797" s="1"/>
  <c r="M351" i="7" s="1"/>
  <c r="D1799" i="5"/>
  <c r="E1799" s="1"/>
  <c r="M353" i="7" s="1"/>
  <c r="D1801" i="5"/>
  <c r="E1801" s="1"/>
  <c r="M355" i="7" s="1"/>
  <c r="D1802" i="5"/>
  <c r="E1802" s="1"/>
  <c r="M356" i="7" s="1"/>
  <c r="D1803" i="5"/>
  <c r="E1803" s="1"/>
  <c r="M357" i="7" s="1"/>
  <c r="D1804" i="5"/>
  <c r="D1860"/>
  <c r="E1860" s="1"/>
  <c r="D364" i="7" s="1"/>
  <c r="D1861" i="5"/>
  <c r="E1861" s="1"/>
  <c r="D365" i="7" s="1"/>
  <c r="D1862" i="5"/>
  <c r="E1862" s="1"/>
  <c r="D366" i="7" s="1"/>
  <c r="D1863" i="5"/>
  <c r="E1863" s="1"/>
  <c r="D367" i="7" s="1"/>
  <c r="D1864" i="5"/>
  <c r="E1864" s="1"/>
  <c r="D368" i="7" s="1"/>
  <c r="D1868" i="5"/>
  <c r="E1868" s="1"/>
  <c r="M361" i="7" s="1"/>
  <c r="D1869" i="5"/>
  <c r="E1869" s="1"/>
  <c r="M362" i="7" s="1"/>
  <c r="D1870" i="5"/>
  <c r="E1870" s="1"/>
  <c r="M363" i="7" s="1"/>
  <c r="D1871" i="5"/>
  <c r="E1871" s="1"/>
  <c r="M364" i="7" s="1"/>
  <c r="D1872" i="5"/>
  <c r="E1872" s="1"/>
  <c r="M365" i="7" s="1"/>
  <c r="D1873" i="5"/>
  <c r="E1873" s="1"/>
  <c r="M366" i="7" s="1"/>
  <c r="D1995" i="5"/>
  <c r="E1995" s="1"/>
  <c r="D384" i="7" s="1"/>
  <c r="D1996" i="5"/>
  <c r="E1996" s="1"/>
  <c r="D385" i="7" s="1"/>
  <c r="D2000" i="5"/>
  <c r="E2000" s="1"/>
  <c r="M381" i="7" s="1"/>
  <c r="D2001" i="5"/>
  <c r="E2001" s="1"/>
  <c r="M382" i="7" s="1"/>
  <c r="D2002" i="5"/>
  <c r="E2002" s="1"/>
  <c r="M383" i="7" s="1"/>
  <c r="D2003" i="5"/>
  <c r="E2003" s="1"/>
  <c r="M384" i="7" s="1"/>
  <c r="D2004" i="5"/>
  <c r="E2004" s="1"/>
  <c r="M385" i="7" s="1"/>
  <c r="D2005" i="5"/>
  <c r="E2005" s="1"/>
  <c r="M386" i="7" s="1"/>
  <c r="D2064" i="5"/>
  <c r="E2064" s="1"/>
  <c r="M389" i="7" s="1"/>
  <c r="D2131" i="5"/>
  <c r="E2131" s="1"/>
  <c r="D406" i="7" s="1"/>
  <c r="D2132" i="5"/>
  <c r="E2132" s="1"/>
  <c r="D407" i="7" s="1"/>
  <c r="D2204" i="5"/>
  <c r="E2204" s="1"/>
  <c r="D427" i="7" s="1"/>
  <c r="D2272" i="5"/>
  <c r="E2272" s="1"/>
  <c r="D443" i="7" s="1"/>
  <c r="D2344" i="5"/>
  <c r="E2344" s="1"/>
  <c r="D463" i="7" s="1"/>
  <c r="D2473" i="5"/>
  <c r="E2473" s="1"/>
  <c r="M472" i="7" s="1"/>
  <c r="D2474" i="5"/>
  <c r="E2474" s="1"/>
  <c r="M473" i="7" s="1"/>
  <c r="D2475" i="5"/>
  <c r="E2475" s="1"/>
  <c r="M474" i="7" s="1"/>
  <c r="D2476" i="5"/>
  <c r="E2476" s="1"/>
  <c r="M475" i="7" s="1"/>
  <c r="D2477" i="5"/>
  <c r="E2477" s="1"/>
  <c r="M476" i="7" s="1"/>
  <c r="D2478" i="5"/>
  <c r="E2478" s="1"/>
  <c r="M477" i="7" s="1"/>
  <c r="D2479" i="5"/>
  <c r="E2479" s="1"/>
  <c r="M478" i="7" s="1"/>
  <c r="D2480" i="5"/>
  <c r="E2480" s="1"/>
  <c r="M479" i="7" s="1"/>
  <c r="D2534" i="5"/>
  <c r="E2534" s="1"/>
  <c r="D490" i="7" s="1"/>
  <c r="D2535" i="5"/>
  <c r="E2535" s="1"/>
  <c r="D491" i="7" s="1"/>
  <c r="D2536" i="5"/>
  <c r="E2536" s="1"/>
  <c r="D492" i="7" s="1"/>
  <c r="D2538" i="5"/>
  <c r="E2538" s="1"/>
  <c r="D494" i="7" s="1"/>
  <c r="D2592" i="5"/>
  <c r="E2592" s="1"/>
  <c r="D498" i="7" s="1"/>
  <c r="D2593" i="5"/>
  <c r="E2593" s="1"/>
  <c r="D499" i="7" s="1"/>
  <c r="D2594" i="5"/>
  <c r="E2594" s="1"/>
  <c r="D501" i="7" s="1"/>
  <c r="D2595" i="5"/>
  <c r="E2595" s="1"/>
  <c r="D503" i="7" s="1"/>
  <c r="L466"/>
  <c r="F2127" i="5"/>
  <c r="G2127" s="1"/>
  <c r="E404" i="7" s="1"/>
  <c r="D2127" i="5"/>
  <c r="E2127" s="1"/>
  <c r="D404" i="7" s="1"/>
  <c r="H1635" i="5"/>
  <c r="I1635" s="1"/>
  <c r="F326" i="7" s="1"/>
  <c r="H1636" i="5"/>
  <c r="I1636" s="1"/>
  <c r="F327" i="7" s="1"/>
  <c r="H1637" i="5"/>
  <c r="I1637" s="1"/>
  <c r="F328" i="7" s="1"/>
  <c r="F1636" i="5"/>
  <c r="G1636" s="1"/>
  <c r="E327" i="7" s="1"/>
  <c r="B300"/>
  <c r="B299"/>
  <c r="B298"/>
  <c r="B286"/>
  <c r="B285"/>
  <c r="B232"/>
  <c r="B231"/>
  <c r="B230"/>
  <c r="B229"/>
  <c r="B228"/>
  <c r="F1635" i="5"/>
  <c r="G1635" s="1"/>
  <c r="E326" i="7" s="1"/>
  <c r="C1" i="5"/>
  <c r="H1791"/>
  <c r="I1791" s="1"/>
  <c r="F358" i="7" s="1"/>
  <c r="H1790" i="5"/>
  <c r="I1790" s="1"/>
  <c r="F357" i="7" s="1"/>
  <c r="H1789" i="5"/>
  <c r="I1789" s="1"/>
  <c r="F356" i="7" s="1"/>
  <c r="H1788" i="5"/>
  <c r="I1788" s="1"/>
  <c r="F355" i="7" s="1"/>
  <c r="H1787" i="5"/>
  <c r="I1787" s="1"/>
  <c r="F354" i="7" s="1"/>
  <c r="H1786" i="5"/>
  <c r="I1786" s="1"/>
  <c r="F353" i="7" s="1"/>
  <c r="H1785" i="5"/>
  <c r="I1785" s="1"/>
  <c r="F352" i="7" s="1"/>
  <c r="F1791" i="5"/>
  <c r="G1791" s="1"/>
  <c r="E358" i="7" s="1"/>
  <c r="F1790" i="5"/>
  <c r="G1790" s="1"/>
  <c r="E357" i="7" s="1"/>
  <c r="F1789" i="5"/>
  <c r="G1789" s="1"/>
  <c r="E356" i="7" s="1"/>
  <c r="F1788" i="5"/>
  <c r="G1788" s="1"/>
  <c r="E355" i="7" s="1"/>
  <c r="F1787" i="5"/>
  <c r="G1787" s="1"/>
  <c r="E354" i="7" s="1"/>
  <c r="F1786" i="5"/>
  <c r="G1786" s="1"/>
  <c r="E353" i="7" s="1"/>
  <c r="F1785" i="5"/>
  <c r="G1785" s="1"/>
  <c r="E352" i="7" s="1"/>
  <c r="H1714" i="5"/>
  <c r="I1714" s="1"/>
  <c r="F345" i="7" s="1"/>
  <c r="H1713" i="5"/>
  <c r="I1713" s="1"/>
  <c r="F344" i="7" s="1"/>
  <c r="H1712" i="5"/>
  <c r="I1712" s="1"/>
  <c r="F343" i="7" s="1"/>
  <c r="H1711" i="5"/>
  <c r="I1711" s="1"/>
  <c r="F342" i="7" s="1"/>
  <c r="H1710" i="5"/>
  <c r="I1710" s="1"/>
  <c r="F341" i="7" s="1"/>
  <c r="H1709" i="5"/>
  <c r="I1709" s="1"/>
  <c r="F340" i="7" s="1"/>
  <c r="H1708" i="5"/>
  <c r="I1708" s="1"/>
  <c r="F339" i="7" s="1"/>
  <c r="F1714" i="5"/>
  <c r="G1714" s="1"/>
  <c r="E345" i="7" s="1"/>
  <c r="F1713" i="5"/>
  <c r="G1713" s="1"/>
  <c r="E344" i="7" s="1"/>
  <c r="F1712" i="5"/>
  <c r="G1712" s="1"/>
  <c r="E343" i="7" s="1"/>
  <c r="F1711" i="5"/>
  <c r="G1711" s="1"/>
  <c r="E342" i="7" s="1"/>
  <c r="F1710" i="5"/>
  <c r="G1710" s="1"/>
  <c r="E341" i="7" s="1"/>
  <c r="F1709" i="5"/>
  <c r="G1709" s="1"/>
  <c r="E340" i="7" s="1"/>
  <c r="F1708" i="5"/>
  <c r="G1708" s="1"/>
  <c r="E339" i="7" s="1"/>
  <c r="B204"/>
  <c r="B203"/>
  <c r="B202"/>
  <c r="B201"/>
  <c r="B200"/>
  <c r="B189"/>
  <c r="B188"/>
  <c r="B187"/>
  <c r="L4"/>
  <c r="L3"/>
  <c r="L2"/>
  <c r="B358"/>
  <c r="B357"/>
  <c r="B356"/>
  <c r="B355"/>
  <c r="B354"/>
  <c r="B353"/>
  <c r="B345"/>
  <c r="B344"/>
  <c r="B343"/>
  <c r="B342"/>
  <c r="B341"/>
  <c r="B340"/>
  <c r="B186"/>
  <c r="B185"/>
  <c r="B184"/>
  <c r="B64"/>
  <c r="B63"/>
  <c r="B62"/>
  <c r="B385"/>
  <c r="B384"/>
  <c r="B368"/>
  <c r="B367"/>
  <c r="B366"/>
  <c r="B365"/>
  <c r="B364"/>
  <c r="B352"/>
  <c r="B339"/>
  <c r="B328"/>
  <c r="B327"/>
  <c r="B326"/>
  <c r="B199"/>
  <c r="B61"/>
  <c r="B60"/>
  <c r="B48"/>
  <c r="B47"/>
  <c r="B46"/>
  <c r="B45"/>
  <c r="B44"/>
  <c r="B30"/>
  <c r="B29"/>
  <c r="B17"/>
  <c r="B16"/>
  <c r="B15"/>
  <c r="B14"/>
  <c r="B13"/>
  <c r="B12"/>
  <c r="B90" i="5"/>
  <c r="B809"/>
  <c r="B166" i="7" s="1"/>
  <c r="B1703" i="5"/>
  <c r="B335" i="7"/>
  <c r="B1855" i="5"/>
  <c r="B2395"/>
  <c r="B465" i="7" s="1"/>
  <c r="B496"/>
  <c r="B2531" i="5"/>
  <c r="B488" i="7" s="1"/>
  <c r="J2261" i="5"/>
  <c r="K2261" s="1"/>
  <c r="G434" i="7" s="1"/>
  <c r="H2262" i="5"/>
  <c r="I2262" s="1"/>
  <c r="F435" i="7" s="1"/>
  <c r="J2259" i="5"/>
  <c r="K2259" s="1"/>
  <c r="G432" i="7" s="1"/>
  <c r="H2259" i="5"/>
  <c r="I2259" s="1"/>
  <c r="F432" i="7" s="1"/>
  <c r="J2194" i="5"/>
  <c r="K2194" s="1"/>
  <c r="G419" i="7" s="1"/>
  <c r="J2190" i="5"/>
  <c r="K2190" s="1"/>
  <c r="G415" i="7" s="1"/>
  <c r="J2189" i="5"/>
  <c r="K2189" s="1"/>
  <c r="G414" i="7" s="1"/>
  <c r="J2188" i="5"/>
  <c r="K2188" s="1"/>
  <c r="G413" i="7" s="1"/>
  <c r="H2122" i="5"/>
  <c r="I2122" s="1"/>
  <c r="F399" i="7" s="1"/>
  <c r="H2334" i="5"/>
  <c r="I2334" s="1"/>
  <c r="F455" i="7" s="1"/>
  <c r="J2195" i="5"/>
  <c r="K2195" s="1"/>
  <c r="G420" i="7" s="1"/>
  <c r="J2196" i="5"/>
  <c r="K2196" s="1"/>
  <c r="G421" i="7" s="1"/>
  <c r="H2194" i="5"/>
  <c r="I2194" s="1"/>
  <c r="F419" i="7" s="1"/>
  <c r="H2335" i="5"/>
  <c r="I2335" s="1"/>
  <c r="F456" i="7" s="1"/>
  <c r="H2336" i="5"/>
  <c r="I2336" s="1"/>
  <c r="F457" i="7" s="1"/>
  <c r="H2195" i="5"/>
  <c r="I2195" s="1"/>
  <c r="F420" i="7" s="1"/>
  <c r="H2196" i="5"/>
  <c r="I2196" s="1"/>
  <c r="F421" i="7" s="1"/>
  <c r="B348"/>
  <c r="B2323" i="5"/>
  <c r="B8" i="7"/>
  <c r="B164" i="5"/>
  <c r="B429" i="7"/>
  <c r="B960" i="5"/>
  <c r="B195" i="7"/>
  <c r="B2056" i="5"/>
  <c r="B2183"/>
  <c r="B409" i="7"/>
  <c r="B368" i="5"/>
  <c r="B1630"/>
  <c r="B224" i="7"/>
  <c r="B183" i="5" l="1"/>
  <c r="L47" i="7" s="1"/>
  <c r="B1722" i="5"/>
  <c r="L340" i="7" s="1"/>
  <c r="B1798" i="5"/>
  <c r="L352" i="7" s="1"/>
  <c r="B1572" i="5"/>
  <c r="L314" i="7" s="1"/>
  <c r="B1645" i="5"/>
  <c r="L327" i="7" s="1"/>
  <c r="B1423" i="5"/>
  <c r="L286" i="7" s="1"/>
  <c r="B1497" i="5"/>
  <c r="L300" i="7" s="1"/>
  <c r="B1275" i="5"/>
  <c r="L258" i="7" s="1"/>
  <c r="B1349" i="5"/>
  <c r="L272" i="7" s="1"/>
  <c r="B1130" i="5"/>
  <c r="L231" i="7" s="1"/>
  <c r="B1202" i="5"/>
  <c r="L244" i="7" s="1"/>
  <c r="B980" i="5"/>
  <c r="L202" i="7" s="1"/>
  <c r="B1053" i="5"/>
  <c r="L216" i="7" s="1"/>
  <c r="B824" i="5"/>
  <c r="L172" i="7" s="1"/>
  <c r="B902" i="5"/>
  <c r="L187" i="7" s="1"/>
  <c r="B678" i="5"/>
  <c r="L144" i="7" s="1"/>
  <c r="B751" i="5"/>
  <c r="L158" i="7" s="1"/>
  <c r="B533" i="5"/>
  <c r="L117" i="7" s="1"/>
  <c r="B605" i="5"/>
  <c r="L130" i="7" s="1"/>
  <c r="B419" i="5"/>
  <c r="L90" i="7" s="1"/>
  <c r="B459" i="5"/>
  <c r="L103" i="7" s="1"/>
  <c r="B309" i="5"/>
  <c r="L62" i="7" s="1"/>
  <c r="B381" i="5"/>
  <c r="L76" i="7" s="1"/>
  <c r="B105" i="5"/>
  <c r="L31" i="7" s="1"/>
  <c r="B310" i="5"/>
  <c r="L63" i="7" s="1"/>
  <c r="B31" i="5"/>
  <c r="L16" i="7" s="1"/>
  <c r="C107" i="5"/>
  <c r="L33" i="7" s="1"/>
  <c r="C185" i="5"/>
  <c r="L49" i="7" s="1"/>
  <c r="B33" i="5"/>
  <c r="L18" i="7" s="1"/>
  <c r="B32" i="5"/>
  <c r="L17" i="7" s="1"/>
  <c r="B1051" i="5"/>
  <c r="L214" i="7" s="1"/>
  <c r="E426" i="5"/>
  <c r="M97" i="7" s="1"/>
  <c r="C406" i="5"/>
  <c r="C88" i="7" s="1"/>
  <c r="D405" i="5"/>
  <c r="D87" i="7" s="1"/>
  <c r="C404" i="5"/>
  <c r="C86" i="7" s="1"/>
  <c r="T427" i="5"/>
  <c r="B413"/>
  <c r="F405"/>
  <c r="E87" i="7" s="1"/>
  <c r="B426" i="5"/>
  <c r="L97" i="7" s="1"/>
  <c r="B425" i="5"/>
  <c r="L96" i="7" s="1"/>
  <c r="B424" i="5"/>
  <c r="L95" i="7" s="1"/>
  <c r="B423" i="5"/>
  <c r="L94" i="7" s="1"/>
  <c r="B422" i="5"/>
  <c r="L93" i="7" s="1"/>
  <c r="B420" i="5"/>
  <c r="L91" i="7" s="1"/>
  <c r="B418" i="5"/>
  <c r="L89" i="7" s="1"/>
  <c r="B417" i="5"/>
  <c r="L88" i="7" s="1"/>
  <c r="B416" i="5"/>
  <c r="L87" i="7" s="1"/>
  <c r="B415" i="5"/>
  <c r="L86" i="7" s="1"/>
  <c r="D406" i="5"/>
  <c r="D88" i="7" s="1"/>
  <c r="C405" i="5"/>
  <c r="C87" i="7" s="1"/>
  <c r="D404" i="5"/>
  <c r="D86" i="7" s="1"/>
  <c r="S402" i="5"/>
  <c r="F406"/>
  <c r="E88" i="7" s="1"/>
  <c r="F404" i="5"/>
  <c r="E86" i="7" s="1"/>
  <c r="B404" i="5"/>
  <c r="B86" i="7" s="1"/>
  <c r="B291" i="5"/>
  <c r="T192" s="1"/>
  <c r="B471" i="7"/>
  <c r="B1273" i="5"/>
  <c r="L256" i="7" s="1"/>
  <c r="B749" i="5"/>
  <c r="L156" i="7" s="1"/>
  <c r="B822" i="5"/>
  <c r="L170" i="7" s="1"/>
  <c r="B1347" i="5"/>
  <c r="L270" i="7" s="1"/>
  <c r="B978" i="5"/>
  <c r="L200" i="7" s="1"/>
  <c r="B900" i="5"/>
  <c r="L185" i="7" s="1"/>
  <c r="B1128" i="5"/>
  <c r="L229" i="7" s="1"/>
  <c r="B1937" i="5"/>
  <c r="L372" i="7" s="1"/>
  <c r="B531" i="5"/>
  <c r="L115" i="7" s="1"/>
  <c r="B676" i="5"/>
  <c r="L142" i="7" s="1"/>
  <c r="B1124" i="5"/>
  <c r="L225" i="7" s="1"/>
  <c r="T2186" i="5"/>
  <c r="L411" i="7" s="1"/>
  <c r="C1925" i="5"/>
  <c r="C371" i="7" s="1"/>
  <c r="E1" i="5"/>
  <c r="C665"/>
  <c r="C139" i="7" s="1"/>
  <c r="B1409" i="5"/>
  <c r="B281" i="7" s="1"/>
  <c r="E1356" i="5"/>
  <c r="M279" i="7" s="1"/>
  <c r="L666" i="5"/>
  <c r="H140" i="7" s="1"/>
  <c r="F963" i="5"/>
  <c r="E197" i="7" s="1"/>
  <c r="S1990" i="5"/>
  <c r="B975"/>
  <c r="L197" i="7" s="1"/>
  <c r="B907" i="5"/>
  <c r="L192" i="7" s="1"/>
  <c r="F1410" i="5"/>
  <c r="E282" i="7" s="1"/>
  <c r="H2326" i="5"/>
  <c r="F447" i="7" s="1"/>
  <c r="B2534" i="5"/>
  <c r="B490" i="7" s="1"/>
  <c r="L1926" i="5"/>
  <c r="H372" i="7" s="1"/>
  <c r="B2338" i="5"/>
  <c r="B459" i="7" s="1"/>
  <c r="B532" i="5"/>
  <c r="L116" i="7" s="1"/>
  <c r="F1558" i="5"/>
  <c r="E310" i="7" s="1"/>
  <c r="L2325" i="5"/>
  <c r="H446" i="7" s="1"/>
  <c r="B2193" i="5"/>
  <c r="B418" i="7" s="1"/>
  <c r="B1705" i="5"/>
  <c r="B336" i="7" s="1"/>
  <c r="H1263" i="5"/>
  <c r="F254" i="7" s="1"/>
  <c r="L962" i="5"/>
  <c r="H196" i="7" s="1"/>
  <c r="B2461" i="5"/>
  <c r="B478" i="7" s="1"/>
  <c r="B92" i="5"/>
  <c r="B26" i="7" s="1"/>
  <c r="C2455" i="5"/>
  <c r="C472" i="7" s="1"/>
  <c r="B30" i="5"/>
  <c r="L15" i="7" s="1"/>
  <c r="B538" i="5"/>
  <c r="L122" i="7" s="1"/>
  <c r="B1490" i="5"/>
  <c r="C1993"/>
  <c r="C382" i="7" s="1"/>
  <c r="B2329" i="5"/>
  <c r="B450" i="7" s="1"/>
  <c r="B2591" i="5"/>
  <c r="B497" i="7" s="1"/>
  <c r="H738" i="5"/>
  <c r="F153" i="7" s="1"/>
  <c r="H1484" i="5"/>
  <c r="F296" i="7" s="1"/>
  <c r="C1191" i="5"/>
  <c r="C241" i="7" s="1"/>
  <c r="B906" i="5"/>
  <c r="L191" i="7" s="1"/>
  <c r="C520" i="5"/>
  <c r="C113" i="7" s="1"/>
  <c r="F1113" i="5"/>
  <c r="E225" i="7" s="1"/>
  <c r="L1040" i="5"/>
  <c r="H211" i="7" s="1"/>
  <c r="D1410" i="5"/>
  <c r="D282" i="7" s="1"/>
  <c r="B593" i="5"/>
  <c r="B126" i="7" s="1"/>
  <c r="F1992" i="5"/>
  <c r="E381" i="7" s="1"/>
  <c r="H1335" i="5"/>
  <c r="F267" i="7" s="1"/>
  <c r="J962" i="5"/>
  <c r="G196" i="7" s="1"/>
  <c r="B2332" i="5"/>
  <c r="B453" i="7" s="1"/>
  <c r="E2115" i="5"/>
  <c r="F393" i="7" s="1"/>
  <c r="B2538" i="5"/>
  <c r="B494" i="7" s="1"/>
  <c r="T368" i="5"/>
  <c r="L2398"/>
  <c r="H467" i="7" s="1"/>
  <c r="F12" i="5"/>
  <c r="AD14" s="1"/>
  <c r="B894"/>
  <c r="B1796"/>
  <c r="L350" i="7" s="1"/>
  <c r="C94" i="5"/>
  <c r="C28" i="7" s="1"/>
  <c r="H1707" i="5"/>
  <c r="F338" i="7" s="1"/>
  <c r="B2119" i="5"/>
  <c r="B396" i="7" s="1"/>
  <c r="B609" i="5"/>
  <c r="L134" i="7" s="1"/>
  <c r="E758" i="5"/>
  <c r="M165" i="7" s="1"/>
  <c r="B1200" i="5"/>
  <c r="L242" i="7" s="1"/>
  <c r="H740" i="5"/>
  <c r="F155" i="7" s="1"/>
  <c r="C1705" i="5"/>
  <c r="C336" i="7" s="1"/>
  <c r="D2258" i="5"/>
  <c r="D431" i="7" s="1"/>
  <c r="P2118" i="5"/>
  <c r="J395" i="7" s="1"/>
  <c r="D1485" i="5"/>
  <c r="D297" i="7" s="1"/>
  <c r="D1041" i="5"/>
  <c r="D212" i="7" s="1"/>
  <c r="D886" i="5"/>
  <c r="D183" i="7" s="1"/>
  <c r="B1268" i="5"/>
  <c r="B1652"/>
  <c r="L334" i="7" s="1"/>
  <c r="D1263" i="5"/>
  <c r="D254" i="7" s="1"/>
  <c r="F1263" i="5"/>
  <c r="E254" i="7" s="1"/>
  <c r="B528" i="5"/>
  <c r="L112" i="7" s="1"/>
  <c r="E1804" i="5"/>
  <c r="M358" i="7" s="1"/>
  <c r="E685" i="5"/>
  <c r="M151" i="7" s="1"/>
  <c r="C2001" i="5"/>
  <c r="B1278"/>
  <c r="L261" i="7" s="1"/>
  <c r="D93" i="5"/>
  <c r="D27" i="7" s="1"/>
  <c r="B22" i="5"/>
  <c r="B177"/>
  <c r="L41" i="7" s="1"/>
  <c r="B962" i="5"/>
  <c r="B196" i="7" s="1"/>
  <c r="L2059" i="5"/>
  <c r="H390" i="7" s="1"/>
  <c r="F92" i="5"/>
  <c r="AD94" s="1"/>
  <c r="B465"/>
  <c r="L109" i="7" s="1"/>
  <c r="H1993" i="5"/>
  <c r="F382" i="7" s="1"/>
  <c r="B181" i="5"/>
  <c r="L45" i="7" s="1"/>
  <c r="B293" i="5"/>
  <c r="B57" i="7" s="1"/>
  <c r="D371" i="5"/>
  <c r="D73" i="7" s="1"/>
  <c r="F14" i="5"/>
  <c r="E11" i="7" s="1"/>
  <c r="B180" i="5"/>
  <c r="L44" i="7" s="1"/>
  <c r="B2005" i="5"/>
  <c r="B2471"/>
  <c r="B1483"/>
  <c r="B295" i="7" s="1"/>
  <c r="D1192" i="5"/>
  <c r="D242" i="7" s="1"/>
  <c r="B385" i="5"/>
  <c r="L80" i="7" s="1"/>
  <c r="C1113" i="5"/>
  <c r="C225" i="7" s="1"/>
  <c r="B1578" i="5"/>
  <c r="L320" i="7" s="1"/>
  <c r="C2005" i="5"/>
  <c r="B2330"/>
  <c r="B451" i="7" s="1"/>
  <c r="B2190" i="5"/>
  <c r="B415" i="7" s="1"/>
  <c r="B986" i="5"/>
  <c r="L208" i="7" s="1"/>
  <c r="B1925" i="5"/>
  <c r="B371" i="7" s="1"/>
  <c r="E2" i="5"/>
  <c r="L665"/>
  <c r="H139" i="7" s="1"/>
  <c r="B34" i="5"/>
  <c r="L19" i="7" s="1"/>
  <c r="C13" i="5"/>
  <c r="C10" i="7" s="1"/>
  <c r="Q8" i="5"/>
  <c r="H665"/>
  <c r="F139" i="7" s="1"/>
  <c r="B1262" i="5"/>
  <c r="B253" i="7" s="1"/>
  <c r="H520" i="5"/>
  <c r="F113" i="7" s="1"/>
  <c r="B28" i="5"/>
  <c r="L13" i="7" s="1"/>
  <c r="B1570" i="5"/>
  <c r="L312" i="7" s="1"/>
  <c r="L2456" i="5"/>
  <c r="H473" i="7" s="1"/>
  <c r="B2187" i="5"/>
  <c r="B412" i="7" s="1"/>
  <c r="J594" i="5"/>
  <c r="G127" i="7" s="1"/>
  <c r="B175" i="5"/>
  <c r="B1054"/>
  <c r="L217" i="7" s="1"/>
  <c r="B1492" i="5"/>
  <c r="L295" i="7" s="1"/>
  <c r="B827" i="5"/>
  <c r="L175" i="7" s="1"/>
  <c r="B1198" i="5"/>
  <c r="L240" i="7" s="1"/>
  <c r="B811" i="5"/>
  <c r="B167" i="7" s="1"/>
  <c r="B757" i="5"/>
  <c r="L164" i="7" s="1"/>
  <c r="F1927" i="5"/>
  <c r="E373" i="7" s="1"/>
  <c r="B1420" i="5"/>
  <c r="L283" i="7" s="1"/>
  <c r="B1428" i="5"/>
  <c r="L291" i="7" s="1"/>
  <c r="T1038" i="5"/>
  <c r="B2058"/>
  <c r="B389" i="7" s="1"/>
  <c r="C2257" i="5"/>
  <c r="C430" i="7" s="1"/>
  <c r="B610" i="5"/>
  <c r="L135" i="7" s="1"/>
  <c r="T7" i="5"/>
  <c r="C1926"/>
  <c r="C372" i="7" s="1"/>
  <c r="D1115" i="5"/>
  <c r="D227" i="7" s="1"/>
  <c r="B825" i="5"/>
  <c r="L173" i="7" s="1"/>
  <c r="H1927" i="5"/>
  <c r="F373" i="7" s="1"/>
  <c r="B1419" i="5"/>
  <c r="L282" i="7" s="1"/>
  <c r="C1634" i="5"/>
  <c r="C325" i="7" s="1"/>
  <c r="T2481" i="5"/>
  <c r="AD2481" s="1"/>
  <c r="AE2481" s="1"/>
  <c r="B102"/>
  <c r="L28" i="7" s="1"/>
  <c r="B1495" i="5"/>
  <c r="L298" i="7" s="1"/>
  <c r="B747" i="5"/>
  <c r="L154" i="7" s="1"/>
  <c r="B184" i="5"/>
  <c r="L48" i="7" s="1"/>
  <c r="B754" i="5"/>
  <c r="L161" i="7" s="1"/>
  <c r="E1060" i="5"/>
  <c r="M223" i="7" s="1"/>
  <c r="B306" i="5"/>
  <c r="L59" i="7" s="1"/>
  <c r="B756" i="5"/>
  <c r="L163" i="7" s="1"/>
  <c r="B1799" i="5"/>
  <c r="L353" i="7" s="1"/>
  <c r="U2" i="5"/>
  <c r="K2" i="7" s="1"/>
  <c r="T2115" i="5"/>
  <c r="J812"/>
  <c r="G168" i="7" s="1"/>
  <c r="D1411" i="5"/>
  <c r="D283" i="7" s="1"/>
  <c r="J811" i="5"/>
  <c r="G167" i="7" s="1"/>
  <c r="C963" i="5"/>
  <c r="C197" i="7" s="1"/>
  <c r="B2463" i="5"/>
  <c r="B480" i="7" s="1"/>
  <c r="B112" i="5"/>
  <c r="L38" i="7" s="1"/>
  <c r="F448" i="5"/>
  <c r="E101" i="7" s="1"/>
  <c r="C1558" i="5"/>
  <c r="C310" i="7" s="1"/>
  <c r="B1416" i="5"/>
  <c r="V2258"/>
  <c r="M431" i="7" s="1"/>
  <c r="B100" i="5"/>
  <c r="L26" i="7" s="1"/>
  <c r="B106" i="5"/>
  <c r="L32" i="7" s="1"/>
  <c r="F446" i="5"/>
  <c r="E99" i="7" s="1"/>
  <c r="B2199" i="5"/>
  <c r="B424" i="7" s="1"/>
  <c r="H1190" i="5"/>
  <c r="F240" i="7" s="1"/>
  <c r="B1135" i="5"/>
  <c r="L236" i="7" s="1"/>
  <c r="B1782" i="5"/>
  <c r="B349" i="7" s="1"/>
  <c r="C812" i="5"/>
  <c r="C168" i="7" s="1"/>
  <c r="B1424" i="5"/>
  <c r="L287" i="7" s="1"/>
  <c r="C370" i="5"/>
  <c r="C72" i="7" s="1"/>
  <c r="L1557" i="5"/>
  <c r="H309" i="7" s="1"/>
  <c r="B758" i="5"/>
  <c r="L165" i="7" s="1"/>
  <c r="N2118" i="5"/>
  <c r="I395" i="7" s="1"/>
  <c r="B1430" i="5"/>
  <c r="L293" i="7" s="1"/>
  <c r="H446" i="5"/>
  <c r="F99" i="7" s="1"/>
  <c r="B453" i="5"/>
  <c r="B1871"/>
  <c r="L364" i="7" s="1"/>
  <c r="B1571" i="5"/>
  <c r="L313" i="7" s="1"/>
  <c r="C1857" i="5"/>
  <c r="C361" i="7" s="1"/>
  <c r="F2058" i="5"/>
  <c r="E389" i="7" s="1"/>
  <c r="B738" i="5"/>
  <c r="B153" i="7" s="1"/>
  <c r="B29" i="5"/>
  <c r="L14" i="7" s="1"/>
  <c r="I1995" i="5"/>
  <c r="F384" i="7" s="1"/>
  <c r="M2123" i="5"/>
  <c r="U2123"/>
  <c r="W2196"/>
  <c r="M421" i="7" s="1"/>
  <c r="V2182" i="5"/>
  <c r="W2263"/>
  <c r="M436" i="7" s="1"/>
  <c r="V2254" i="5"/>
  <c r="K2123"/>
  <c r="G400" i="7" s="1"/>
  <c r="S2123" i="5"/>
  <c r="K400" i="7" s="1"/>
  <c r="I2123" i="5"/>
  <c r="G1562"/>
  <c r="E314" i="7" s="1"/>
  <c r="I1996" i="5"/>
  <c r="F385" i="7" s="1"/>
  <c r="G2123" i="5"/>
  <c r="E400" i="7" s="1"/>
  <c r="Q2123" i="5"/>
  <c r="E2125"/>
  <c r="D402" i="7" s="1"/>
  <c r="W2127" i="5"/>
  <c r="M404" i="7" s="1"/>
  <c r="V2124" i="5"/>
  <c r="W2199"/>
  <c r="M424" i="7" s="1"/>
  <c r="V2201" i="5"/>
  <c r="E1931"/>
  <c r="D377" i="7" s="1"/>
  <c r="G1561" i="5"/>
  <c r="E313" i="7" s="1"/>
  <c r="D400"/>
  <c r="O2123" i="5"/>
  <c r="I400" i="7" s="1"/>
  <c r="W2123" i="5"/>
  <c r="M400" i="7" s="1"/>
  <c r="E2264" i="5"/>
  <c r="D437" i="7" s="1"/>
  <c r="E2338" i="5"/>
  <c r="D459" i="7" s="1"/>
  <c r="G1560" i="5"/>
  <c r="E312" i="7" s="1"/>
  <c r="B1938" i="5"/>
  <c r="L373" i="7" s="1"/>
  <c r="B1718" i="5"/>
  <c r="L336" i="7" s="1"/>
  <c r="B1719" i="5"/>
  <c r="L337" i="7" s="1"/>
  <c r="B125"/>
  <c r="T663" i="5"/>
  <c r="W2187"/>
  <c r="M412" i="7" s="1"/>
  <c r="O2119" i="5"/>
  <c r="I396" i="7" s="1"/>
  <c r="L811" i="5"/>
  <c r="H167" i="7" s="1"/>
  <c r="F94" i="5"/>
  <c r="E28" i="7" s="1"/>
  <c r="D1042" i="5"/>
  <c r="D213" i="7" s="1"/>
  <c r="B2537" i="5"/>
  <c r="B493" i="7" s="1"/>
  <c r="V7" i="5"/>
  <c r="F1706"/>
  <c r="E337" i="7" s="1"/>
  <c r="L1485" i="5"/>
  <c r="H297" i="7" s="1"/>
  <c r="B2257" i="5"/>
  <c r="B430" i="7" s="1"/>
  <c r="B1040" i="5"/>
  <c r="B211" i="7" s="1"/>
  <c r="H447" i="5"/>
  <c r="F100" i="7" s="1"/>
  <c r="B1207" i="5"/>
  <c r="L249" i="7" s="1"/>
  <c r="B1134" i="5"/>
  <c r="L235" i="7" s="1"/>
  <c r="B1573" i="5"/>
  <c r="L315" i="7" s="1"/>
  <c r="B1208" i="5"/>
  <c r="L250" i="7" s="1"/>
  <c r="C1927" i="5"/>
  <c r="C373" i="7" s="1"/>
  <c r="C1485" i="5"/>
  <c r="C297" i="7" s="1"/>
  <c r="B679" i="5"/>
  <c r="L145" i="7" s="1"/>
  <c r="B305" i="5"/>
  <c r="L58" i="7" s="1"/>
  <c r="B1129" i="5"/>
  <c r="L230" i="7" s="1"/>
  <c r="B463" i="5"/>
  <c r="L107" i="7" s="1"/>
  <c r="B1057" i="5"/>
  <c r="L220" i="7" s="1"/>
  <c r="D2591" i="5"/>
  <c r="D497" i="7" s="1"/>
  <c r="H964" i="5"/>
  <c r="F198" i="7" s="1"/>
  <c r="H2257" i="5"/>
  <c r="F430" i="7" s="1"/>
  <c r="H521" i="5"/>
  <c r="F114" i="7" s="1"/>
  <c r="B1568" i="5"/>
  <c r="L310" i="7" s="1"/>
  <c r="B2004" i="5"/>
  <c r="L385" i="7" s="1"/>
  <c r="B1565" i="5"/>
  <c r="B1199"/>
  <c r="L241" i="7" s="1"/>
  <c r="B2185" i="5"/>
  <c r="B410" i="7" s="1"/>
  <c r="B2592" i="5"/>
  <c r="B498" i="7" s="1"/>
  <c r="E1642" i="5"/>
  <c r="M324" i="7" s="1"/>
  <c r="B2124" i="5"/>
  <c r="B401" i="7" s="1"/>
  <c r="F1634" i="5"/>
  <c r="E325" i="7" s="1"/>
  <c r="B25" i="5"/>
  <c r="L10" i="7" s="1"/>
  <c r="C2325" i="5"/>
  <c r="C446" i="7" s="1"/>
  <c r="B1427" i="5"/>
  <c r="L290" i="7" s="1"/>
  <c r="B1501" i="5"/>
  <c r="L304" i="7" s="1"/>
  <c r="H886" i="5"/>
  <c r="F183" i="7" s="1"/>
  <c r="B530" i="5"/>
  <c r="L114" i="7" s="1"/>
  <c r="U5" i="5"/>
  <c r="K4" i="7" s="1"/>
  <c r="B1282" i="5"/>
  <c r="L265" i="7" s="1"/>
  <c r="J1926" i="5"/>
  <c r="G372" i="7" s="1"/>
  <c r="J1706" i="5"/>
  <c r="G337" i="7" s="1"/>
  <c r="B2188" i="5"/>
  <c r="B413" i="7" s="1"/>
  <c r="F7" i="5"/>
  <c r="B113"/>
  <c r="L39" i="7" s="1"/>
  <c r="B462" i="5"/>
  <c r="L106" i="7" s="1"/>
  <c r="F665" i="5"/>
  <c r="E139" i="7" s="1"/>
  <c r="H1706" i="5"/>
  <c r="F337" i="7" s="1"/>
  <c r="D595" i="5"/>
  <c r="D128" i="7" s="1"/>
  <c r="B178" i="5"/>
  <c r="L42" i="7" s="1"/>
  <c r="B1131" i="5"/>
  <c r="L232" i="7" s="1"/>
  <c r="C2476" i="5"/>
  <c r="L475" i="7" s="1"/>
  <c r="B1125" i="5"/>
  <c r="L226" i="7" s="1"/>
  <c r="H7" i="5"/>
  <c r="L447"/>
  <c r="H100" i="7" s="1"/>
  <c r="B2328" i="5"/>
  <c r="B449" i="7" s="1"/>
  <c r="C667" i="5"/>
  <c r="C141" i="7" s="1"/>
  <c r="P7" i="5"/>
  <c r="D1707"/>
  <c r="D338" i="7" s="1"/>
  <c r="H1925" i="5"/>
  <c r="F371" i="7" s="1"/>
  <c r="H1926" i="5"/>
  <c r="F372" i="7" s="1"/>
  <c r="B1493" i="5"/>
  <c r="L296" i="7" s="1"/>
  <c r="B1868" i="5"/>
  <c r="L361" i="7" s="1"/>
  <c r="J447" i="5"/>
  <c r="G100" i="7" s="1"/>
  <c r="B456" i="5"/>
  <c r="L100" i="7" s="1"/>
  <c r="B1632" i="5"/>
  <c r="B323" i="7" s="1"/>
  <c r="B601" i="5"/>
  <c r="L126" i="7" s="1"/>
  <c r="B313" i="5"/>
  <c r="L66" i="7" s="1"/>
  <c r="H1114" i="5"/>
  <c r="F226" i="7" s="1"/>
  <c r="B744" i="5"/>
  <c r="B1056"/>
  <c r="L219" i="7" s="1"/>
  <c r="F811" i="5"/>
  <c r="E167" i="7" s="1"/>
  <c r="B2402" i="5"/>
  <c r="K466" i="7" s="1"/>
  <c r="B308" i="5"/>
  <c r="L61" i="7" s="1"/>
  <c r="C962" i="5"/>
  <c r="C196" i="7" s="1"/>
  <c r="B39" i="5"/>
  <c r="L24" i="7" s="1"/>
  <c r="B1577" i="5"/>
  <c r="L319" i="7" s="1"/>
  <c r="L2186" i="5"/>
  <c r="H411" i="7" s="1"/>
  <c r="L2117" i="5"/>
  <c r="H394" i="7" s="1"/>
  <c r="B606" i="5"/>
  <c r="L131" i="7" s="1"/>
  <c r="J1927" i="5"/>
  <c r="G373" i="7" s="1"/>
  <c r="N2258" i="5"/>
  <c r="I431" i="7" s="1"/>
  <c r="B460" i="5"/>
  <c r="L104" i="7" s="1"/>
  <c r="E2197" i="5"/>
  <c r="D422" i="7" s="1"/>
  <c r="L1114" i="5"/>
  <c r="H226" i="7" s="1"/>
  <c r="D1483" i="5"/>
  <c r="D295" i="7" s="1"/>
  <c r="C2117" i="5"/>
  <c r="C394" i="7" s="1"/>
  <c r="E831" i="5"/>
  <c r="M179" i="7" s="1"/>
  <c r="D1926" i="5"/>
  <c r="D372" i="7" s="1"/>
  <c r="B1335" i="5"/>
  <c r="B267" i="7" s="1"/>
  <c r="B2327" i="5"/>
  <c r="B448" i="7" s="1"/>
  <c r="E388" i="5"/>
  <c r="M83" i="7" s="1"/>
  <c r="B1643" i="5"/>
  <c r="L325" i="7" s="1"/>
  <c r="D2456" i="5"/>
  <c r="D473" i="7" s="1"/>
  <c r="D739" i="5"/>
  <c r="D154" i="7" s="1"/>
  <c r="F1483" i="5"/>
  <c r="E295" i="7" s="1"/>
  <c r="T2257" i="5"/>
  <c r="L430" i="7" s="1"/>
  <c r="B602" i="5"/>
  <c r="L127" i="7" s="1"/>
  <c r="L1115" i="5"/>
  <c r="H227" i="7" s="1"/>
  <c r="B1646" i="5"/>
  <c r="L328" i="7" s="1"/>
  <c r="B2064" i="5"/>
  <c r="L389" i="7" s="1"/>
  <c r="C2058" i="5"/>
  <c r="C389" i="7" s="1"/>
  <c r="F812" i="5"/>
  <c r="E168" i="7" s="1"/>
  <c r="D2398" i="5"/>
  <c r="D467" i="7" s="1"/>
  <c r="T2326" i="5"/>
  <c r="L447" i="7" s="1"/>
  <c r="B984" i="5"/>
  <c r="L206" i="7" s="1"/>
  <c r="B1639" i="5"/>
  <c r="B1352"/>
  <c r="L275" i="7" s="1"/>
  <c r="F738" i="5"/>
  <c r="E153" i="7" s="1"/>
  <c r="H1485" i="5"/>
  <c r="F297" i="7" s="1"/>
  <c r="U4" i="5"/>
  <c r="K3" i="7" s="1"/>
  <c r="B673" i="5"/>
  <c r="L139" i="7" s="1"/>
  <c r="B2466" i="5"/>
  <c r="B483" i="7" s="1"/>
  <c r="C1264" i="5"/>
  <c r="C255" i="7" s="1"/>
  <c r="F667" i="5"/>
  <c r="E141" i="7" s="1"/>
  <c r="D963" i="5"/>
  <c r="D197" i="7" s="1"/>
  <c r="B1728" i="5"/>
  <c r="L346" i="7" s="1"/>
  <c r="B108" i="5"/>
  <c r="L34" i="7" s="1"/>
  <c r="B2266" i="5"/>
  <c r="B439" i="7" s="1"/>
  <c r="B539" i="5"/>
  <c r="L123" i="7" s="1"/>
  <c r="B27" i="5"/>
  <c r="L12" i="7" s="1"/>
  <c r="H519" i="5"/>
  <c r="F112" i="7" s="1"/>
  <c r="B519" i="5"/>
  <c r="B112" i="7" s="1"/>
  <c r="C2118" i="5"/>
  <c r="C395" i="7" s="1"/>
  <c r="D1993" i="5"/>
  <c r="D382" i="7" s="1"/>
  <c r="B2536" i="5"/>
  <c r="B492" i="7" s="1"/>
  <c r="S8" i="5"/>
  <c r="B2194"/>
  <c r="B419" i="7" s="1"/>
  <c r="B1196" i="5"/>
  <c r="L813"/>
  <c r="H169" i="7" s="1"/>
  <c r="B674" i="5"/>
  <c r="L140" i="7" s="1"/>
  <c r="C884" i="5"/>
  <c r="C181" i="7" s="1"/>
  <c r="B1729" i="5"/>
  <c r="L347" i="7" s="1"/>
  <c r="B683" i="5"/>
  <c r="L149" i="7" s="1"/>
  <c r="J886" i="5"/>
  <c r="G183" i="7" s="1"/>
  <c r="B1579" i="5"/>
  <c r="L321" i="7" s="1"/>
  <c r="B2060" i="5"/>
  <c r="B391" i="7" s="1"/>
  <c r="C2059" i="5"/>
  <c r="C390" i="7" s="1"/>
  <c r="B103" i="5"/>
  <c r="L29" i="7" s="1"/>
  <c r="F2118" i="5"/>
  <c r="E395" i="7" s="1"/>
  <c r="E1651" i="5"/>
  <c r="M333" i="7" s="1"/>
  <c r="H1042" i="5"/>
  <c r="F213" i="7" s="1"/>
  <c r="B8" i="5"/>
  <c r="B6" i="7" s="1"/>
  <c r="B821" i="5"/>
  <c r="L169" i="7" s="1"/>
  <c r="B1052" i="5"/>
  <c r="L215" i="7" s="1"/>
  <c r="L1262" i="5"/>
  <c r="H253" i="7" s="1"/>
  <c r="B2400" i="5"/>
  <c r="B469" i="7" s="1"/>
  <c r="B2192" i="5"/>
  <c r="B417" i="7" s="1"/>
  <c r="B903" i="5"/>
  <c r="L188" i="7" s="1"/>
  <c r="B2122" i="5"/>
  <c r="B399" i="7" s="1"/>
  <c r="F2455" i="5"/>
  <c r="E472" i="7" s="1"/>
  <c r="F1925" i="5"/>
  <c r="E371" i="7" s="1"/>
  <c r="B1050" i="5"/>
  <c r="L213" i="7" s="1"/>
  <c r="C666" i="5"/>
  <c r="C140" i="7" s="1"/>
  <c r="C1994" i="5"/>
  <c r="C383" i="7" s="1"/>
  <c r="B820" i="5"/>
  <c r="L168" i="7" s="1"/>
  <c r="F295" i="5"/>
  <c r="E59" i="7" s="1"/>
  <c r="H813" i="5"/>
  <c r="F169" i="7" s="1"/>
  <c r="D168" i="5"/>
  <c r="D43" i="7" s="1"/>
  <c r="L740" i="5"/>
  <c r="H155" i="7" s="1"/>
  <c r="B604" i="5"/>
  <c r="L129" i="7" s="1"/>
  <c r="B979" i="5"/>
  <c r="L201" i="7" s="1"/>
  <c r="H2186" i="5"/>
  <c r="F411" i="7" s="1"/>
  <c r="B2325" i="5"/>
  <c r="B446" i="7" s="1"/>
  <c r="C293" i="5"/>
  <c r="C57" i="7" s="1"/>
  <c r="F1485" i="5"/>
  <c r="E297" i="7" s="1"/>
  <c r="J739" i="5"/>
  <c r="G154" i="7" s="1"/>
  <c r="L1559" i="5"/>
  <c r="H311" i="7" s="1"/>
  <c r="C739" i="5"/>
  <c r="C154" i="7" s="1"/>
  <c r="J519" i="5"/>
  <c r="G112" i="7" s="1"/>
  <c r="C1858" i="5"/>
  <c r="C362" i="7" s="1"/>
  <c r="B1048" i="5"/>
  <c r="L211" i="7" s="1"/>
  <c r="H667" i="5"/>
  <c r="F141" i="7" s="1"/>
  <c r="B901" i="5"/>
  <c r="L186" i="7" s="1"/>
  <c r="D1705" i="5"/>
  <c r="D336" i="7" s="1"/>
  <c r="H885" i="5"/>
  <c r="F182" i="7" s="1"/>
  <c r="B1936" i="5"/>
  <c r="L371" i="7" s="1"/>
  <c r="C1484" i="5"/>
  <c r="C296" i="7" s="1"/>
  <c r="L1483" i="5"/>
  <c r="H295" i="7" s="1"/>
  <c r="D813" i="5"/>
  <c r="D169" i="7" s="1"/>
  <c r="B457" i="5"/>
  <c r="L101" i="7" s="1"/>
  <c r="L2326" i="5"/>
  <c r="H447" i="7" s="1"/>
  <c r="B2265" i="5"/>
  <c r="B438" i="7" s="1"/>
  <c r="B2593" i="5"/>
  <c r="B499" i="7" s="1"/>
  <c r="D885" i="5"/>
  <c r="D182" i="7" s="1"/>
  <c r="C1633" i="5"/>
  <c r="C324" i="7" s="1"/>
  <c r="B897" i="5"/>
  <c r="L182" i="7" s="1"/>
  <c r="B2204" i="5"/>
  <c r="C427" i="7" s="1"/>
  <c r="B314" i="5"/>
  <c r="L67" i="7" s="1"/>
  <c r="B26" i="5"/>
  <c r="L11" i="7" s="1"/>
  <c r="J2058" i="5"/>
  <c r="G389" i="7" s="1"/>
  <c r="L1411" i="5"/>
  <c r="H283" i="7" s="1"/>
  <c r="E987" i="5"/>
  <c r="M209" i="7" s="1"/>
  <c r="F1264" i="5"/>
  <c r="E255" i="7" s="1"/>
  <c r="B685" i="5"/>
  <c r="L151" i="7" s="1"/>
  <c r="H1992" i="5"/>
  <c r="F381" i="7" s="1"/>
  <c r="H166" i="5"/>
  <c r="D1783"/>
  <c r="D350" i="7" s="1"/>
  <c r="H1557" i="5"/>
  <c r="F309" i="7" s="1"/>
  <c r="D448" i="5"/>
  <c r="D101" i="7" s="1"/>
  <c r="C813" i="5"/>
  <c r="C169" i="7" s="1"/>
  <c r="E2183" i="5"/>
  <c r="F409" i="7" s="1"/>
  <c r="E466" i="5"/>
  <c r="M110" i="7" s="1"/>
  <c r="J1557" i="5"/>
  <c r="G309" i="7" s="1"/>
  <c r="D1337" i="5"/>
  <c r="D269" i="7" s="1"/>
  <c r="C1409" i="5"/>
  <c r="C281" i="7" s="1"/>
  <c r="D740" i="5"/>
  <c r="D155" i="7" s="1"/>
  <c r="F519" i="5"/>
  <c r="E112" i="7" s="1"/>
  <c r="B2264" i="5"/>
  <c r="B437" i="7" s="1"/>
  <c r="D1857" i="5"/>
  <c r="D361" i="7" s="1"/>
  <c r="J1040" i="5"/>
  <c r="G211" i="7" s="1"/>
  <c r="B317" i="5"/>
  <c r="L70" i="7" s="1"/>
  <c r="B312" i="5"/>
  <c r="L65" i="7" s="1"/>
  <c r="R2118" i="5"/>
  <c r="K395" i="7" s="1"/>
  <c r="E2323" i="5"/>
  <c r="F445" i="7" s="1"/>
  <c r="E1137" i="5"/>
  <c r="M238" i="7" s="1"/>
  <c r="B2003" i="5"/>
  <c r="L384" i="7" s="1"/>
  <c r="F1559" i="5"/>
  <c r="E311" i="7" s="1"/>
  <c r="B1133" i="5"/>
  <c r="L234" i="7" s="1"/>
  <c r="H2325" i="5"/>
  <c r="F446" i="7" s="1"/>
  <c r="B2121" i="5"/>
  <c r="B398" i="7" s="1"/>
  <c r="C886" i="5"/>
  <c r="C183" i="7" s="1"/>
  <c r="J2059" i="5"/>
  <c r="G390" i="7" s="1"/>
  <c r="B1127" i="5"/>
  <c r="L228" i="7" s="1"/>
  <c r="L1041" i="5"/>
  <c r="H212" i="7" s="1"/>
  <c r="B2267" i="5"/>
  <c r="B440" i="7" s="1"/>
  <c r="F1557" i="5"/>
  <c r="E309" i="7" s="1"/>
  <c r="H1994" i="5"/>
  <c r="F383" i="7" s="1"/>
  <c r="B671" i="5"/>
  <c r="B2200"/>
  <c r="B425" i="7" s="1"/>
  <c r="F2397" i="5"/>
  <c r="E466" i="7" s="1"/>
  <c r="T759" i="5"/>
  <c r="D2533"/>
  <c r="D489" i="7" s="1"/>
  <c r="B2262" i="5"/>
  <c r="B435" i="7" s="1"/>
  <c r="J1707" i="5"/>
  <c r="G338" i="7" s="1"/>
  <c r="B1345" i="5"/>
  <c r="L268" i="7" s="1"/>
  <c r="H1411" i="5"/>
  <c r="F283" i="7" s="1"/>
  <c r="B748" i="5"/>
  <c r="L155" i="7" s="1"/>
  <c r="D293" i="5"/>
  <c r="B884"/>
  <c r="B181" i="7" s="1"/>
  <c r="L2185" i="5"/>
  <c r="H410" i="7" s="1"/>
  <c r="B677" i="5"/>
  <c r="L143" i="7" s="1"/>
  <c r="K8" i="5"/>
  <c r="H2455"/>
  <c r="F472" i="7" s="1"/>
  <c r="B2334" i="5"/>
  <c r="B455" i="7" s="1"/>
  <c r="J2397" i="5"/>
  <c r="G466" i="7" s="1"/>
  <c r="D1191" i="5"/>
  <c r="D241" i="7" s="1"/>
  <c r="H1782" i="5"/>
  <c r="F349" i="7" s="1"/>
  <c r="T1580" i="5"/>
  <c r="T2118"/>
  <c r="L395" i="7" s="1"/>
  <c r="L593" i="5"/>
  <c r="H126" i="7" s="1"/>
  <c r="B2460" i="5"/>
  <c r="B477" i="7" s="1"/>
  <c r="E1579" i="5"/>
  <c r="M321" i="7" s="1"/>
  <c r="P2186" i="5"/>
  <c r="J411" i="7" s="1"/>
  <c r="S1923" i="5"/>
  <c r="J1191"/>
  <c r="G241" i="7" s="1"/>
  <c r="R2258" i="5"/>
  <c r="K431" i="7" s="1"/>
  <c r="D7" i="5"/>
  <c r="C1782"/>
  <c r="C349" i="7" s="1"/>
  <c r="C166" i="5"/>
  <c r="C41" i="7" s="1"/>
  <c r="T318" i="5"/>
  <c r="H168"/>
  <c r="F43" i="7" s="1"/>
  <c r="D1859" i="5"/>
  <c r="D363" i="7" s="1"/>
  <c r="J1705" i="5"/>
  <c r="G336" i="7" s="1"/>
  <c r="B2462" i="5"/>
  <c r="B479" i="7" s="1"/>
  <c r="B831" i="5"/>
  <c r="L179" i="7" s="1"/>
  <c r="L1336" i="5"/>
  <c r="H268" i="7" s="1"/>
  <c r="B896" i="5"/>
  <c r="L181" i="7" s="1"/>
  <c r="C2456" i="5"/>
  <c r="C473" i="7" s="1"/>
  <c r="T2255" i="5"/>
  <c r="B182"/>
  <c r="L46" i="7" s="1"/>
  <c r="D1782" i="5"/>
  <c r="D349" i="7" s="1"/>
  <c r="B1869" i="5"/>
  <c r="L362" i="7" s="1"/>
  <c r="B110" i="5"/>
  <c r="L36" i="7" s="1"/>
  <c r="B1857" i="5"/>
  <c r="B361" i="7" s="1"/>
  <c r="L963" i="5"/>
  <c r="H197" i="7" s="1"/>
  <c r="D666" i="5"/>
  <c r="D140" i="7" s="1"/>
  <c r="B2261" i="5"/>
  <c r="B434" i="7" s="1"/>
  <c r="H2118" i="5"/>
  <c r="F395" i="7" s="1"/>
  <c r="B1727" i="5"/>
  <c r="L345" i="7" s="1"/>
  <c r="B908" i="5"/>
  <c r="L193" i="7" s="1"/>
  <c r="B1576" i="5"/>
  <c r="L318" i="7" s="1"/>
  <c r="D1633" i="5"/>
  <c r="D324" i="7" s="1"/>
  <c r="L1264" i="5"/>
  <c r="H255" i="7" s="1"/>
  <c r="B455" i="5"/>
  <c r="L99" i="7" s="1"/>
  <c r="H739" i="5"/>
  <c r="F154" i="7" s="1"/>
  <c r="F1262" i="5"/>
  <c r="E253" i="7" s="1"/>
  <c r="J1782" i="5"/>
  <c r="G349" i="7" s="1"/>
  <c r="J1336" i="5"/>
  <c r="G268" i="7" s="1"/>
  <c r="D1634" i="5"/>
  <c r="D325" i="7" s="1"/>
  <c r="J964" i="5"/>
  <c r="G198" i="7" s="1"/>
  <c r="B1126" i="5"/>
  <c r="L227" i="7" s="1"/>
  <c r="J740" i="5"/>
  <c r="G155" i="7" s="1"/>
  <c r="L1558" i="5"/>
  <c r="H310" i="7" s="1"/>
  <c r="B1716" i="5"/>
  <c r="D447"/>
  <c r="D100" i="7" s="1"/>
  <c r="B370" i="5"/>
  <c r="B72" i="7" s="1"/>
  <c r="H448" i="5"/>
  <c r="F101" i="7" s="1"/>
  <c r="F1040" i="5"/>
  <c r="E211" i="7" s="1"/>
  <c r="B36" i="5"/>
  <c r="L21" i="7" s="1"/>
  <c r="C1040" i="5"/>
  <c r="C211" i="7" s="1"/>
  <c r="B446" i="5"/>
  <c r="B99" i="7" s="1"/>
  <c r="L1191" i="5"/>
  <c r="H241" i="7" s="1"/>
  <c r="B387" i="5"/>
  <c r="L82" i="7" s="1"/>
  <c r="B1725" i="5"/>
  <c r="L343" i="7" s="1"/>
  <c r="H2117" i="5"/>
  <c r="F394" i="7" s="1"/>
  <c r="B987" i="5"/>
  <c r="L209" i="7" s="1"/>
  <c r="B1801" i="5"/>
  <c r="L355" i="7" s="1"/>
  <c r="D1927" i="5"/>
  <c r="D373" i="7" s="1"/>
  <c r="B1276" i="5"/>
  <c r="L259" i="7" s="1"/>
  <c r="C14" i="5"/>
  <c r="C11" i="7" s="1"/>
  <c r="L519" i="5"/>
  <c r="H112" i="7" s="1"/>
  <c r="B1651" i="5"/>
  <c r="L333" i="7" s="1"/>
  <c r="H1040" i="5"/>
  <c r="F211" i="7" s="1"/>
  <c r="F962" i="5"/>
  <c r="E196" i="7" s="1"/>
  <c r="L1410" i="5"/>
  <c r="H282" i="7" s="1"/>
  <c r="B1122" i="5"/>
  <c r="B972"/>
  <c r="F666"/>
  <c r="E140" i="7" s="1"/>
  <c r="C2477" i="5"/>
  <c r="L476" i="7" s="1"/>
  <c r="B905" i="5"/>
  <c r="L190" i="7" s="1"/>
  <c r="W8" i="5"/>
  <c r="F2059"/>
  <c r="E390" i="7" s="1"/>
  <c r="J884" i="5"/>
  <c r="G181" i="7" s="1"/>
  <c r="C2480" i="5"/>
  <c r="L479" i="7" s="1"/>
  <c r="U1653" i="5"/>
  <c r="H812"/>
  <c r="F168" i="7" s="1"/>
  <c r="B1059" i="5"/>
  <c r="L222" i="7" s="1"/>
  <c r="B187" i="5"/>
  <c r="L51" i="7" s="1"/>
  <c r="H2059" i="5"/>
  <c r="F390" i="7" s="1"/>
  <c r="F168" i="5"/>
  <c r="E43" i="7" s="1"/>
  <c r="B1353" i="5"/>
  <c r="L276" i="7" s="1"/>
  <c r="T882" i="5"/>
  <c r="B611"/>
  <c r="L136" i="7" s="1"/>
  <c r="B2123" i="5"/>
  <c r="B400" i="7" s="1"/>
  <c r="D1114" i="5"/>
  <c r="D226" i="7" s="1"/>
  <c r="B35" i="5"/>
  <c r="L20" i="7" s="1"/>
  <c r="E612" i="5"/>
  <c r="M137" i="7" s="1"/>
  <c r="O8" i="5"/>
  <c r="C1411"/>
  <c r="C283" i="7" s="1"/>
  <c r="D167" i="5"/>
  <c r="D42" i="7" s="1"/>
  <c r="C1042" i="5"/>
  <c r="C213" i="7" s="1"/>
  <c r="C2475" i="5"/>
  <c r="L474" i="7" s="1"/>
  <c r="L1335" i="5"/>
  <c r="H267" i="7" s="1"/>
  <c r="F1782" i="5"/>
  <c r="E349" i="7" s="1"/>
  <c r="D1336" i="5"/>
  <c r="D268" i="7" s="1"/>
  <c r="B2196" i="5"/>
  <c r="B421" i="7" s="1"/>
  <c r="C1783" i="5"/>
  <c r="C350" i="7" s="1"/>
  <c r="B2464" i="5"/>
  <c r="B481" i="7" s="1"/>
  <c r="J1558" i="5"/>
  <c r="G310" i="7" s="1"/>
  <c r="N2186" i="5"/>
  <c r="I411" i="7" s="1"/>
  <c r="J1114" i="5"/>
  <c r="G226" i="7" s="1"/>
  <c r="D370" i="5"/>
  <c r="D72" i="7" s="1"/>
  <c r="B1355" i="5"/>
  <c r="L278" i="7" s="1"/>
  <c r="B1998" i="5"/>
  <c r="J448"/>
  <c r="G101" i="7" s="1"/>
  <c r="H962" i="5"/>
  <c r="F196" i="7" s="1"/>
  <c r="B1046" i="5"/>
  <c r="E2255"/>
  <c r="F429" i="7" s="1"/>
  <c r="L739" i="5"/>
  <c r="H154" i="7" s="1"/>
  <c r="F1114" i="5"/>
  <c r="E226" i="7" s="1"/>
  <c r="H1336" i="5"/>
  <c r="F268" i="7" s="1"/>
  <c r="H2397" i="5"/>
  <c r="F466" i="7" s="1"/>
  <c r="B2333" i="5"/>
  <c r="B454" i="7" s="1"/>
  <c r="D2118" i="5"/>
  <c r="D395" i="7" s="1"/>
  <c r="L1409" i="5"/>
  <c r="H281" i="7" s="1"/>
  <c r="C1410" i="5"/>
  <c r="C282" i="7" s="1"/>
  <c r="B2131" i="5"/>
  <c r="C406" i="7" s="1"/>
  <c r="C1114" i="5"/>
  <c r="C226" i="7" s="1"/>
  <c r="B2340" i="5"/>
  <c r="B461" i="7" s="1"/>
  <c r="B1644" i="5"/>
  <c r="L326" i="7" s="1"/>
  <c r="B752" i="5"/>
  <c r="L159" i="7" s="1"/>
  <c r="J593" i="5"/>
  <c r="G126" i="7" s="1"/>
  <c r="B1429" i="5"/>
  <c r="L292" i="7" s="1"/>
  <c r="J1190" i="5"/>
  <c r="G240" i="7" s="1"/>
  <c r="L884" i="5"/>
  <c r="H181" i="7" s="1"/>
  <c r="B828" i="5"/>
  <c r="L176" i="7" s="1"/>
  <c r="L520" i="5"/>
  <c r="H113" i="7" s="1"/>
  <c r="F594" i="5"/>
  <c r="E127" i="7" s="1"/>
  <c r="H1191" i="5"/>
  <c r="F241" i="7" s="1"/>
  <c r="D2326" i="5"/>
  <c r="D447" i="7" s="1"/>
  <c r="B1356" i="5"/>
  <c r="L279" i="7" s="1"/>
  <c r="F813" i="5"/>
  <c r="E169" i="7" s="1"/>
  <c r="F293" i="5"/>
  <c r="AD295" s="1"/>
  <c r="F1042"/>
  <c r="E213" i="7" s="1"/>
  <c r="D812" i="5"/>
  <c r="D168" i="7" s="1"/>
  <c r="F1926" i="5"/>
  <c r="E372" i="7" s="1"/>
  <c r="H963" i="5"/>
  <c r="F197" i="7" s="1"/>
  <c r="J1484" i="5"/>
  <c r="G296" i="7" s="1"/>
  <c r="B909" i="5"/>
  <c r="L194" i="7" s="1"/>
  <c r="B1873" i="5"/>
  <c r="L366" i="7" s="1"/>
  <c r="C811" i="5"/>
  <c r="C167" i="7" s="1"/>
  <c r="D1559" i="5"/>
  <c r="D311" i="7" s="1"/>
  <c r="P2117" i="5"/>
  <c r="J394" i="7" s="1"/>
  <c r="B976" i="5"/>
  <c r="L198" i="7" s="1"/>
  <c r="C1706" i="5"/>
  <c r="C337" i="7" s="1"/>
  <c r="F2186" i="5"/>
  <c r="E411" i="7" s="1"/>
  <c r="C2326" i="5"/>
  <c r="C447" i="7" s="1"/>
  <c r="F884" i="5"/>
  <c r="E181" i="7" s="1"/>
  <c r="L2058" i="5"/>
  <c r="H389" i="7" s="1"/>
  <c r="J1335" i="5"/>
  <c r="G267" i="7" s="1"/>
  <c r="B2595" i="5"/>
  <c r="B503" i="7" s="1"/>
  <c r="C2258" i="5"/>
  <c r="C431" i="7" s="1"/>
  <c r="B1804" i="5"/>
  <c r="L358" i="7" s="1"/>
  <c r="C371" i="5"/>
  <c r="C73" i="7" s="1"/>
  <c r="B983" i="5"/>
  <c r="L205" i="7" s="1"/>
  <c r="L2397" i="5"/>
  <c r="H466" i="7" s="1"/>
  <c r="B2339" i="5"/>
  <c r="B460" i="7" s="1"/>
  <c r="D14" i="5"/>
  <c r="D11" i="7" s="1"/>
  <c r="E2337" i="5"/>
  <c r="D458" i="7" s="1"/>
  <c r="L446" i="5"/>
  <c r="H99" i="7" s="1"/>
  <c r="C448" i="5"/>
  <c r="C101" i="7" s="1"/>
  <c r="H666" i="5"/>
  <c r="F140" i="7" s="1"/>
  <c r="J738" i="5"/>
  <c r="G153" i="7" s="1"/>
  <c r="J667" i="5"/>
  <c r="G141" i="7" s="1"/>
  <c r="B1504" i="5"/>
  <c r="L307" i="7" s="1"/>
  <c r="B378" i="5"/>
  <c r="L73" i="7" s="1"/>
  <c r="L1927" i="5"/>
  <c r="H373" i="7" s="1"/>
  <c r="B101" i="5"/>
  <c r="L27" i="7" s="1"/>
  <c r="F520" i="5"/>
  <c r="E113" i="7" s="1"/>
  <c r="C521" i="5"/>
  <c r="C114" i="7" s="1"/>
  <c r="B464" i="5"/>
  <c r="L108" i="7" s="1"/>
  <c r="B1342" i="5"/>
  <c r="C463" i="7"/>
  <c r="T2395" i="5"/>
  <c r="T1805"/>
  <c r="T1873"/>
  <c r="T2531"/>
  <c r="T2539"/>
  <c r="B239" i="7"/>
  <c r="T1260" i="5"/>
  <c r="U1138"/>
  <c r="B380" i="7"/>
  <c r="T2056" i="5"/>
  <c r="T2006"/>
  <c r="B370" i="7"/>
  <c r="T2345" i="5"/>
  <c r="B2115"/>
  <c r="B180" i="7"/>
  <c r="B98"/>
  <c r="J404"/>
  <c r="H420"/>
  <c r="J419"/>
  <c r="F413"/>
  <c r="E2122" i="5"/>
  <c r="D399" i="7" s="1"/>
  <c r="T910" i="5"/>
  <c r="T2453"/>
  <c r="S291"/>
  <c r="G450"/>
  <c r="E103" i="7" s="1"/>
  <c r="B1"/>
  <c r="D484"/>
  <c r="S114" i="5"/>
  <c r="S164"/>
  <c r="S40"/>
  <c r="T1407"/>
  <c r="U1283"/>
  <c r="B266" i="7"/>
  <c r="T1333" i="5"/>
  <c r="U1210"/>
  <c r="B252" i="7"/>
  <c r="B308"/>
  <c r="T1630" i="5"/>
  <c r="U1505"/>
  <c r="B294" i="7"/>
  <c r="T1431" i="5"/>
  <c r="T1555"/>
  <c r="B111" i="7"/>
  <c r="T591" i="5"/>
  <c r="T467"/>
  <c r="B280" i="7"/>
  <c r="U1357" i="5"/>
  <c r="T1481"/>
  <c r="B152" i="7"/>
  <c r="T686" i="5"/>
  <c r="T809"/>
  <c r="F166"/>
  <c r="C964"/>
  <c r="C198" i="7" s="1"/>
  <c r="D2059" i="5"/>
  <c r="D390" i="7" s="1"/>
  <c r="C594" i="5"/>
  <c r="C127" i="7" s="1"/>
  <c r="J1042" i="5"/>
  <c r="G213" i="7" s="1"/>
  <c r="C2479" i="5"/>
  <c r="L478" i="7" s="1"/>
  <c r="J1263" i="5"/>
  <c r="G254" i="7" s="1"/>
  <c r="D2186" i="5"/>
  <c r="D411" i="7" s="1"/>
  <c r="C1559" i="5"/>
  <c r="C311" i="7" s="1"/>
  <c r="C1992" i="5"/>
  <c r="C381" i="7" s="1"/>
  <c r="C1041" i="5"/>
  <c r="C212" i="7" s="1"/>
  <c r="B1723" i="5"/>
  <c r="L341" i="7" s="1"/>
  <c r="B1201" i="5"/>
  <c r="L243" i="7" s="1"/>
  <c r="B1422" i="5"/>
  <c r="L285" i="7" s="1"/>
  <c r="B540" i="5"/>
  <c r="L124" i="7" s="1"/>
  <c r="L1190" i="5"/>
  <c r="H240" i="7" s="1"/>
  <c r="L885" i="5"/>
  <c r="H182" i="7" s="1"/>
  <c r="B819" i="5"/>
  <c r="L167" i="7" s="1"/>
  <c r="H1783" i="5"/>
  <c r="F350" i="7" s="1"/>
  <c r="T1855" i="5"/>
  <c r="T541"/>
  <c r="B981"/>
  <c r="L203" i="7" s="1"/>
  <c r="B1939" i="5"/>
  <c r="L374" i="7" s="1"/>
  <c r="B2126" i="5"/>
  <c r="B403" i="7" s="1"/>
  <c r="B1279" i="5"/>
  <c r="L262" i="7" s="1"/>
  <c r="D964" i="5"/>
  <c r="D198" i="7" s="1"/>
  <c r="E1282" i="5"/>
  <c r="M265" i="7" s="1"/>
  <c r="B2001" i="5"/>
  <c r="F294"/>
  <c r="E58" i="7" s="1"/>
  <c r="B1274" i="5"/>
  <c r="L257" i="7" s="1"/>
  <c r="B304" i="5"/>
  <c r="L57" i="7" s="1"/>
  <c r="B2132" i="5"/>
  <c r="C407" i="7" s="1"/>
  <c r="B823" i="5"/>
  <c r="L171" i="7" s="1"/>
  <c r="B2455" i="5"/>
  <c r="B472" i="7" s="1"/>
  <c r="F1191" i="5"/>
  <c r="E241" i="7" s="1"/>
  <c r="B830" i="5"/>
  <c r="L178" i="7" s="1"/>
  <c r="B380" i="5"/>
  <c r="L75" i="7" s="1"/>
  <c r="B1344" i="5"/>
  <c r="L267" i="7" s="1"/>
  <c r="G8" i="5"/>
  <c r="F885"/>
  <c r="E182" i="7" s="1"/>
  <c r="B684" i="5"/>
  <c r="L150" i="7" s="1"/>
  <c r="T960" i="5"/>
  <c r="T832"/>
  <c r="T1188"/>
  <c r="T1061"/>
  <c r="T2205"/>
  <c r="T2323"/>
  <c r="S90"/>
  <c r="T613"/>
  <c r="B138" i="7"/>
  <c r="T736" i="5"/>
  <c r="T1111"/>
  <c r="B210" i="7"/>
  <c r="T988" i="5"/>
  <c r="T517"/>
  <c r="T390"/>
  <c r="D2117"/>
  <c r="D394" i="7" s="1"/>
  <c r="D2397" i="5"/>
  <c r="D466" i="7" s="1"/>
  <c r="D1335" i="5"/>
  <c r="D267" i="7" s="1"/>
  <c r="D1040" i="5"/>
  <c r="D211" i="7" s="1"/>
  <c r="D738" i="5"/>
  <c r="D153" i="7" s="1"/>
  <c r="D446" i="5"/>
  <c r="D99" i="7" s="1"/>
  <c r="H1634" i="5"/>
  <c r="F325" i="7" s="1"/>
  <c r="D2058" i="5"/>
  <c r="D389" i="7" s="1"/>
  <c r="D2325" i="5"/>
  <c r="D446" i="7" s="1"/>
  <c r="D1409" i="5"/>
  <c r="D281" i="7" s="1"/>
  <c r="D1113" i="5"/>
  <c r="D225" i="7" s="1"/>
  <c r="D811" i="5"/>
  <c r="D167" i="7" s="1"/>
  <c r="D519" i="5"/>
  <c r="D112" i="7" s="1"/>
  <c r="B458" i="5"/>
  <c r="L102" i="7" s="1"/>
  <c r="B1793" i="5"/>
  <c r="B2062"/>
  <c r="D1925"/>
  <c r="D371" i="7" s="1"/>
  <c r="D2257" i="5"/>
  <c r="D430" i="7" s="1"/>
  <c r="D1557" i="5"/>
  <c r="D309" i="7" s="1"/>
  <c r="D1190" i="5"/>
  <c r="D240" i="7" s="1"/>
  <c r="D884" i="5"/>
  <c r="D181" i="7" s="1"/>
  <c r="D593" i="5"/>
  <c r="D126" i="7" s="1"/>
  <c r="D1632" i="5"/>
  <c r="D323" i="7" s="1"/>
  <c r="D2185" i="5"/>
  <c r="D410" i="7" s="1"/>
  <c r="D2455" i="5"/>
  <c r="D472" i="7" s="1"/>
  <c r="D1262" i="5"/>
  <c r="D253" i="7" s="1"/>
  <c r="D962" i="5"/>
  <c r="D196" i="7" s="1"/>
  <c r="D665" i="5"/>
  <c r="D139" i="7" s="1"/>
  <c r="T1703" i="5"/>
  <c r="C167"/>
  <c r="C42" i="7" s="1"/>
  <c r="F447" i="5"/>
  <c r="E100" i="7" s="1"/>
  <c r="J813" i="5"/>
  <c r="G169" i="7" s="1"/>
  <c r="B1426" i="5"/>
  <c r="L289" i="7" s="1"/>
  <c r="B985" i="5"/>
  <c r="L207" i="7" s="1"/>
  <c r="B1503" i="5"/>
  <c r="L306" i="7" s="1"/>
  <c r="H1784" i="5"/>
  <c r="F351" i="7" s="1"/>
  <c r="B1280" i="5"/>
  <c r="L263" i="7" s="1"/>
  <c r="H1409" i="5"/>
  <c r="F281" i="7" s="1"/>
  <c r="J2455" i="5"/>
  <c r="G472" i="7" s="1"/>
  <c r="J1410" i="5"/>
  <c r="G282" i="7" s="1"/>
  <c r="C2002" i="5"/>
  <c r="J885"/>
  <c r="G182" i="7" s="1"/>
  <c r="D520" i="5"/>
  <c r="D113" i="7" s="1"/>
  <c r="F1192" i="5"/>
  <c r="E242" i="7" s="1"/>
  <c r="C1192" i="5"/>
  <c r="C242" i="7" s="1"/>
  <c r="F886" i="5"/>
  <c r="E183" i="7" s="1"/>
  <c r="B98" i="5"/>
  <c r="B37"/>
  <c r="L22" i="7" s="1"/>
  <c r="H1262" i="5"/>
  <c r="F253" i="7" s="1"/>
  <c r="B746" i="5"/>
  <c r="L153" i="7" s="1"/>
  <c r="B2465" i="5"/>
  <c r="B482" i="7" s="1"/>
  <c r="H2258" i="5"/>
  <c r="F431" i="7" s="1"/>
  <c r="J1783" i="5"/>
  <c r="G350" i="7" s="1"/>
  <c r="B1060" i="5"/>
  <c r="L223" i="7" s="1"/>
  <c r="E112" i="5"/>
  <c r="M38" i="7" s="1"/>
  <c r="L521" i="5"/>
  <c r="H114" i="7" s="1"/>
  <c r="L594" i="5"/>
  <c r="H127" i="7" s="1"/>
  <c r="C295" i="5"/>
  <c r="C59" i="7" s="1"/>
  <c r="L2455" i="5"/>
  <c r="H472" i="7" s="1"/>
  <c r="B2342" i="5"/>
  <c r="C93"/>
  <c r="C27" i="7" s="1"/>
  <c r="B1209" i="5"/>
  <c r="L251" i="7" s="1"/>
  <c r="T1780" i="5"/>
  <c r="B2268"/>
  <c r="B441" i="7" s="1"/>
  <c r="B1500" i="5"/>
  <c r="L303" i="7" s="1"/>
  <c r="B2198" i="5"/>
  <c r="B423" i="7" s="1"/>
  <c r="P2185" i="5"/>
  <c r="J410" i="7" s="1"/>
  <c r="F1336" i="5"/>
  <c r="E268" i="7" s="1"/>
  <c r="F1041" i="5"/>
  <c r="E212" i="7" s="1"/>
  <c r="B2337" i="5"/>
  <c r="B458" i="7" s="1"/>
  <c r="H2398" i="5"/>
  <c r="F467" i="7" s="1"/>
  <c r="B379" i="5"/>
  <c r="L74" i="7" s="1"/>
  <c r="V2186" i="5"/>
  <c r="M411" i="7" s="1"/>
  <c r="J1485" i="5"/>
  <c r="G297" i="7" s="1"/>
  <c r="B1726" i="5"/>
  <c r="L344" i="7" s="1"/>
  <c r="D1784" i="5"/>
  <c r="D351" i="7" s="1"/>
  <c r="C446" i="5"/>
  <c r="C99" i="7" s="1"/>
  <c r="J665" i="5"/>
  <c r="G139" i="7" s="1"/>
  <c r="B1190" i="5"/>
  <c r="B240" i="7" s="1"/>
  <c r="B24" i="5"/>
  <c r="L9" i="7" s="1"/>
  <c r="J1192" i="5"/>
  <c r="G242" i="7" s="1"/>
  <c r="B2331" i="5"/>
  <c r="B452" i="7" s="1"/>
  <c r="L448" i="5"/>
  <c r="H101" i="7" s="1"/>
  <c r="F593" i="5"/>
  <c r="E126" i="7" s="1"/>
  <c r="B2000" i="5"/>
  <c r="L381" i="7" s="1"/>
  <c r="C2397" i="5"/>
  <c r="C466" i="7" s="1"/>
  <c r="J1411" i="5"/>
  <c r="G283" i="7" s="1"/>
  <c r="F13" i="5"/>
  <c r="E10" i="7" s="1"/>
  <c r="C2186" i="5"/>
  <c r="C411" i="7" s="1"/>
  <c r="B526" i="5"/>
  <c r="T2258"/>
  <c r="L431" i="7" s="1"/>
  <c r="J2456" i="5"/>
  <c r="G473" i="7" s="1"/>
  <c r="B2594" i="5"/>
  <c r="B501" i="7" s="1"/>
  <c r="B2197" i="5"/>
  <c r="B422" i="7" s="1"/>
  <c r="B1494" i="5"/>
  <c r="L297" i="7" s="1"/>
  <c r="E540" i="5"/>
  <c r="M124" i="7" s="1"/>
  <c r="B1557" i="5"/>
  <c r="B309" i="7" s="1"/>
  <c r="H293" i="5"/>
  <c r="C1115"/>
  <c r="C227" i="7" s="1"/>
  <c r="B2399" i="5"/>
  <c r="B468" i="7" s="1"/>
  <c r="J1264" i="5"/>
  <c r="G255" i="7" s="1"/>
  <c r="B1872" i="5"/>
  <c r="L365" i="7" s="1"/>
  <c r="D166" i="5"/>
  <c r="P2257"/>
  <c r="J430" i="7" s="1"/>
  <c r="D594" i="5"/>
  <c r="D127" i="7" s="1"/>
  <c r="E1504" i="5"/>
  <c r="M307" i="7" s="1"/>
  <c r="J7" i="5"/>
  <c r="B1803"/>
  <c r="L357" i="7" s="1"/>
  <c r="C1262" i="5"/>
  <c r="C253" i="7" s="1"/>
  <c r="L2257" i="5"/>
  <c r="H430" i="7" s="1"/>
  <c r="C447" i="5"/>
  <c r="C100" i="7" s="1"/>
  <c r="B1206" i="5"/>
  <c r="L248" i="7" s="1"/>
  <c r="B1049" i="5"/>
  <c r="L212" i="7" s="1"/>
  <c r="B534" i="5"/>
  <c r="L118" i="7" s="1"/>
  <c r="N7" i="5"/>
  <c r="B1136"/>
  <c r="L237" i="7" s="1"/>
  <c r="B1137" i="5"/>
  <c r="L238" i="7" s="1"/>
  <c r="F1411" i="5"/>
  <c r="E283" i="7" s="1"/>
  <c r="C2474" i="5"/>
  <c r="L473" i="7" s="1"/>
  <c r="B612" i="5"/>
  <c r="L137" i="7" s="1"/>
  <c r="D294" i="5"/>
  <c r="D58" i="7" s="1"/>
  <c r="C1483" i="5"/>
  <c r="C295" i="7" s="1"/>
  <c r="B974" i="5"/>
  <c r="L196" i="7" s="1"/>
  <c r="C2185" i="5"/>
  <c r="C410" i="7" s="1"/>
  <c r="C1337" i="5"/>
  <c r="C269" i="7" s="1"/>
  <c r="J2258" i="5"/>
  <c r="G431" i="7" s="1"/>
  <c r="F595" i="5"/>
  <c r="E128" i="7" s="1"/>
  <c r="F1190" i="5"/>
  <c r="E240" i="7" s="1"/>
  <c r="J1115" i="5"/>
  <c r="G227" i="7" s="1"/>
  <c r="C1784" i="5"/>
  <c r="C351" i="7" s="1"/>
  <c r="E1209" i="5"/>
  <c r="M251" i="7" s="1"/>
  <c r="B382" i="5"/>
  <c r="L77" i="7" s="1"/>
  <c r="I8" i="5"/>
  <c r="B1354"/>
  <c r="L277" i="7" s="1"/>
  <c r="E190" i="5"/>
  <c r="M54" i="7" s="1"/>
  <c r="B2397" i="5"/>
  <c r="B466" i="7" s="1"/>
  <c r="B2335" i="5"/>
  <c r="B456" i="7" s="1"/>
  <c r="B2191" i="5"/>
  <c r="B416" i="7" s="1"/>
  <c r="B2125" i="5"/>
  <c r="B402" i="7" s="1"/>
  <c r="B1421" i="5"/>
  <c r="L284" i="7" s="1"/>
  <c r="B603" i="5"/>
  <c r="L128" i="7" s="1"/>
  <c r="B315" i="5"/>
  <c r="L68" i="7" s="1"/>
  <c r="H593" i="5"/>
  <c r="F126" i="7" s="1"/>
  <c r="B755" i="5"/>
  <c r="L162" i="7" s="1"/>
  <c r="E38" i="5"/>
  <c r="M23" i="7" s="1"/>
  <c r="L667" i="5"/>
  <c r="H141" i="7" s="1"/>
  <c r="H2456" i="5"/>
  <c r="F473" i="7" s="1"/>
  <c r="B2336" i="5"/>
  <c r="B457" i="7" s="1"/>
  <c r="E8" i="5"/>
  <c r="H1483"/>
  <c r="F295" i="7" s="1"/>
  <c r="B681" i="5"/>
  <c r="L147" i="7" s="1"/>
  <c r="J1559" i="5"/>
  <c r="G311" i="7" s="1"/>
  <c r="B386" i="5"/>
  <c r="L81" i="7" s="1"/>
  <c r="B389" i="5"/>
  <c r="L84" i="7" s="1"/>
  <c r="B7" i="5"/>
  <c r="B1567"/>
  <c r="L309" i="7" s="1"/>
  <c r="L1925" i="5"/>
  <c r="H371" i="7" s="1"/>
  <c r="B2272" i="5"/>
  <c r="C443" i="7" s="1"/>
  <c r="C1263" i="5"/>
  <c r="C254" i="7" s="1"/>
  <c r="J446" i="5"/>
  <c r="G99" i="7" s="1"/>
  <c r="E316" i="5"/>
  <c r="M69" i="7" s="1"/>
  <c r="B536" i="5"/>
  <c r="L120" i="7" s="1"/>
  <c r="H1113" i="5"/>
  <c r="F225" i="7" s="1"/>
  <c r="V2118" i="5"/>
  <c r="M395" i="7" s="1"/>
  <c r="B2189" i="5"/>
  <c r="B414" i="7" s="1"/>
  <c r="B1346" i="5"/>
  <c r="L269" i="7" s="1"/>
  <c r="B829" i="5"/>
  <c r="L177" i="7" s="1"/>
  <c r="T2403" i="5"/>
  <c r="B1348"/>
  <c r="L271" i="7" s="1"/>
  <c r="B375" i="5"/>
  <c r="L1337"/>
  <c r="H269" i="7" s="1"/>
  <c r="E1728" i="5"/>
  <c r="M346" i="7" s="1"/>
  <c r="B1992" i="5"/>
  <c r="B381" i="7" s="1"/>
  <c r="T2589" i="5"/>
  <c r="B1870"/>
  <c r="L363" i="7" s="1"/>
  <c r="H1559" i="5"/>
  <c r="F311" i="7" s="1"/>
  <c r="L738" i="5"/>
  <c r="H153" i="7" s="1"/>
  <c r="F1705" i="5"/>
  <c r="E336" i="7" s="1"/>
  <c r="J520" i="5"/>
  <c r="G113" i="7" s="1"/>
  <c r="D13" i="5"/>
  <c r="D10" i="7" s="1"/>
  <c r="B2263" i="5"/>
  <c r="B436" i="7" s="1"/>
  <c r="D1858" i="5"/>
  <c r="D362" i="7" s="1"/>
  <c r="J595" i="5"/>
  <c r="G128" i="7" s="1"/>
  <c r="B1502" i="5"/>
  <c r="L305" i="7" s="1"/>
  <c r="C92" i="5"/>
  <c r="C26" i="7" s="1"/>
  <c r="B1113" i="5"/>
  <c r="B225" i="7" s="1"/>
  <c r="B2468" i="5"/>
  <c r="B485" i="7" s="1"/>
  <c r="H1115" i="5"/>
  <c r="F227" i="7" s="1"/>
  <c r="F1707" i="5"/>
  <c r="E338" i="7" s="1"/>
  <c r="B466" i="5"/>
  <c r="L110" i="7" s="1"/>
  <c r="B2117" i="5"/>
  <c r="B394" i="7" s="1"/>
  <c r="E1643" i="5"/>
  <c r="M325" i="7" s="1"/>
  <c r="B2458" i="5"/>
  <c r="B475" i="7" s="1"/>
  <c r="B2469" i="5"/>
  <c r="B486" i="7" s="1"/>
  <c r="E1430" i="5"/>
  <c r="M293" i="7" s="1"/>
  <c r="B179" i="5"/>
  <c r="L43" i="7" s="1"/>
  <c r="B1721" i="5"/>
  <c r="L339" i="7" s="1"/>
  <c r="H884" i="5"/>
  <c r="F181" i="7" s="1"/>
  <c r="F1994" i="5"/>
  <c r="E383" i="7" s="1"/>
  <c r="H295" i="5"/>
  <c r="F59" i="7" s="1"/>
  <c r="B2467" i="5"/>
  <c r="B484" i="7" s="1"/>
  <c r="B529" i="5"/>
  <c r="L113" i="7" s="1"/>
  <c r="D667" i="5"/>
  <c r="D141" i="7" s="1"/>
  <c r="B1649" i="5"/>
  <c r="L331" i="7" s="1"/>
  <c r="C1557" i="5"/>
  <c r="C309" i="7" s="1"/>
  <c r="P2258" i="5"/>
  <c r="J431" i="7" s="1"/>
  <c r="U8" i="5"/>
  <c r="B186"/>
  <c r="L50" i="7" s="1"/>
  <c r="B316" i="5"/>
  <c r="L69" i="7" s="1"/>
  <c r="B2260" i="5"/>
  <c r="B433" i="7" s="1"/>
  <c r="H1558" i="5"/>
  <c r="F310" i="7" s="1"/>
  <c r="J1925" i="5"/>
  <c r="G371" i="7" s="1"/>
  <c r="F1783" i="5"/>
  <c r="E350" i="7" s="1"/>
  <c r="B2127" i="5"/>
  <c r="B404" i="7" s="1"/>
  <c r="B191" i="5"/>
  <c r="L55" i="7" s="1"/>
  <c r="T2325" i="5"/>
  <c r="L446" i="7" s="1"/>
  <c r="J1409" i="5"/>
  <c r="G281" i="7" s="1"/>
  <c r="D1264" i="5"/>
  <c r="D255" i="7" s="1"/>
  <c r="C1"/>
  <c r="M1" s="1"/>
  <c r="B1272" i="5"/>
  <c r="L255" i="7" s="1"/>
  <c r="F964" i="5"/>
  <c r="E198" i="7" s="1"/>
  <c r="B307" i="5"/>
  <c r="L60" i="7" s="1"/>
  <c r="P2326" i="5"/>
  <c r="J447" i="7" s="1"/>
  <c r="H594" i="5"/>
  <c r="F127" i="7" s="1"/>
  <c r="H2185" i="5"/>
  <c r="F410" i="7" s="1"/>
  <c r="F167" i="5"/>
  <c r="E42" i="7" s="1"/>
  <c r="L1192" i="5"/>
  <c r="H242" i="7" s="1"/>
  <c r="B2120" i="5"/>
  <c r="B397" i="7" s="1"/>
  <c r="B682" i="5"/>
  <c r="L148" i="7" s="1"/>
  <c r="H167" i="5"/>
  <c r="F42" i="7" s="1"/>
  <c r="C294" i="5"/>
  <c r="C58" i="7" s="1"/>
  <c r="B377" i="5"/>
  <c r="L72" i="7" s="1"/>
  <c r="B104" i="5"/>
  <c r="L30" i="7" s="1"/>
  <c r="E909" i="5"/>
  <c r="M194" i="7" s="1"/>
  <c r="L1113" i="5"/>
  <c r="H225" i="7" s="1"/>
  <c r="B2473" i="5"/>
  <c r="K472" i="7" s="1"/>
  <c r="D1484" i="5"/>
  <c r="D296" i="7" s="1"/>
  <c r="B750" i="5"/>
  <c r="L157" i="7" s="1"/>
  <c r="L1484" i="5"/>
  <c r="H296" i="7" s="1"/>
  <c r="J2398" i="5"/>
  <c r="G467" i="7" s="1"/>
  <c r="S444" i="5"/>
  <c r="J1113"/>
  <c r="G225" i="7" s="1"/>
  <c r="D12" i="5"/>
  <c r="D9" i="7" s="1"/>
  <c r="T2133" i="5"/>
  <c r="T1730"/>
  <c r="P2325"/>
  <c r="J446" i="7" s="1"/>
  <c r="C1335" i="5"/>
  <c r="C267" i="7" s="1"/>
  <c r="B1281" i="5"/>
  <c r="L264" i="7" s="1"/>
  <c r="B1498" i="5"/>
  <c r="L301" i="7" s="1"/>
  <c r="B2195" i="5"/>
  <c r="B420" i="7" s="1"/>
  <c r="C740" i="5"/>
  <c r="C155" i="7" s="1"/>
  <c r="B109" i="5"/>
  <c r="L35" i="7" s="1"/>
  <c r="D1558" i="5"/>
  <c r="D310" i="7" s="1"/>
  <c r="T1940" i="5"/>
  <c r="T2273"/>
  <c r="B1866"/>
  <c r="B1934"/>
  <c r="C2478"/>
  <c r="L477" i="7" s="1"/>
  <c r="L2258" i="5"/>
  <c r="H431" i="7" s="1"/>
  <c r="B1720" i="5"/>
  <c r="L338" i="7" s="1"/>
  <c r="B1418" i="5"/>
  <c r="L281" i="7" s="1"/>
  <c r="B1648" i="5"/>
  <c r="L330" i="7" s="1"/>
  <c r="B1641" i="5"/>
  <c r="L323" i="7" s="1"/>
  <c r="F1993" i="5"/>
  <c r="E382" i="7" s="1"/>
  <c r="J1784" i="5"/>
  <c r="G351" i="7" s="1"/>
  <c r="C1632" i="5"/>
  <c r="C323" i="7" s="1"/>
  <c r="B388" i="5"/>
  <c r="L83" i="7" s="1"/>
  <c r="B1575" i="5"/>
  <c r="L317" i="7" s="1"/>
  <c r="F1409" i="5"/>
  <c r="E281" i="7" s="1"/>
  <c r="H811" i="5"/>
  <c r="F167" i="7" s="1"/>
  <c r="C1859" i="5"/>
  <c r="C363" i="7" s="1"/>
  <c r="B899" i="5"/>
  <c r="L184" i="7" s="1"/>
  <c r="B302" i="5"/>
  <c r="D1992"/>
  <c r="D381" i="7" s="1"/>
  <c r="D1706" i="5"/>
  <c r="D337" i="7" s="1"/>
  <c r="B1802" i="5"/>
  <c r="L356" i="7" s="1"/>
  <c r="D1994" i="5"/>
  <c r="D383" i="7" s="1"/>
  <c r="D521" i="5"/>
  <c r="D114" i="7" s="1"/>
  <c r="F2398" i="5"/>
  <c r="E467" i="7" s="1"/>
  <c r="B2457" i="5"/>
  <c r="B474" i="7" s="1"/>
  <c r="B189" i="5"/>
  <c r="L53" i="7" s="1"/>
  <c r="B190" i="5"/>
  <c r="L54" i="7" s="1"/>
  <c r="J2118" i="5"/>
  <c r="G395" i="7" s="1"/>
  <c r="B2459" i="5"/>
  <c r="B476" i="7" s="1"/>
  <c r="R7" i="5"/>
  <c r="B1271"/>
  <c r="L254" i="7" s="1"/>
  <c r="L886" i="5"/>
  <c r="H183" i="7" s="1"/>
  <c r="J2186" i="5"/>
  <c r="G411" i="7" s="1"/>
  <c r="B1205" i="5"/>
  <c r="L247" i="7" s="1"/>
  <c r="B817" i="5"/>
  <c r="F2258"/>
  <c r="E431" i="7" s="1"/>
  <c r="B2002" i="5"/>
  <c r="B1058"/>
  <c r="L221" i="7" s="1"/>
  <c r="J1262" i="5"/>
  <c r="G253" i="7" s="1"/>
  <c r="F1784" i="5"/>
  <c r="E351" i="7" s="1"/>
  <c r="B2270" i="5"/>
  <c r="B1569"/>
  <c r="L311" i="7" s="1"/>
  <c r="F93" i="5"/>
  <c r="E27" i="7" s="1"/>
  <c r="C2398" i="5"/>
  <c r="C467" i="7" s="1"/>
  <c r="C1336" i="5"/>
  <c r="C268" i="7" s="1"/>
  <c r="B1203" i="5"/>
  <c r="L245" i="7" s="1"/>
  <c r="C2473" i="5"/>
  <c r="L472" i="7" s="1"/>
  <c r="M8" i="5"/>
  <c r="F1484"/>
  <c r="E296" i="7" s="1"/>
  <c r="H2058" i="5"/>
  <c r="F389" i="7" s="1"/>
  <c r="B166" i="5"/>
  <c r="B41" i="7" s="1"/>
  <c r="T2117" i="5"/>
  <c r="L394" i="7" s="1"/>
  <c r="F2456" i="5"/>
  <c r="E473" i="7" s="1"/>
  <c r="F739" i="5"/>
  <c r="E154" i="7" s="1"/>
  <c r="C593" i="5"/>
  <c r="C126" i="7" s="1"/>
  <c r="D94" i="5"/>
  <c r="D28" i="7" s="1"/>
  <c r="J1483" i="5"/>
  <c r="G295" i="7" s="1"/>
  <c r="L2118" i="5"/>
  <c r="H395" i="7" s="1"/>
  <c r="D92" i="5"/>
  <c r="B1270"/>
  <c r="L253" i="7" s="1"/>
  <c r="T2185" i="5"/>
  <c r="L410" i="7" s="1"/>
  <c r="B977" i="5"/>
  <c r="L199" i="7" s="1"/>
  <c r="B665" i="5"/>
  <c r="B139" i="7" s="1"/>
  <c r="B111" i="5"/>
  <c r="L37" i="7" s="1"/>
  <c r="B1650" i="5"/>
  <c r="L332" i="7" s="1"/>
  <c r="C519" i="5"/>
  <c r="C112" i="7" s="1"/>
  <c r="C1190" i="5"/>
  <c r="C240" i="7" s="1"/>
  <c r="B599" i="5"/>
  <c r="B12"/>
  <c r="B9" i="7" s="1"/>
  <c r="B1795" i="5"/>
  <c r="L349" i="7" s="1"/>
  <c r="C885" i="5"/>
  <c r="C182" i="7" s="1"/>
  <c r="C1707" i="5"/>
  <c r="C338" i="7" s="1"/>
  <c r="H595" i="5"/>
  <c r="F128" i="7" s="1"/>
  <c r="F1337" i="5"/>
  <c r="E269" i="7" s="1"/>
  <c r="J1041" i="5"/>
  <c r="G212" i="7" s="1"/>
  <c r="L812" i="5"/>
  <c r="H168" i="7" s="1"/>
  <c r="L1042" i="5"/>
  <c r="H213" i="7" s="1"/>
  <c r="C12" i="5"/>
  <c r="C9" i="7" s="1"/>
  <c r="H1337" i="5"/>
  <c r="F269" i="7" s="1"/>
  <c r="R2186" i="5"/>
  <c r="K411" i="7" s="1"/>
  <c r="E4" i="5"/>
  <c r="D3" i="7" s="1"/>
  <c r="B188" i="5"/>
  <c r="L52" i="7" s="1"/>
  <c r="B1496" i="5"/>
  <c r="L299" i="7" s="1"/>
  <c r="B384" i="5"/>
  <c r="L79" i="7" s="1"/>
  <c r="B1350" i="5"/>
  <c r="L273" i="7" s="1"/>
  <c r="B675" i="5"/>
  <c r="L141" i="7" s="1"/>
  <c r="L595" i="5"/>
  <c r="H128" i="7" s="1"/>
  <c r="F1115" i="5"/>
  <c r="E227" i="7" s="1"/>
  <c r="J1337" i="5"/>
  <c r="G269" i="7" s="1"/>
  <c r="B1642" i="5"/>
  <c r="L324" i="7" s="1"/>
  <c r="L1263" i="5"/>
  <c r="H254" i="7" s="1"/>
  <c r="H1264" i="5"/>
  <c r="F255" i="7" s="1"/>
  <c r="J521" i="5"/>
  <c r="G114" i="7" s="1"/>
  <c r="H1705" i="5"/>
  <c r="F336" i="7" s="1"/>
  <c r="L7" i="5"/>
  <c r="D295"/>
  <c r="D59" i="7" s="1"/>
  <c r="B1797" i="5"/>
  <c r="L351" i="7" s="1"/>
  <c r="J963" i="5"/>
  <c r="G197" i="7" s="1"/>
  <c r="J666" i="5"/>
  <c r="G140" i="7" s="1"/>
  <c r="B2259" i="5"/>
  <c r="B432" i="7" s="1"/>
  <c r="B2535" i="5"/>
  <c r="B491" i="7" s="1"/>
  <c r="F740" i="5"/>
  <c r="E155" i="7" s="1"/>
  <c r="H1192" i="5"/>
  <c r="F242" i="7" s="1"/>
  <c r="B2202" i="5"/>
  <c r="B2129"/>
  <c r="H294"/>
  <c r="F58" i="7" s="1"/>
  <c r="H1410" i="5"/>
  <c r="F282" i="7" s="1"/>
  <c r="B2474" i="5"/>
  <c r="K473" i="7" s="1"/>
  <c r="C168" i="5"/>
  <c r="C43" i="7" s="1"/>
  <c r="F521" i="5"/>
  <c r="E114" i="7" s="1"/>
  <c r="C595" i="5"/>
  <c r="C128" i="7" s="1"/>
  <c r="B898" i="5"/>
  <c r="L183" i="7" s="1"/>
  <c r="B38" i="5"/>
  <c r="L23" i="7" s="1"/>
  <c r="B608" i="5"/>
  <c r="L133" i="7" s="1"/>
  <c r="F1335" i="5"/>
  <c r="E267" i="7" s="1"/>
  <c r="B2533" i="5"/>
  <c r="B489" i="7" s="1"/>
  <c r="H1041" i="5"/>
  <c r="F212" i="7" s="1"/>
  <c r="C738" i="5"/>
  <c r="C153" i="7" s="1"/>
  <c r="L964" i="5"/>
  <c r="H198" i="7" s="1"/>
  <c r="B537" i="5"/>
  <c r="L121" i="7" s="1"/>
  <c r="L386" l="1"/>
  <c r="L382"/>
  <c r="E9"/>
  <c r="E26"/>
  <c r="L400"/>
  <c r="J400"/>
  <c r="F400"/>
  <c r="H400"/>
  <c r="E57"/>
  <c r="AC295" i="5"/>
  <c r="D57" i="7"/>
  <c r="AE168" i="5"/>
  <c r="F41" i="7"/>
  <c r="T2065" i="5"/>
  <c r="T2183"/>
  <c r="L383" i="7"/>
  <c r="E41"/>
  <c r="AD168" i="5"/>
  <c r="D6" i="7"/>
  <c r="AE295" i="5"/>
  <c r="F57" i="7"/>
  <c r="AC168" i="5"/>
  <c r="D41" i="7"/>
  <c r="AC14" i="5"/>
  <c r="AC94"/>
  <c r="D26" i="7"/>
</calcChain>
</file>

<file path=xl/sharedStrings.xml><?xml version="1.0" encoding="utf-8"?>
<sst xmlns="http://schemas.openxmlformats.org/spreadsheetml/2006/main" count="127" uniqueCount="77">
  <si>
    <t>1А</t>
  </si>
  <si>
    <t>2А</t>
  </si>
  <si>
    <t>1Б</t>
  </si>
  <si>
    <t>2Б</t>
  </si>
  <si>
    <t>А</t>
  </si>
  <si>
    <t>Б</t>
  </si>
  <si>
    <t>ENG</t>
  </si>
  <si>
    <t>7.1.</t>
  </si>
  <si>
    <t>5.1.</t>
  </si>
  <si>
    <t>5.2.</t>
  </si>
  <si>
    <t>5.3.</t>
  </si>
  <si>
    <t>7.2.</t>
  </si>
  <si>
    <t>8.1.</t>
  </si>
  <si>
    <t>4.0 - 4.9</t>
  </si>
  <si>
    <t>4.3.</t>
  </si>
  <si>
    <t>3А.3</t>
  </si>
  <si>
    <t>3А.5</t>
  </si>
  <si>
    <t>3.0 - 3.1</t>
  </si>
  <si>
    <t>4.0 - 4.2</t>
  </si>
  <si>
    <t>1.0 - 1.1</t>
  </si>
  <si>
    <t>4.0 - 4.1</t>
  </si>
  <si>
    <t>5.0 - 5.1</t>
  </si>
  <si>
    <t>3.0 - 3.3</t>
  </si>
  <si>
    <t>4.0 - 4.4</t>
  </si>
  <si>
    <t>5.0 - 5.5</t>
  </si>
  <si>
    <t>6.0 - 6.6</t>
  </si>
  <si>
    <t>1.0.</t>
  </si>
  <si>
    <t>7.0 - 7.1</t>
  </si>
  <si>
    <t>2.0 - 2.2</t>
  </si>
  <si>
    <t>2А.0 - 2А.1</t>
  </si>
  <si>
    <t>3А.0 - 3А.2</t>
  </si>
  <si>
    <t>7.0 - 7.2</t>
  </si>
  <si>
    <t>3.0 - 3.6</t>
  </si>
  <si>
    <t>6.0 - 6.1</t>
  </si>
  <si>
    <t>6А.1</t>
  </si>
  <si>
    <t>6А.5</t>
  </si>
  <si>
    <t>5А.1 - 5А.3</t>
  </si>
  <si>
    <t>5Б.3</t>
  </si>
  <si>
    <t>3А.1 - 3А.2</t>
  </si>
  <si>
    <t>1.0 - 1.3</t>
  </si>
  <si>
    <t>3.0 - 3.5</t>
  </si>
  <si>
    <t>4.0 - 4.8</t>
  </si>
  <si>
    <t>5.0 - 5.6</t>
  </si>
  <si>
    <t>6.0 - 6.4</t>
  </si>
  <si>
    <t>8.0 - 8.5</t>
  </si>
  <si>
    <t>1.0 - 1.8</t>
  </si>
  <si>
    <t>2.1 - 2.4</t>
  </si>
  <si>
    <t>3.0 - 3.4</t>
  </si>
  <si>
    <t>1.0 - 1.6</t>
  </si>
  <si>
    <t>2.1 - 2.3</t>
  </si>
  <si>
    <t>1.0 - 1.5</t>
  </si>
  <si>
    <t>1.6 - 1.8</t>
  </si>
  <si>
    <t>4.5 - 4.6</t>
  </si>
  <si>
    <t>L1.0 - 1.1</t>
  </si>
  <si>
    <t>L3.0 - 3.2</t>
  </si>
  <si>
    <t>L4.0 - 4.1</t>
  </si>
  <si>
    <t>L5.0 - 5.1</t>
  </si>
  <si>
    <t>L6.0 - 6.1</t>
  </si>
  <si>
    <t>Ціна 1</t>
  </si>
  <si>
    <t>Ціна 2</t>
  </si>
  <si>
    <t>Ціна 3</t>
  </si>
  <si>
    <t>Ціна 4</t>
  </si>
  <si>
    <t>Ціна 5</t>
  </si>
  <si>
    <t>Ціна 6</t>
  </si>
  <si>
    <t>Ціна 7</t>
  </si>
  <si>
    <t>Ціна 8</t>
  </si>
  <si>
    <t>без ПДВ</t>
  </si>
  <si>
    <t>UA</t>
  </si>
  <si>
    <t xml:space="preserve"> </t>
  </si>
  <si>
    <t>Ціна 9</t>
  </si>
  <si>
    <t>Ціна 10</t>
  </si>
  <si>
    <t>1.0-1.1</t>
  </si>
  <si>
    <t>1А.1</t>
  </si>
  <si>
    <t>2.0-2.1</t>
  </si>
  <si>
    <t>2А.1</t>
  </si>
  <si>
    <t>3.0-3.1</t>
  </si>
  <si>
    <t>замок Magnet чорн.</t>
  </si>
</sst>
</file>

<file path=xl/styles.xml><?xml version="1.0" encoding="utf-8"?>
<styleSheet xmlns="http://schemas.openxmlformats.org/spreadsheetml/2006/main">
  <numFmts count="4">
    <numFmt numFmtId="164" formatCode="0.0"/>
    <numFmt numFmtId="165" formatCode="0.0000"/>
    <numFmt numFmtId="166" formatCode="#,##0.0"/>
    <numFmt numFmtId="167" formatCode="#,##0\ [$грн.-422]"/>
  </numFmts>
  <fonts count="55">
    <font>
      <sz val="10"/>
      <name val="Arial Cyr"/>
      <charset val="204"/>
    </font>
    <font>
      <sz val="10"/>
      <name val="Arial Cyr"/>
      <charset val="204"/>
    </font>
    <font>
      <b/>
      <sz val="8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name val="Times New Roman"/>
      <family val="1"/>
      <charset val="204"/>
    </font>
    <font>
      <sz val="8"/>
      <name val="Arial Cyr"/>
      <charset val="204"/>
    </font>
    <font>
      <sz val="8"/>
      <name val="Times New Roman"/>
      <family val="1"/>
      <charset val="204"/>
    </font>
    <font>
      <sz val="7"/>
      <name val="Times New Roman"/>
      <family val="1"/>
      <charset val="204"/>
    </font>
    <font>
      <b/>
      <sz val="10"/>
      <name val="Arial Cyr"/>
      <charset val="204"/>
    </font>
    <font>
      <sz val="8"/>
      <color indexed="9"/>
      <name val="Arial Cyr"/>
      <charset val="204"/>
    </font>
    <font>
      <sz val="10"/>
      <color indexed="9"/>
      <name val="Arial Cyr"/>
      <charset val="204"/>
    </font>
    <font>
      <sz val="8"/>
      <color indexed="22"/>
      <name val="Arial Cyr"/>
      <charset val="204"/>
    </font>
    <font>
      <b/>
      <sz val="10"/>
      <color indexed="17"/>
      <name val="Arial"/>
      <family val="2"/>
      <charset val="204"/>
    </font>
    <font>
      <sz val="8"/>
      <name val="Arial"/>
      <family val="2"/>
      <charset val="204"/>
    </font>
    <font>
      <b/>
      <sz val="10"/>
      <color indexed="17"/>
      <name val="Times New Roman"/>
      <family val="1"/>
      <charset val="204"/>
    </font>
    <font>
      <b/>
      <i/>
      <sz val="10"/>
      <name val="Arial Cyr"/>
      <charset val="204"/>
    </font>
    <font>
      <i/>
      <sz val="8"/>
      <name val="Arial Cyr"/>
      <charset val="204"/>
    </font>
    <font>
      <u/>
      <sz val="8.5"/>
      <color indexed="12"/>
      <name val="Arial Cyr"/>
      <charset val="204"/>
    </font>
    <font>
      <sz val="10"/>
      <name val="Door_Gordana"/>
      <charset val="204"/>
    </font>
    <font>
      <b/>
      <sz val="10"/>
      <name val="Door_Gordana"/>
      <charset val="204"/>
    </font>
    <font>
      <sz val="10"/>
      <name val="Times New Roman"/>
      <family val="1"/>
      <charset val="204"/>
    </font>
    <font>
      <b/>
      <u/>
      <sz val="10"/>
      <color indexed="12"/>
      <name val="Arial Cyr"/>
      <charset val="204"/>
    </font>
    <font>
      <b/>
      <sz val="9"/>
      <color indexed="17"/>
      <name val="Times New Roman"/>
      <family val="1"/>
      <charset val="204"/>
    </font>
    <font>
      <b/>
      <i/>
      <sz val="8"/>
      <color indexed="12"/>
      <name val="Times New Roman"/>
      <family val="1"/>
      <charset val="204"/>
    </font>
    <font>
      <b/>
      <sz val="8"/>
      <name val="Arial"/>
      <family val="2"/>
      <charset val="204"/>
    </font>
    <font>
      <b/>
      <i/>
      <sz val="8"/>
      <name val="Times New Roman"/>
      <family val="1"/>
      <charset val="204"/>
    </font>
    <font>
      <b/>
      <sz val="8"/>
      <name val="Arial Cyr"/>
      <charset val="204"/>
    </font>
    <font>
      <b/>
      <sz val="8"/>
      <color indexed="10"/>
      <name val="Times New Roman"/>
      <family val="1"/>
      <charset val="204"/>
    </font>
    <font>
      <b/>
      <sz val="10"/>
      <color indexed="9"/>
      <name val="Times New Roman"/>
      <family val="1"/>
      <charset val="204"/>
    </font>
    <font>
      <b/>
      <sz val="8"/>
      <color indexed="10"/>
      <name val="Arial"/>
      <family val="2"/>
      <charset val="204"/>
    </font>
    <font>
      <b/>
      <sz val="8"/>
      <color indexed="12"/>
      <name val="Times New Roman"/>
      <family val="1"/>
      <charset val="204"/>
    </font>
    <font>
      <b/>
      <sz val="7"/>
      <color indexed="12"/>
      <name val="Times New Roman"/>
      <family val="1"/>
      <charset val="204"/>
    </font>
    <font>
      <sz val="8"/>
      <color indexed="12"/>
      <name val="Times New Roman"/>
      <family val="1"/>
      <charset val="204"/>
    </font>
    <font>
      <sz val="8"/>
      <color indexed="10"/>
      <name val="Times New Roman"/>
      <family val="1"/>
      <charset val="204"/>
    </font>
    <font>
      <i/>
      <sz val="8"/>
      <color indexed="12"/>
      <name val="Times New Roman"/>
      <family val="1"/>
      <charset val="204"/>
    </font>
    <font>
      <sz val="8"/>
      <color indexed="9"/>
      <name val="Arial"/>
      <family val="2"/>
      <charset val="204"/>
    </font>
    <font>
      <b/>
      <sz val="8"/>
      <color indexed="12"/>
      <name val="Arial"/>
      <family val="2"/>
      <charset val="204"/>
    </font>
    <font>
      <sz val="8"/>
      <color indexed="23"/>
      <name val="Arial Cyr"/>
      <charset val="204"/>
    </font>
    <font>
      <b/>
      <i/>
      <sz val="8"/>
      <color indexed="23"/>
      <name val="Arial Cyr"/>
      <charset val="204"/>
    </font>
    <font>
      <sz val="10"/>
      <color indexed="23"/>
      <name val="Arial Cyr"/>
      <charset val="204"/>
    </font>
    <font>
      <b/>
      <sz val="10"/>
      <color indexed="23"/>
      <name val="Arial Cyr"/>
      <charset val="204"/>
    </font>
    <font>
      <b/>
      <sz val="10"/>
      <color indexed="10"/>
      <name val="Times New Roman"/>
      <family val="1"/>
      <charset val="204"/>
    </font>
    <font>
      <sz val="8"/>
      <color indexed="22"/>
      <name val="Times New Roman"/>
      <family val="1"/>
      <charset val="204"/>
    </font>
    <font>
      <b/>
      <i/>
      <sz val="10"/>
      <name val="Times New Roman"/>
      <family val="1"/>
      <charset val="204"/>
    </font>
    <font>
      <i/>
      <sz val="8"/>
      <color indexed="23"/>
      <name val="Times New Roman"/>
      <family val="1"/>
      <charset val="204"/>
    </font>
    <font>
      <sz val="10"/>
      <color indexed="10"/>
      <name val="Arial Cyr"/>
      <charset val="204"/>
    </font>
    <font>
      <sz val="10"/>
      <color indexed="10"/>
      <name val="Arial"/>
      <family val="2"/>
      <charset val="204"/>
    </font>
    <font>
      <b/>
      <sz val="6"/>
      <name val="Times New Roman"/>
      <family val="1"/>
      <charset val="204"/>
    </font>
    <font>
      <b/>
      <sz val="10"/>
      <color indexed="10"/>
      <name val="Arial Cyr"/>
      <charset val="204"/>
    </font>
    <font>
      <b/>
      <sz val="10"/>
      <color indexed="12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b/>
      <sz val="8"/>
      <color rgb="FFFF0000"/>
      <name val="Arial"/>
      <family val="2"/>
      <charset val="204"/>
    </font>
    <font>
      <sz val="10"/>
      <color rgb="FFFF0000"/>
      <name val="Arial Cyr"/>
      <charset val="204"/>
    </font>
    <font>
      <sz val="8"/>
      <color theme="1"/>
      <name val="Times New Roman"/>
      <family val="1"/>
      <charset val="204"/>
    </font>
    <font>
      <sz val="8"/>
      <color theme="1"/>
      <name val="Arial Cyr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7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523">
    <xf numFmtId="0" fontId="0" fillId="0" borderId="0" xfId="0"/>
    <xf numFmtId="0" fontId="0" fillId="0" borderId="0" xfId="0" applyProtection="1">
      <protection hidden="1"/>
    </xf>
    <xf numFmtId="9" fontId="10" fillId="0" borderId="0" xfId="0" applyNumberFormat="1" applyFont="1" applyProtection="1">
      <protection hidden="1"/>
    </xf>
    <xf numFmtId="0" fontId="10" fillId="2" borderId="0" xfId="0" applyFont="1" applyFill="1" applyProtection="1">
      <protection hidden="1"/>
    </xf>
    <xf numFmtId="0" fontId="9" fillId="0" borderId="0" xfId="0" applyFont="1" applyProtection="1">
      <protection hidden="1"/>
    </xf>
    <xf numFmtId="0" fontId="8" fillId="0" borderId="0" xfId="0" applyFont="1" applyAlignment="1" applyProtection="1">
      <protection hidden="1"/>
    </xf>
    <xf numFmtId="0" fontId="7" fillId="0" borderId="1" xfId="0" applyFont="1" applyBorder="1" applyAlignment="1" applyProtection="1">
      <alignment horizontal="center" wrapText="1"/>
      <protection hidden="1"/>
    </xf>
    <xf numFmtId="0" fontId="7" fillId="3" borderId="2" xfId="0" applyFont="1" applyFill="1" applyBorder="1" applyAlignment="1" applyProtection="1">
      <alignment horizontal="center" wrapText="1"/>
      <protection hidden="1"/>
    </xf>
    <xf numFmtId="0" fontId="0" fillId="0" borderId="0" xfId="0" applyFill="1" applyProtection="1">
      <protection hidden="1"/>
    </xf>
    <xf numFmtId="0" fontId="2" fillId="0" borderId="3" xfId="0" applyFont="1" applyFill="1" applyBorder="1" applyAlignment="1" applyProtection="1">
      <alignment horizontal="center" wrapText="1"/>
      <protection hidden="1"/>
    </xf>
    <xf numFmtId="0" fontId="2" fillId="0" borderId="0" xfId="0" applyFont="1" applyFill="1" applyBorder="1" applyAlignment="1" applyProtection="1">
      <alignment horizontal="center" wrapText="1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6" fillId="4" borderId="2" xfId="0" applyFont="1" applyFill="1" applyBorder="1" applyAlignment="1" applyProtection="1">
      <alignment horizontal="center" vertical="center" wrapText="1"/>
      <protection hidden="1"/>
    </xf>
    <xf numFmtId="0" fontId="6" fillId="0" borderId="4" xfId="0" applyFont="1" applyBorder="1" applyAlignment="1" applyProtection="1">
      <alignment horizontal="left" vertical="center" indent="2"/>
      <protection hidden="1"/>
    </xf>
    <xf numFmtId="0" fontId="4" fillId="0" borderId="5" xfId="0" applyFont="1" applyBorder="1" applyAlignment="1" applyProtection="1">
      <alignment horizontal="right" vertical="center"/>
      <protection hidden="1"/>
    </xf>
    <xf numFmtId="3" fontId="6" fillId="0" borderId="4" xfId="0" applyNumberFormat="1" applyFont="1" applyBorder="1" applyAlignment="1" applyProtection="1">
      <alignment horizontal="center" vertical="center" wrapText="1"/>
      <protection hidden="1"/>
    </xf>
    <xf numFmtId="0" fontId="6" fillId="0" borderId="6" xfId="0" applyFont="1" applyBorder="1" applyAlignment="1" applyProtection="1">
      <alignment horizontal="left" vertical="center" indent="2"/>
      <protection hidden="1"/>
    </xf>
    <xf numFmtId="0" fontId="4" fillId="0" borderId="7" xfId="0" applyFont="1" applyBorder="1" applyAlignment="1" applyProtection="1">
      <alignment horizontal="right" vertical="center"/>
      <protection hidden="1"/>
    </xf>
    <xf numFmtId="3" fontId="6" fillId="0" borderId="6" xfId="0" applyNumberFormat="1" applyFont="1" applyBorder="1" applyAlignment="1" applyProtection="1">
      <alignment horizontal="center" vertical="center" wrapText="1"/>
      <protection hidden="1"/>
    </xf>
    <xf numFmtId="2" fontId="11" fillId="0" borderId="0" xfId="0" applyNumberFormat="1" applyFont="1" applyAlignment="1" applyProtection="1">
      <alignment horizontal="center" vertical="center"/>
      <protection hidden="1"/>
    </xf>
    <xf numFmtId="4" fontId="0" fillId="0" borderId="0" xfId="0" applyNumberFormat="1" applyProtection="1">
      <protection hidden="1"/>
    </xf>
    <xf numFmtId="4" fontId="5" fillId="0" borderId="0" xfId="0" applyNumberFormat="1" applyFont="1" applyFill="1" applyProtection="1">
      <protection hidden="1"/>
    </xf>
    <xf numFmtId="3" fontId="0" fillId="0" borderId="0" xfId="0" applyNumberFormat="1" applyProtection="1">
      <protection hidden="1"/>
    </xf>
    <xf numFmtId="0" fontId="6" fillId="0" borderId="8" xfId="0" applyFont="1" applyBorder="1" applyAlignment="1" applyProtection="1">
      <alignment horizontal="left" vertical="center" indent="2"/>
      <protection hidden="1"/>
    </xf>
    <xf numFmtId="0" fontId="4" fillId="0" borderId="9" xfId="0" applyFont="1" applyBorder="1" applyAlignment="1" applyProtection="1">
      <alignment horizontal="right" vertical="center"/>
      <protection hidden="1"/>
    </xf>
    <xf numFmtId="3" fontId="6" fillId="0" borderId="8" xfId="0" applyNumberFormat="1" applyFont="1" applyBorder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horizontal="center"/>
      <protection hidden="1"/>
    </xf>
    <xf numFmtId="0" fontId="15" fillId="0" borderId="0" xfId="0" applyFont="1" applyProtection="1">
      <protection hidden="1"/>
    </xf>
    <xf numFmtId="3" fontId="6" fillId="0" borderId="0" xfId="0" applyNumberFormat="1" applyFont="1" applyFill="1" applyBorder="1" applyAlignment="1" applyProtection="1">
      <alignment horizontal="center" vertical="center" wrapText="1"/>
      <protection hidden="1"/>
    </xf>
    <xf numFmtId="3" fontId="2" fillId="0" borderId="0" xfId="0" applyNumberFormat="1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 applyProtection="1">
      <protection hidden="1"/>
    </xf>
    <xf numFmtId="0" fontId="20" fillId="0" borderId="0" xfId="0" applyFont="1" applyFill="1" applyProtection="1">
      <protection hidden="1"/>
    </xf>
    <xf numFmtId="0" fontId="18" fillId="0" borderId="0" xfId="0" applyFont="1" applyProtection="1">
      <protection hidden="1"/>
    </xf>
    <xf numFmtId="0" fontId="20" fillId="0" borderId="0" xfId="0" applyFont="1" applyProtection="1">
      <protection hidden="1"/>
    </xf>
    <xf numFmtId="0" fontId="3" fillId="0" borderId="0" xfId="0" applyFont="1" applyAlignment="1" applyProtection="1">
      <alignment horizontal="center"/>
      <protection hidden="1"/>
    </xf>
    <xf numFmtId="0" fontId="3" fillId="0" borderId="0" xfId="0" applyFont="1" applyAlignment="1" applyProtection="1">
      <protection hidden="1"/>
    </xf>
    <xf numFmtId="0" fontId="19" fillId="0" borderId="0" xfId="0" applyFont="1" applyAlignment="1" applyProtection="1">
      <alignment horizontal="center"/>
      <protection hidden="1"/>
    </xf>
    <xf numFmtId="0" fontId="19" fillId="0" borderId="0" xfId="0" applyFont="1" applyAlignment="1" applyProtection="1">
      <protection hidden="1"/>
    </xf>
    <xf numFmtId="0" fontId="0" fillId="0" borderId="0" xfId="0" applyBorder="1" applyProtection="1">
      <protection hidden="1"/>
    </xf>
    <xf numFmtId="0" fontId="8" fillId="0" borderId="0" xfId="0" applyFont="1" applyBorder="1" applyAlignment="1" applyProtection="1">
      <alignment horizontal="center"/>
      <protection hidden="1"/>
    </xf>
    <xf numFmtId="3" fontId="0" fillId="0" borderId="0" xfId="0" applyNumberFormat="1" applyFill="1" applyProtection="1">
      <protection hidden="1"/>
    </xf>
    <xf numFmtId="3" fontId="11" fillId="0" borderId="0" xfId="0" applyNumberFormat="1" applyFont="1" applyAlignment="1" applyProtection="1">
      <alignment horizontal="center" vertical="center"/>
      <protection hidden="1"/>
    </xf>
    <xf numFmtId="3" fontId="8" fillId="0" borderId="0" xfId="0" applyNumberFormat="1" applyFont="1" applyProtection="1">
      <protection hidden="1"/>
    </xf>
    <xf numFmtId="0" fontId="8" fillId="0" borderId="0" xfId="0" applyFont="1" applyFill="1" applyProtection="1">
      <protection hidden="1"/>
    </xf>
    <xf numFmtId="4" fontId="11" fillId="0" borderId="0" xfId="0" applyNumberFormat="1" applyFont="1" applyAlignment="1" applyProtection="1">
      <alignment horizontal="center" vertical="center"/>
      <protection hidden="1"/>
    </xf>
    <xf numFmtId="0" fontId="8" fillId="0" borderId="0" xfId="0" applyFont="1" applyProtection="1">
      <protection hidden="1"/>
    </xf>
    <xf numFmtId="0" fontId="2" fillId="0" borderId="0" xfId="0" applyFont="1" applyFill="1" applyBorder="1" applyAlignment="1" applyProtection="1">
      <alignment vertical="center" wrapText="1"/>
      <protection hidden="1"/>
    </xf>
    <xf numFmtId="0" fontId="6" fillId="0" borderId="0" xfId="0" applyFont="1" applyFill="1" applyBorder="1" applyAlignment="1" applyProtection="1">
      <alignment vertical="center" wrapText="1"/>
      <protection hidden="1"/>
    </xf>
    <xf numFmtId="0" fontId="0" fillId="0" borderId="0" xfId="0" applyFill="1" applyBorder="1" applyProtection="1">
      <protection hidden="1"/>
    </xf>
    <xf numFmtId="0" fontId="6" fillId="0" borderId="1" xfId="0" applyFont="1" applyBorder="1" applyAlignment="1" applyProtection="1">
      <alignment horizontal="left" vertical="center" indent="2"/>
      <protection hidden="1"/>
    </xf>
    <xf numFmtId="0" fontId="4" fillId="0" borderId="2" xfId="0" applyFont="1" applyBorder="1" applyAlignment="1" applyProtection="1">
      <alignment horizontal="center" vertical="center"/>
      <protection hidden="1"/>
    </xf>
    <xf numFmtId="3" fontId="6" fillId="0" borderId="1" xfId="0" applyNumberFormat="1" applyFont="1" applyBorder="1" applyAlignment="1" applyProtection="1">
      <alignment horizontal="center" vertical="center" wrapText="1"/>
      <protection hidden="1"/>
    </xf>
    <xf numFmtId="3" fontId="8" fillId="0" borderId="0" xfId="0" applyNumberFormat="1" applyFont="1" applyFill="1" applyBorder="1" applyProtection="1">
      <protection hidden="1"/>
    </xf>
    <xf numFmtId="3" fontId="6" fillId="0" borderId="10" xfId="0" applyNumberFormat="1" applyFont="1" applyBorder="1" applyAlignment="1" applyProtection="1">
      <alignment horizontal="center" vertical="center" wrapText="1"/>
      <protection hidden="1"/>
    </xf>
    <xf numFmtId="0" fontId="2" fillId="0" borderId="0" xfId="0" applyFont="1" applyFill="1" applyBorder="1" applyAlignment="1" applyProtection="1">
      <alignment horizontal="left"/>
      <protection hidden="1"/>
    </xf>
    <xf numFmtId="0" fontId="4" fillId="0" borderId="0" xfId="0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 applyFill="1" applyBorder="1" applyProtection="1">
      <protection hidden="1"/>
    </xf>
    <xf numFmtId="4" fontId="8" fillId="0" borderId="0" xfId="0" applyNumberFormat="1" applyFont="1" applyAlignment="1" applyProtection="1">
      <alignment horizontal="center"/>
      <protection hidden="1"/>
    </xf>
    <xf numFmtId="4" fontId="1" fillId="0" borderId="0" xfId="0" applyNumberFormat="1" applyFont="1" applyAlignment="1" applyProtection="1">
      <alignment horizontal="center"/>
      <protection hidden="1"/>
    </xf>
    <xf numFmtId="4" fontId="2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8" fillId="0" borderId="0" xfId="0" applyFont="1" applyFill="1" applyBorder="1" applyAlignment="1" applyProtection="1">
      <protection hidden="1"/>
    </xf>
    <xf numFmtId="0" fontId="6" fillId="4" borderId="1" xfId="0" applyFont="1" applyFill="1" applyBorder="1" applyAlignment="1" applyProtection="1">
      <alignment horizontal="left" vertical="center" wrapText="1" indent="2"/>
      <protection hidden="1"/>
    </xf>
    <xf numFmtId="0" fontId="6" fillId="0" borderId="12" xfId="0" applyFont="1" applyFill="1" applyBorder="1" applyAlignment="1" applyProtection="1">
      <alignment vertical="center" wrapText="1"/>
      <protection hidden="1"/>
    </xf>
    <xf numFmtId="0" fontId="4" fillId="0" borderId="13" xfId="0" applyFont="1" applyBorder="1" applyAlignment="1" applyProtection="1">
      <alignment horizontal="left" vertical="center" wrapText="1" indent="1"/>
      <protection hidden="1"/>
    </xf>
    <xf numFmtId="4" fontId="2" fillId="3" borderId="14" xfId="0" applyNumberFormat="1" applyFont="1" applyFill="1" applyBorder="1" applyAlignment="1" applyProtection="1">
      <alignment horizontal="center" vertical="center" wrapText="1"/>
      <protection hidden="1"/>
    </xf>
    <xf numFmtId="3" fontId="6" fillId="0" borderId="12" xfId="0" applyNumberFormat="1" applyFont="1" applyFill="1" applyBorder="1" applyAlignment="1" applyProtection="1">
      <alignment horizontal="center" vertical="center" wrapText="1"/>
      <protection hidden="1"/>
    </xf>
    <xf numFmtId="4" fontId="2" fillId="3" borderId="13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15" xfId="0" applyFont="1" applyBorder="1" applyAlignment="1" applyProtection="1">
      <alignment horizontal="left" vertical="center" wrapText="1" indent="1"/>
      <protection hidden="1"/>
    </xf>
    <xf numFmtId="166" fontId="6" fillId="0" borderId="8" xfId="0" applyNumberFormat="1" applyFont="1" applyBorder="1" applyAlignment="1" applyProtection="1">
      <alignment horizontal="center" vertical="center" wrapText="1"/>
      <protection hidden="1"/>
    </xf>
    <xf numFmtId="4" fontId="2" fillId="3" borderId="15" xfId="0" applyNumberFormat="1" applyFont="1" applyFill="1" applyBorder="1" applyAlignment="1" applyProtection="1">
      <alignment horizontal="center" vertical="center" wrapText="1"/>
      <protection hidden="1"/>
    </xf>
    <xf numFmtId="9" fontId="8" fillId="3" borderId="11" xfId="0" applyNumberFormat="1" applyFont="1" applyFill="1" applyBorder="1" applyAlignment="1" applyProtection="1">
      <alignment horizontal="center"/>
      <protection locked="0" hidden="1"/>
    </xf>
    <xf numFmtId="0" fontId="13" fillId="0" borderId="0" xfId="0" applyFont="1" applyProtection="1">
      <protection hidden="1"/>
    </xf>
    <xf numFmtId="9" fontId="12" fillId="0" borderId="0" xfId="2" applyFont="1" applyProtection="1">
      <protection hidden="1"/>
    </xf>
    <xf numFmtId="0" fontId="17" fillId="0" borderId="16" xfId="1" applyBorder="1" applyAlignment="1" applyProtection="1">
      <alignment horizontal="left" indent="1"/>
      <protection hidden="1"/>
    </xf>
    <xf numFmtId="0" fontId="13" fillId="0" borderId="16" xfId="0" applyFont="1" applyBorder="1" applyAlignment="1" applyProtection="1">
      <alignment horizontal="right"/>
      <protection hidden="1"/>
    </xf>
    <xf numFmtId="167" fontId="13" fillId="0" borderId="16" xfId="0" applyNumberFormat="1" applyFont="1" applyBorder="1" applyAlignment="1" applyProtection="1">
      <alignment horizontal="left"/>
      <protection hidden="1"/>
    </xf>
    <xf numFmtId="0" fontId="17" fillId="0" borderId="17" xfId="1" applyBorder="1" applyAlignment="1" applyProtection="1">
      <alignment horizontal="left" indent="1"/>
      <protection hidden="1"/>
    </xf>
    <xf numFmtId="0" fontId="13" fillId="0" borderId="17" xfId="0" applyFont="1" applyBorder="1" applyAlignment="1" applyProtection="1">
      <alignment horizontal="right"/>
      <protection hidden="1"/>
    </xf>
    <xf numFmtId="167" fontId="13" fillId="0" borderId="17" xfId="0" applyNumberFormat="1" applyFont="1" applyBorder="1" applyAlignment="1" applyProtection="1">
      <alignment horizontal="left"/>
      <protection hidden="1"/>
    </xf>
    <xf numFmtId="0" fontId="13" fillId="0" borderId="0" xfId="0" applyFont="1" applyAlignment="1" applyProtection="1">
      <alignment horizontal="left" indent="2"/>
      <protection hidden="1"/>
    </xf>
    <xf numFmtId="0" fontId="13" fillId="0" borderId="0" xfId="0" applyFont="1" applyAlignment="1" applyProtection="1">
      <alignment horizontal="left" indent="3"/>
      <protection hidden="1"/>
    </xf>
    <xf numFmtId="0" fontId="13" fillId="0" borderId="0" xfId="0" applyFont="1" applyAlignment="1" applyProtection="1">
      <alignment horizontal="left" indent="1"/>
      <protection hidden="1"/>
    </xf>
    <xf numFmtId="2" fontId="24" fillId="0" borderId="0" xfId="0" applyNumberFormat="1" applyFont="1" applyProtection="1">
      <protection hidden="1"/>
    </xf>
    <xf numFmtId="4" fontId="0" fillId="0" borderId="0" xfId="0" applyNumberFormat="1" applyAlignment="1" applyProtection="1">
      <protection hidden="1"/>
    </xf>
    <xf numFmtId="4" fontId="0" fillId="0" borderId="0" xfId="0" applyNumberFormat="1" applyFill="1" applyProtection="1">
      <protection hidden="1"/>
    </xf>
    <xf numFmtId="4" fontId="2" fillId="3" borderId="2" xfId="0" applyNumberFormat="1" applyFont="1" applyFill="1" applyBorder="1" applyAlignment="1" applyProtection="1">
      <alignment horizontal="center" vertical="center" wrapText="1"/>
      <protection hidden="1"/>
    </xf>
    <xf numFmtId="4" fontId="2" fillId="3" borderId="18" xfId="0" applyNumberFormat="1" applyFont="1" applyFill="1" applyBorder="1" applyAlignment="1" applyProtection="1">
      <alignment horizontal="center" vertical="center" wrapText="1"/>
      <protection hidden="1"/>
    </xf>
    <xf numFmtId="4" fontId="2" fillId="0" borderId="0" xfId="0" applyNumberFormat="1" applyFont="1" applyFill="1" applyBorder="1" applyAlignment="1" applyProtection="1">
      <alignment horizontal="center" wrapText="1"/>
      <protection hidden="1"/>
    </xf>
    <xf numFmtId="0" fontId="17" fillId="0" borderId="16" xfId="1" applyFont="1" applyBorder="1" applyAlignment="1" applyProtection="1">
      <alignment horizontal="left" indent="1"/>
      <protection hidden="1"/>
    </xf>
    <xf numFmtId="0" fontId="5" fillId="0" borderId="0" xfId="0" applyFont="1" applyProtection="1">
      <protection hidden="1"/>
    </xf>
    <xf numFmtId="14" fontId="26" fillId="0" borderId="0" xfId="0" applyNumberFormat="1" applyFont="1" applyAlignment="1" applyProtection="1">
      <alignment horizontal="center"/>
      <protection hidden="1"/>
    </xf>
    <xf numFmtId="2" fontId="8" fillId="0" borderId="0" xfId="0" applyNumberFormat="1" applyFont="1" applyAlignment="1" applyProtection="1">
      <protection hidden="1"/>
    </xf>
    <xf numFmtId="4" fontId="2" fillId="3" borderId="5" xfId="0" applyNumberFormat="1" applyFont="1" applyFill="1" applyBorder="1" applyAlignment="1" applyProtection="1">
      <alignment horizontal="center" vertical="center" wrapText="1"/>
      <protection hidden="1"/>
    </xf>
    <xf numFmtId="4" fontId="2" fillId="3" borderId="7" xfId="0" applyNumberFormat="1" applyFont="1" applyFill="1" applyBorder="1" applyAlignment="1" applyProtection="1">
      <alignment horizontal="center" vertical="center" wrapText="1"/>
      <protection hidden="1"/>
    </xf>
    <xf numFmtId="4" fontId="2" fillId="3" borderId="9" xfId="0" applyNumberFormat="1" applyFont="1" applyFill="1" applyBorder="1" applyAlignment="1" applyProtection="1">
      <alignment horizontal="center" vertical="center" wrapText="1"/>
      <protection hidden="1"/>
    </xf>
    <xf numFmtId="0" fontId="16" fillId="0" borderId="19" xfId="0" applyFont="1" applyBorder="1" applyAlignment="1" applyProtection="1">
      <alignment horizontal="right"/>
      <protection hidden="1"/>
    </xf>
    <xf numFmtId="3" fontId="6" fillId="0" borderId="0" xfId="0" applyNumberFormat="1" applyFont="1" applyBorder="1" applyAlignment="1" applyProtection="1">
      <alignment horizontal="center" vertical="center" wrapText="1"/>
      <protection hidden="1"/>
    </xf>
    <xf numFmtId="4" fontId="2" fillId="0" borderId="0" xfId="0" applyNumberFormat="1" applyFont="1" applyFill="1" applyBorder="1" applyAlignment="1" applyProtection="1">
      <alignment horizontal="left" vertical="center" wrapText="1" indent="1"/>
      <protection hidden="1"/>
    </xf>
    <xf numFmtId="0" fontId="4" fillId="0" borderId="14" xfId="0" applyFont="1" applyBorder="1" applyAlignment="1" applyProtection="1">
      <alignment horizontal="left" vertical="center" wrapText="1" indent="1"/>
      <protection hidden="1"/>
    </xf>
    <xf numFmtId="0" fontId="15" fillId="0" borderId="0" xfId="0" applyFont="1" applyBorder="1" applyProtection="1">
      <protection hidden="1"/>
    </xf>
    <xf numFmtId="0" fontId="11" fillId="0" borderId="0" xfId="0" applyFont="1" applyFill="1" applyBorder="1" applyAlignment="1" applyProtection="1">
      <alignment horizontal="center" vertical="center"/>
      <protection hidden="1"/>
    </xf>
    <xf numFmtId="3" fontId="6" fillId="0" borderId="4" xfId="0" applyNumberFormat="1" applyFont="1" applyFill="1" applyBorder="1" applyAlignment="1" applyProtection="1">
      <alignment horizontal="center" vertical="center" wrapText="1"/>
      <protection hidden="1"/>
    </xf>
    <xf numFmtId="3" fontId="6" fillId="0" borderId="6" xfId="0" applyNumberFormat="1" applyFont="1" applyFill="1" applyBorder="1" applyAlignment="1" applyProtection="1">
      <alignment horizontal="center" vertical="center" wrapText="1"/>
      <protection hidden="1"/>
    </xf>
    <xf numFmtId="3" fontId="6" fillId="0" borderId="8" xfId="0" applyNumberFormat="1" applyFont="1" applyFill="1" applyBorder="1" applyAlignment="1" applyProtection="1">
      <alignment horizontal="center" vertical="center" wrapText="1"/>
      <protection hidden="1"/>
    </xf>
    <xf numFmtId="2" fontId="5" fillId="0" borderId="0" xfId="0" applyNumberFormat="1" applyFont="1" applyAlignment="1" applyProtection="1">
      <alignment horizontal="center" vertical="center"/>
      <protection hidden="1"/>
    </xf>
    <xf numFmtId="4" fontId="6" fillId="0" borderId="0" xfId="0" applyNumberFormat="1" applyFont="1" applyFill="1" applyBorder="1" applyAlignment="1" applyProtection="1">
      <alignment horizontal="center" vertical="center" wrapText="1"/>
      <protection hidden="1"/>
    </xf>
    <xf numFmtId="3" fontId="2" fillId="0" borderId="0" xfId="0" applyNumberFormat="1" applyFont="1" applyFill="1" applyBorder="1" applyAlignment="1" applyProtection="1">
      <alignment horizontal="left" vertical="center" wrapText="1"/>
      <protection hidden="1"/>
    </xf>
    <xf numFmtId="0" fontId="6" fillId="0" borderId="20" xfId="0" applyFont="1" applyBorder="1" applyAlignment="1" applyProtection="1">
      <alignment horizontal="left" vertical="center" indent="2"/>
      <protection hidden="1"/>
    </xf>
    <xf numFmtId="0" fontId="6" fillId="0" borderId="9" xfId="0" applyFont="1" applyBorder="1" applyAlignment="1" applyProtection="1">
      <alignment horizontal="left" vertical="center" indent="2"/>
      <protection hidden="1"/>
    </xf>
    <xf numFmtId="166" fontId="6" fillId="0" borderId="6" xfId="0" applyNumberFormat="1" applyFont="1" applyBorder="1" applyAlignment="1" applyProtection="1">
      <alignment horizontal="center" vertical="center" wrapText="1"/>
      <protection hidden="1"/>
    </xf>
    <xf numFmtId="0" fontId="29" fillId="0" borderId="17" xfId="0" applyFont="1" applyBorder="1" applyAlignment="1" applyProtection="1">
      <alignment horizontal="left"/>
      <protection hidden="1"/>
    </xf>
    <xf numFmtId="0" fontId="29" fillId="0" borderId="16" xfId="0" applyFont="1" applyBorder="1" applyAlignment="1" applyProtection="1">
      <alignment horizontal="left"/>
      <protection hidden="1"/>
    </xf>
    <xf numFmtId="0" fontId="29" fillId="0" borderId="0" xfId="0" applyFont="1" applyAlignment="1" applyProtection="1">
      <alignment horizontal="right"/>
      <protection hidden="1"/>
    </xf>
    <xf numFmtId="0" fontId="30" fillId="0" borderId="0" xfId="0" applyFont="1" applyBorder="1" applyAlignment="1" applyProtection="1">
      <alignment vertical="top" wrapText="1"/>
      <protection hidden="1"/>
    </xf>
    <xf numFmtId="0" fontId="6" fillId="0" borderId="21" xfId="0" applyFont="1" applyBorder="1" applyAlignment="1" applyProtection="1">
      <alignment horizontal="left" vertical="center" indent="2"/>
      <protection hidden="1"/>
    </xf>
    <xf numFmtId="0" fontId="23" fillId="0" borderId="0" xfId="1" applyFont="1" applyAlignment="1" applyProtection="1">
      <alignment horizontal="right"/>
      <protection hidden="1"/>
    </xf>
    <xf numFmtId="0" fontId="23" fillId="0" borderId="0" xfId="1" applyFont="1" applyFill="1" applyAlignment="1" applyProtection="1">
      <alignment horizontal="right"/>
      <protection hidden="1"/>
    </xf>
    <xf numFmtId="0" fontId="14" fillId="0" borderId="0" xfId="0" applyFont="1" applyFill="1" applyBorder="1" applyAlignment="1" applyProtection="1">
      <alignment horizontal="left" wrapText="1"/>
      <protection hidden="1"/>
    </xf>
    <xf numFmtId="0" fontId="2" fillId="5" borderId="3" xfId="0" applyFont="1" applyFill="1" applyBorder="1" applyAlignment="1" applyProtection="1">
      <alignment horizontal="center" wrapText="1"/>
      <protection hidden="1"/>
    </xf>
    <xf numFmtId="0" fontId="6" fillId="4" borderId="15" xfId="0" applyFont="1" applyFill="1" applyBorder="1" applyAlignment="1" applyProtection="1">
      <alignment horizontal="center" vertical="center"/>
      <protection hidden="1"/>
    </xf>
    <xf numFmtId="0" fontId="28" fillId="0" borderId="3" xfId="0" applyFont="1" applyFill="1" applyBorder="1" applyAlignment="1" applyProtection="1">
      <alignment horizontal="center"/>
      <protection hidden="1"/>
    </xf>
    <xf numFmtId="0" fontId="0" fillId="5" borderId="3" xfId="0" applyFill="1" applyBorder="1" applyProtection="1">
      <protection hidden="1"/>
    </xf>
    <xf numFmtId="0" fontId="6" fillId="4" borderId="5" xfId="0" applyFont="1" applyFill="1" applyBorder="1" applyAlignment="1" applyProtection="1">
      <alignment horizontal="right" vertical="center" wrapText="1"/>
      <protection hidden="1"/>
    </xf>
    <xf numFmtId="0" fontId="6" fillId="4" borderId="7" xfId="0" applyFont="1" applyFill="1" applyBorder="1" applyAlignment="1" applyProtection="1">
      <alignment horizontal="right" vertical="center" wrapText="1"/>
      <protection hidden="1"/>
    </xf>
    <xf numFmtId="0" fontId="6" fillId="4" borderId="9" xfId="0" applyFont="1" applyFill="1" applyBorder="1" applyAlignment="1" applyProtection="1">
      <alignment horizontal="right" vertical="center" wrapText="1"/>
      <protection hidden="1"/>
    </xf>
    <xf numFmtId="0" fontId="6" fillId="4" borderId="8" xfId="0" applyFont="1" applyFill="1" applyBorder="1" applyAlignment="1" applyProtection="1">
      <alignment horizontal="center" vertical="center" wrapText="1"/>
      <protection hidden="1"/>
    </xf>
    <xf numFmtId="0" fontId="6" fillId="4" borderId="15" xfId="0" applyFont="1" applyFill="1" applyBorder="1" applyAlignment="1" applyProtection="1">
      <alignment horizontal="center" vertical="center" wrapText="1"/>
      <protection hidden="1"/>
    </xf>
    <xf numFmtId="0" fontId="8" fillId="0" borderId="3" xfId="0" applyFont="1" applyBorder="1" applyAlignment="1" applyProtection="1">
      <alignment horizontal="center"/>
      <protection hidden="1"/>
    </xf>
    <xf numFmtId="0" fontId="2" fillId="4" borderId="4" xfId="0" applyFont="1" applyFill="1" applyBorder="1" applyAlignment="1" applyProtection="1">
      <alignment horizontal="center" vertical="center" wrapText="1"/>
      <protection hidden="1"/>
    </xf>
    <xf numFmtId="0" fontId="2" fillId="4" borderId="22" xfId="0" applyFont="1" applyFill="1" applyBorder="1" applyAlignment="1" applyProtection="1">
      <alignment horizontal="center" vertical="center" wrapText="1"/>
      <protection hidden="1"/>
    </xf>
    <xf numFmtId="0" fontId="2" fillId="4" borderId="14" xfId="0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Fill="1" applyBorder="1" applyAlignment="1" applyProtection="1">
      <alignment vertical="center"/>
      <protection hidden="1"/>
    </xf>
    <xf numFmtId="3" fontId="6" fillId="0" borderId="5" xfId="0" applyNumberFormat="1" applyFont="1" applyBorder="1" applyAlignment="1" applyProtection="1">
      <alignment horizontal="center" vertical="center" wrapText="1"/>
      <protection hidden="1"/>
    </xf>
    <xf numFmtId="3" fontId="6" fillId="0" borderId="7" xfId="0" applyNumberFormat="1" applyFont="1" applyBorder="1" applyAlignment="1" applyProtection="1">
      <alignment horizontal="center" vertical="center" wrapText="1"/>
      <protection hidden="1"/>
    </xf>
    <xf numFmtId="3" fontId="6" fillId="0" borderId="9" xfId="0" applyNumberFormat="1" applyFont="1" applyBorder="1" applyAlignment="1" applyProtection="1">
      <alignment horizontal="center" vertical="center" wrapText="1"/>
      <protection hidden="1"/>
    </xf>
    <xf numFmtId="166" fontId="6" fillId="0" borderId="7" xfId="0" applyNumberFormat="1" applyFont="1" applyBorder="1" applyAlignment="1" applyProtection="1">
      <alignment horizontal="center" vertical="center" wrapText="1"/>
      <protection hidden="1"/>
    </xf>
    <xf numFmtId="4" fontId="32" fillId="3" borderId="13" xfId="1" applyNumberFormat="1" applyFont="1" applyFill="1" applyBorder="1" applyAlignment="1" applyProtection="1">
      <alignment horizontal="left" vertical="center" wrapText="1"/>
      <protection hidden="1"/>
    </xf>
    <xf numFmtId="0" fontId="6" fillId="4" borderId="23" xfId="0" applyFont="1" applyFill="1" applyBorder="1" applyAlignment="1" applyProtection="1">
      <alignment horizontal="center" vertical="center" wrapText="1"/>
      <protection hidden="1"/>
    </xf>
    <xf numFmtId="0" fontId="6" fillId="4" borderId="6" xfId="0" applyFont="1" applyFill="1" applyBorder="1" applyAlignment="1" applyProtection="1">
      <alignment horizontal="center" vertical="center" wrapText="1"/>
      <protection hidden="1"/>
    </xf>
    <xf numFmtId="0" fontId="6" fillId="4" borderId="17" xfId="0" applyFont="1" applyFill="1" applyBorder="1" applyAlignment="1" applyProtection="1">
      <alignment horizontal="center" vertical="center" wrapText="1"/>
      <protection hidden="1"/>
    </xf>
    <xf numFmtId="0" fontId="6" fillId="4" borderId="13" xfId="0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Alignment="1" applyProtection="1">
      <alignment horizontal="center"/>
      <protection hidden="1"/>
    </xf>
    <xf numFmtId="2" fontId="5" fillId="0" borderId="0" xfId="0" applyNumberFormat="1" applyFont="1" applyFill="1" applyBorder="1" applyAlignment="1" applyProtection="1">
      <alignment horizontal="center" vertical="center"/>
      <protection hidden="1"/>
    </xf>
    <xf numFmtId="4" fontId="0" fillId="0" borderId="0" xfId="0" applyNumberFormat="1" applyFill="1" applyBorder="1" applyProtection="1">
      <protection hidden="1"/>
    </xf>
    <xf numFmtId="0" fontId="23" fillId="0" borderId="0" xfId="1" applyFont="1" applyBorder="1" applyAlignment="1" applyProtection="1">
      <alignment horizontal="right"/>
      <protection hidden="1"/>
    </xf>
    <xf numFmtId="0" fontId="20" fillId="0" borderId="0" xfId="0" applyFont="1" applyFill="1" applyBorder="1" applyProtection="1">
      <protection hidden="1"/>
    </xf>
    <xf numFmtId="0" fontId="2" fillId="0" borderId="0" xfId="0" applyFont="1" applyFill="1" applyBorder="1" applyAlignment="1" applyProtection="1">
      <alignment horizontal="center" vertical="center" wrapText="1"/>
      <protection hidden="1"/>
    </xf>
    <xf numFmtId="9" fontId="22" fillId="0" borderId="0" xfId="0" applyNumberFormat="1" applyFont="1" applyFill="1" applyBorder="1" applyAlignment="1" applyProtection="1">
      <alignment horizontal="left" wrapText="1"/>
      <protection hidden="1"/>
    </xf>
    <xf numFmtId="9" fontId="14" fillId="0" borderId="0" xfId="0" applyNumberFormat="1" applyFont="1" applyFill="1" applyBorder="1" applyAlignment="1" applyProtection="1">
      <alignment horizontal="left" wrapText="1"/>
      <protection hidden="1"/>
    </xf>
    <xf numFmtId="0" fontId="23" fillId="0" borderId="0" xfId="1" applyFont="1" applyFill="1" applyBorder="1" applyAlignment="1" applyProtection="1">
      <protection hidden="1"/>
    </xf>
    <xf numFmtId="0" fontId="6" fillId="0" borderId="11" xfId="0" applyFont="1" applyBorder="1" applyAlignment="1" applyProtection="1">
      <alignment horizontal="left" vertical="center" indent="2"/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0" fontId="23" fillId="0" borderId="0" xfId="1" applyFont="1" applyFill="1" applyBorder="1" applyAlignment="1" applyProtection="1">
      <alignment horizontal="right"/>
      <protection hidden="1"/>
    </xf>
    <xf numFmtId="3" fontId="33" fillId="0" borderId="0" xfId="0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0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0" applyNumberFormat="1" applyFont="1" applyFill="1" applyBorder="1" applyAlignment="1" applyProtection="1">
      <alignment horizontal="left" vertical="center" wrapText="1"/>
      <protection hidden="1"/>
    </xf>
    <xf numFmtId="0" fontId="6" fillId="4" borderId="14" xfId="0" applyFont="1" applyFill="1" applyBorder="1" applyAlignment="1" applyProtection="1">
      <alignment horizontal="right" vertical="center" wrapText="1"/>
      <protection hidden="1"/>
    </xf>
    <xf numFmtId="0" fontId="6" fillId="4" borderId="13" xfId="0" applyFont="1" applyFill="1" applyBorder="1" applyAlignment="1" applyProtection="1">
      <alignment horizontal="right" vertical="center" wrapText="1"/>
      <protection hidden="1"/>
    </xf>
    <xf numFmtId="0" fontId="6" fillId="4" borderId="15" xfId="0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Fill="1" applyBorder="1" applyAlignment="1" applyProtection="1">
      <alignment horizontal="center" vertical="center"/>
      <protection hidden="1"/>
    </xf>
    <xf numFmtId="0" fontId="6" fillId="4" borderId="9" xfId="0" applyFont="1" applyFill="1" applyBorder="1" applyAlignment="1" applyProtection="1">
      <alignment horizontal="center" vertical="center" wrapText="1"/>
      <protection hidden="1"/>
    </xf>
    <xf numFmtId="0" fontId="2" fillId="4" borderId="21" xfId="0" applyFont="1" applyFill="1" applyBorder="1" applyAlignment="1" applyProtection="1">
      <alignment horizontal="center" vertical="center" wrapText="1"/>
      <protection hidden="1"/>
    </xf>
    <xf numFmtId="0" fontId="4" fillId="0" borderId="14" xfId="0" applyFont="1" applyBorder="1" applyAlignment="1" applyProtection="1">
      <alignment horizontal="right" vertical="center"/>
      <protection hidden="1"/>
    </xf>
    <xf numFmtId="0" fontId="4" fillId="0" borderId="13" xfId="0" applyFont="1" applyBorder="1" applyAlignment="1" applyProtection="1">
      <alignment horizontal="right" vertical="center"/>
      <protection hidden="1"/>
    </xf>
    <xf numFmtId="0" fontId="4" fillId="0" borderId="15" xfId="0" applyFont="1" applyBorder="1" applyAlignment="1" applyProtection="1">
      <alignment horizontal="right" vertical="center"/>
      <protection hidden="1"/>
    </xf>
    <xf numFmtId="0" fontId="6" fillId="4" borderId="27" xfId="0" applyFont="1" applyFill="1" applyBorder="1" applyAlignment="1" applyProtection="1">
      <alignment horizontal="right" vertical="center" wrapText="1"/>
      <protection hidden="1"/>
    </xf>
    <xf numFmtId="0" fontId="2" fillId="4" borderId="5" xfId="0" applyFont="1" applyFill="1" applyBorder="1" applyAlignment="1" applyProtection="1">
      <alignment horizontal="center" vertical="center" wrapText="1"/>
      <protection hidden="1"/>
    </xf>
    <xf numFmtId="0" fontId="6" fillId="4" borderId="7" xfId="0" applyFont="1" applyFill="1" applyBorder="1" applyAlignment="1" applyProtection="1">
      <alignment horizontal="center" vertical="center" wrapText="1"/>
      <protection hidden="1"/>
    </xf>
    <xf numFmtId="0" fontId="2" fillId="4" borderId="28" xfId="0" applyFont="1" applyFill="1" applyBorder="1" applyAlignment="1" applyProtection="1">
      <alignment horizontal="center" vertical="center" wrapText="1"/>
      <protection hidden="1"/>
    </xf>
    <xf numFmtId="0" fontId="20" fillId="5" borderId="29" xfId="0" applyFont="1" applyFill="1" applyBorder="1" applyProtection="1">
      <protection hidden="1"/>
    </xf>
    <xf numFmtId="0" fontId="4" fillId="0" borderId="30" xfId="0" applyFont="1" applyBorder="1" applyAlignment="1" applyProtection="1">
      <alignment horizontal="right" vertical="center"/>
      <protection hidden="1"/>
    </xf>
    <xf numFmtId="0" fontId="6" fillId="4" borderId="14" xfId="0" applyFont="1" applyFill="1" applyBorder="1" applyAlignment="1" applyProtection="1">
      <alignment horizontal="center" vertical="center" wrapText="1"/>
      <protection hidden="1"/>
    </xf>
    <xf numFmtId="0" fontId="4" fillId="0" borderId="27" xfId="0" applyFont="1" applyBorder="1" applyAlignment="1" applyProtection="1">
      <alignment horizontal="right" vertical="center"/>
      <protection hidden="1"/>
    </xf>
    <xf numFmtId="0" fontId="6" fillId="4" borderId="9" xfId="0" applyFont="1" applyFill="1" applyBorder="1" applyAlignment="1" applyProtection="1">
      <alignment horizontal="center" vertical="center"/>
      <protection hidden="1"/>
    </xf>
    <xf numFmtId="0" fontId="6" fillId="0" borderId="0" xfId="0" applyFont="1" applyBorder="1" applyAlignment="1" applyProtection="1">
      <alignment horizontal="left" vertical="center" indent="2"/>
      <protection hidden="1"/>
    </xf>
    <xf numFmtId="0" fontId="4" fillId="0" borderId="0" xfId="0" applyFont="1" applyBorder="1" applyAlignment="1" applyProtection="1">
      <alignment horizontal="right" vertical="center"/>
      <protection hidden="1"/>
    </xf>
    <xf numFmtId="0" fontId="4" fillId="0" borderId="14" xfId="0" applyFont="1" applyBorder="1" applyAlignment="1" applyProtection="1">
      <alignment horizontal="center" vertical="center" wrapText="1"/>
      <protection hidden="1"/>
    </xf>
    <xf numFmtId="0" fontId="4" fillId="0" borderId="15" xfId="0" applyFont="1" applyBorder="1" applyAlignment="1" applyProtection="1">
      <alignment horizontal="center" vertical="center" wrapText="1"/>
      <protection hidden="1"/>
    </xf>
    <xf numFmtId="0" fontId="4" fillId="0" borderId="14" xfId="0" applyFont="1" applyBorder="1" applyAlignment="1" applyProtection="1">
      <alignment horizontal="center" vertical="center"/>
      <protection hidden="1"/>
    </xf>
    <xf numFmtId="0" fontId="4" fillId="0" borderId="13" xfId="0" applyFont="1" applyBorder="1" applyAlignment="1" applyProtection="1">
      <alignment horizontal="center" vertical="center" wrapText="1"/>
      <protection hidden="1"/>
    </xf>
    <xf numFmtId="3" fontId="2" fillId="0" borderId="17" xfId="0" applyNumberFormat="1" applyFont="1" applyFill="1" applyBorder="1" applyAlignment="1" applyProtection="1">
      <alignment horizontal="center" vertical="center" wrapText="1"/>
      <protection hidden="1"/>
    </xf>
    <xf numFmtId="0" fontId="17" fillId="0" borderId="16" xfId="1" applyBorder="1" applyAlignment="1" applyProtection="1">
      <alignment horizontal="left" indent="1"/>
    </xf>
    <xf numFmtId="4" fontId="2" fillId="0" borderId="5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14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7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13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9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15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1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0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22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17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23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27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11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2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29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2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0" xfId="0" applyNumberFormat="1" applyFont="1" applyFill="1" applyBorder="1" applyAlignment="1" applyProtection="1">
      <alignment horizontal="right" vertical="center" wrapText="1" indent="1"/>
      <protection hidden="1"/>
    </xf>
    <xf numFmtId="3" fontId="2" fillId="0" borderId="0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0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Alignment="1" applyProtection="1">
      <alignment horizontal="right"/>
      <protection hidden="1"/>
    </xf>
    <xf numFmtId="0" fontId="35" fillId="0" borderId="0" xfId="0" applyFont="1" applyProtection="1">
      <protection hidden="1"/>
    </xf>
    <xf numFmtId="9" fontId="13" fillId="0" borderId="0" xfId="0" applyNumberFormat="1" applyFont="1" applyProtection="1">
      <protection hidden="1"/>
    </xf>
    <xf numFmtId="0" fontId="36" fillId="6" borderId="3" xfId="0" applyFont="1" applyFill="1" applyBorder="1" applyAlignment="1" applyProtection="1">
      <alignment horizontal="center"/>
      <protection locked="0" hidden="1"/>
    </xf>
    <xf numFmtId="2" fontId="38" fillId="0" borderId="0" xfId="0" applyNumberFormat="1" applyFont="1" applyAlignment="1" applyProtection="1">
      <protection hidden="1"/>
    </xf>
    <xf numFmtId="0" fontId="1" fillId="0" borderId="0" xfId="0" applyFont="1" applyAlignment="1" applyProtection="1">
      <alignment horizontal="right"/>
      <protection hidden="1"/>
    </xf>
    <xf numFmtId="165" fontId="1" fillId="0" borderId="16" xfId="0" applyNumberFormat="1" applyFont="1" applyFill="1" applyBorder="1" applyAlignment="1" applyProtection="1">
      <alignment horizontal="center"/>
      <protection locked="0" hidden="1"/>
    </xf>
    <xf numFmtId="0" fontId="39" fillId="0" borderId="0" xfId="0" applyFont="1" applyAlignment="1" applyProtection="1">
      <alignment horizontal="right"/>
      <protection hidden="1"/>
    </xf>
    <xf numFmtId="0" fontId="39" fillId="0" borderId="0" xfId="0" applyFont="1" applyProtection="1">
      <protection hidden="1"/>
    </xf>
    <xf numFmtId="9" fontId="40" fillId="0" borderId="19" xfId="0" applyNumberFormat="1" applyFont="1" applyFill="1" applyBorder="1" applyAlignment="1" applyProtection="1">
      <alignment horizontal="center"/>
      <protection locked="0" hidden="1"/>
    </xf>
    <xf numFmtId="0" fontId="15" fillId="7" borderId="0" xfId="0" applyFont="1" applyFill="1" applyBorder="1" applyProtection="1">
      <protection hidden="1"/>
    </xf>
    <xf numFmtId="0" fontId="8" fillId="7" borderId="0" xfId="0" applyFont="1" applyFill="1" applyBorder="1" applyAlignment="1" applyProtection="1">
      <alignment horizontal="center"/>
      <protection hidden="1"/>
    </xf>
    <xf numFmtId="4" fontId="8" fillId="7" borderId="0" xfId="0" applyNumberFormat="1" applyFont="1" applyFill="1" applyBorder="1" applyAlignment="1" applyProtection="1">
      <alignment horizontal="center"/>
      <protection hidden="1"/>
    </xf>
    <xf numFmtId="0" fontId="41" fillId="0" borderId="0" xfId="0" applyFont="1" applyAlignment="1" applyProtection="1">
      <alignment horizontal="right"/>
      <protection hidden="1"/>
    </xf>
    <xf numFmtId="0" fontId="42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wrapText="1"/>
      <protection hidden="1"/>
    </xf>
    <xf numFmtId="0" fontId="6" fillId="0" borderId="0" xfId="0" applyFont="1" applyAlignment="1" applyProtection="1">
      <protection hidden="1"/>
    </xf>
    <xf numFmtId="3" fontId="20" fillId="0" borderId="0" xfId="0" applyNumberFormat="1" applyFont="1" applyAlignment="1" applyProtection="1">
      <protection hidden="1"/>
    </xf>
    <xf numFmtId="3" fontId="20" fillId="0" borderId="0" xfId="0" applyNumberFormat="1" applyFont="1" applyFill="1" applyBorder="1" applyProtection="1">
      <protection hidden="1"/>
    </xf>
    <xf numFmtId="4" fontId="20" fillId="0" borderId="0" xfId="0" applyNumberFormat="1" applyFont="1" applyFill="1" applyBorder="1" applyProtection="1">
      <protection hidden="1"/>
    </xf>
    <xf numFmtId="3" fontId="6" fillId="0" borderId="0" xfId="0" applyNumberFormat="1" applyFont="1" applyFill="1" applyProtection="1">
      <protection hidden="1"/>
    </xf>
    <xf numFmtId="3" fontId="20" fillId="0" borderId="0" xfId="0" applyNumberFormat="1" applyFont="1" applyProtection="1">
      <protection hidden="1"/>
    </xf>
    <xf numFmtId="3" fontId="42" fillId="0" borderId="0" xfId="0" applyNumberFormat="1" applyFont="1" applyAlignment="1" applyProtection="1">
      <alignment horizontal="center" vertical="center"/>
      <protection hidden="1"/>
    </xf>
    <xf numFmtId="0" fontId="43" fillId="0" borderId="0" xfId="0" applyFont="1" applyProtection="1">
      <protection hidden="1"/>
    </xf>
    <xf numFmtId="0" fontId="6" fillId="0" borderId="16" xfId="0" applyFont="1" applyBorder="1" applyAlignment="1" applyProtection="1">
      <protection hidden="1"/>
    </xf>
    <xf numFmtId="0" fontId="3" fillId="0" borderId="0" xfId="0" applyFont="1" applyFill="1" applyProtection="1">
      <protection hidden="1"/>
    </xf>
    <xf numFmtId="4" fontId="42" fillId="0" borderId="0" xfId="0" applyNumberFormat="1" applyFont="1" applyAlignment="1" applyProtection="1">
      <alignment horizontal="center" vertical="center"/>
      <protection hidden="1"/>
    </xf>
    <xf numFmtId="0" fontId="20" fillId="0" borderId="17" xfId="0" applyFont="1" applyBorder="1" applyProtection="1">
      <protection hidden="1"/>
    </xf>
    <xf numFmtId="0" fontId="3" fillId="0" borderId="0" xfId="0" applyFont="1" applyProtection="1">
      <protection hidden="1"/>
    </xf>
    <xf numFmtId="0" fontId="6" fillId="0" borderId="27" xfId="0" applyFont="1" applyBorder="1" applyAlignment="1" applyProtection="1">
      <alignment horizontal="right"/>
      <protection hidden="1"/>
    </xf>
    <xf numFmtId="0" fontId="3" fillId="0" borderId="0" xfId="0" applyFont="1" applyAlignment="1" applyProtection="1">
      <alignment horizontal="right"/>
      <protection hidden="1"/>
    </xf>
    <xf numFmtId="0" fontId="20" fillId="0" borderId="0" xfId="0" applyFont="1" applyAlignment="1" applyProtection="1">
      <alignment horizontal="right"/>
      <protection hidden="1"/>
    </xf>
    <xf numFmtId="0" fontId="20" fillId="0" borderId="0" xfId="0" applyFont="1" applyFill="1" applyBorder="1" applyAlignment="1" applyProtection="1">
      <alignment horizontal="right"/>
      <protection hidden="1"/>
    </xf>
    <xf numFmtId="0" fontId="2" fillId="0" borderId="0" xfId="0" applyFont="1" applyBorder="1" applyAlignment="1" applyProtection="1">
      <alignment horizontal="center" vertical="top" wrapText="1"/>
      <protection hidden="1"/>
    </xf>
    <xf numFmtId="0" fontId="3" fillId="0" borderId="16" xfId="0" applyFont="1" applyBorder="1" applyAlignment="1" applyProtection="1">
      <protection hidden="1"/>
    </xf>
    <xf numFmtId="0" fontId="6" fillId="0" borderId="16" xfId="0" applyFont="1" applyBorder="1" applyAlignment="1" applyProtection="1">
      <alignment horizontal="right" indent="1"/>
      <protection hidden="1"/>
    </xf>
    <xf numFmtId="9" fontId="6" fillId="0" borderId="16" xfId="0" applyNumberFormat="1" applyFont="1" applyBorder="1" applyAlignment="1" applyProtection="1">
      <alignment horizontal="left"/>
      <protection hidden="1"/>
    </xf>
    <xf numFmtId="0" fontId="6" fillId="0" borderId="17" xfId="0" applyFont="1" applyBorder="1" applyAlignment="1" applyProtection="1">
      <alignment horizontal="right" indent="1"/>
      <protection hidden="1"/>
    </xf>
    <xf numFmtId="165" fontId="6" fillId="0" borderId="17" xfId="0" applyNumberFormat="1" applyFont="1" applyBorder="1" applyAlignment="1" applyProtection="1">
      <alignment horizontal="left"/>
      <protection hidden="1"/>
    </xf>
    <xf numFmtId="0" fontId="20" fillId="0" borderId="17" xfId="0" applyFont="1" applyBorder="1" applyAlignment="1" applyProtection="1">
      <alignment horizontal="right" indent="1"/>
      <protection hidden="1"/>
    </xf>
    <xf numFmtId="9" fontId="6" fillId="0" borderId="17" xfId="0" applyNumberFormat="1" applyFont="1" applyBorder="1" applyAlignment="1" applyProtection="1">
      <alignment horizontal="left"/>
      <protection hidden="1"/>
    </xf>
    <xf numFmtId="0" fontId="20" fillId="0" borderId="16" xfId="0" applyFont="1" applyBorder="1" applyProtection="1">
      <protection hidden="1"/>
    </xf>
    <xf numFmtId="0" fontId="6" fillId="0" borderId="5" xfId="0" applyFont="1" applyBorder="1" applyAlignment="1" applyProtection="1">
      <alignment horizontal="left" vertical="center" indent="2"/>
      <protection hidden="1"/>
    </xf>
    <xf numFmtId="0" fontId="8" fillId="0" borderId="0" xfId="0" applyFont="1" applyAlignment="1" applyProtection="1">
      <alignment horizontal="right"/>
      <protection hidden="1"/>
    </xf>
    <xf numFmtId="0" fontId="0" fillId="0" borderId="0" xfId="0" applyAlignment="1" applyProtection="1">
      <alignment horizontal="right"/>
      <protection hidden="1"/>
    </xf>
    <xf numFmtId="4" fontId="32" fillId="3" borderId="15" xfId="1" applyNumberFormat="1" applyFont="1" applyFill="1" applyBorder="1" applyAlignment="1" applyProtection="1">
      <alignment horizontal="left" vertical="center" wrapText="1"/>
      <protection hidden="1"/>
    </xf>
    <xf numFmtId="4" fontId="8" fillId="0" borderId="0" xfId="0" applyNumberFormat="1" applyFont="1" applyAlignment="1" applyProtection="1">
      <alignment horizontal="right"/>
      <protection hidden="1"/>
    </xf>
    <xf numFmtId="2" fontId="8" fillId="0" borderId="0" xfId="0" applyNumberFormat="1" applyFont="1" applyAlignment="1" applyProtection="1">
      <alignment horizontal="right"/>
      <protection hidden="1"/>
    </xf>
    <xf numFmtId="164" fontId="8" fillId="0" borderId="0" xfId="0" applyNumberFormat="1" applyFont="1" applyAlignment="1" applyProtection="1">
      <alignment horizontal="right"/>
      <protection hidden="1"/>
    </xf>
    <xf numFmtId="2" fontId="5" fillId="0" borderId="0" xfId="0" applyNumberFormat="1" applyFont="1" applyAlignment="1" applyProtection="1">
      <alignment horizontal="right"/>
      <protection hidden="1"/>
    </xf>
    <xf numFmtId="4" fontId="0" fillId="0" borderId="0" xfId="0" applyNumberFormat="1" applyAlignment="1" applyProtection="1">
      <alignment horizontal="right"/>
      <protection hidden="1"/>
    </xf>
    <xf numFmtId="2" fontId="5" fillId="0" borderId="0" xfId="0" applyNumberFormat="1" applyFont="1" applyAlignment="1" applyProtection="1">
      <protection hidden="1"/>
    </xf>
    <xf numFmtId="2" fontId="5" fillId="0" borderId="0" xfId="0" applyNumberFormat="1" applyFont="1" applyFill="1" applyBorder="1" applyProtection="1">
      <protection hidden="1"/>
    </xf>
    <xf numFmtId="0" fontId="6" fillId="4" borderId="33" xfId="0" applyFont="1" applyFill="1" applyBorder="1" applyAlignment="1" applyProtection="1">
      <alignment horizontal="center" vertical="center" wrapText="1"/>
      <protection hidden="1"/>
    </xf>
    <xf numFmtId="4" fontId="2" fillId="0" borderId="34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5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6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7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3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8" xfId="0" applyNumberFormat="1" applyFont="1" applyFill="1" applyBorder="1" applyAlignment="1" applyProtection="1">
      <alignment horizontal="right" vertical="center" wrapText="1" indent="1"/>
      <protection hidden="1"/>
    </xf>
    <xf numFmtId="0" fontId="6" fillId="4" borderId="39" xfId="0" applyFont="1" applyFill="1" applyBorder="1" applyAlignment="1" applyProtection="1">
      <alignment horizontal="center" vertical="center" wrapText="1"/>
      <protection hidden="1"/>
    </xf>
    <xf numFmtId="0" fontId="6" fillId="4" borderId="38" xfId="0" applyFont="1" applyFill="1" applyBorder="1" applyAlignment="1" applyProtection="1">
      <alignment horizontal="center" vertical="center" wrapText="1"/>
      <protection hidden="1"/>
    </xf>
    <xf numFmtId="4" fontId="2" fillId="0" borderId="40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41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9" xfId="0" applyNumberFormat="1" applyFont="1" applyFill="1" applyBorder="1" applyAlignment="1" applyProtection="1">
      <alignment horizontal="right" vertical="center" wrapText="1" indent="1"/>
      <protection hidden="1"/>
    </xf>
    <xf numFmtId="4" fontId="2" fillId="3" borderId="42" xfId="0" applyNumberFormat="1" applyFont="1" applyFill="1" applyBorder="1" applyAlignment="1" applyProtection="1">
      <alignment horizontal="center" vertical="center" wrapText="1"/>
      <protection hidden="1"/>
    </xf>
    <xf numFmtId="4" fontId="2" fillId="3" borderId="43" xfId="0" applyNumberFormat="1" applyFont="1" applyFill="1" applyBorder="1" applyAlignment="1" applyProtection="1">
      <alignment horizontal="center" vertical="center" wrapText="1"/>
      <protection hidden="1"/>
    </xf>
    <xf numFmtId="4" fontId="2" fillId="3" borderId="44" xfId="0" applyNumberFormat="1" applyFont="1" applyFill="1" applyBorder="1" applyAlignment="1" applyProtection="1">
      <alignment horizontal="center" vertical="center" wrapText="1"/>
      <protection hidden="1"/>
    </xf>
    <xf numFmtId="3" fontId="6" fillId="0" borderId="22" xfId="0" applyNumberFormat="1" applyFont="1" applyBorder="1" applyAlignment="1" applyProtection="1">
      <alignment horizontal="center" vertical="center" wrapText="1"/>
      <protection hidden="1"/>
    </xf>
    <xf numFmtId="3" fontId="6" fillId="0" borderId="17" xfId="0" applyNumberFormat="1" applyFont="1" applyBorder="1" applyAlignment="1" applyProtection="1">
      <alignment horizontal="center" vertical="center" wrapText="1"/>
      <protection hidden="1"/>
    </xf>
    <xf numFmtId="3" fontId="6" fillId="0" borderId="23" xfId="0" applyNumberFormat="1" applyFont="1" applyBorder="1" applyAlignment="1" applyProtection="1">
      <alignment horizontal="center" vertical="center" wrapText="1"/>
      <protection hidden="1"/>
    </xf>
    <xf numFmtId="0" fontId="16" fillId="0" borderId="17" xfId="0" applyFont="1" applyFill="1" applyBorder="1" applyAlignment="1" applyProtection="1">
      <alignment horizontal="right"/>
      <protection hidden="1"/>
    </xf>
    <xf numFmtId="3" fontId="6" fillId="0" borderId="7" xfId="0" applyNumberFormat="1" applyFont="1" applyFill="1" applyBorder="1" applyAlignment="1" applyProtection="1">
      <alignment horizontal="center" vertical="center" wrapText="1"/>
      <protection hidden="1"/>
    </xf>
    <xf numFmtId="0" fontId="16" fillId="0" borderId="16" xfId="0" applyFont="1" applyFill="1" applyBorder="1" applyAlignment="1" applyProtection="1">
      <alignment horizontal="right"/>
      <protection hidden="1"/>
    </xf>
    <xf numFmtId="0" fontId="16" fillId="0" borderId="17" xfId="0" applyFont="1" applyFill="1" applyBorder="1" applyAlignment="1" applyProtection="1">
      <protection hidden="1"/>
    </xf>
    <xf numFmtId="0" fontId="6" fillId="0" borderId="1" xfId="0" applyFont="1" applyFill="1" applyBorder="1" applyAlignment="1" applyProtection="1">
      <alignment horizontal="left" vertical="center" indent="2"/>
      <protection hidden="1"/>
    </xf>
    <xf numFmtId="4" fontId="8" fillId="0" borderId="0" xfId="0" applyNumberFormat="1" applyFont="1" applyFill="1" applyBorder="1" applyProtection="1">
      <protection hidden="1"/>
    </xf>
    <xf numFmtId="0" fontId="1" fillId="0" borderId="0" xfId="0" applyFont="1" applyAlignment="1" applyProtection="1">
      <protection hidden="1"/>
    </xf>
    <xf numFmtId="2" fontId="0" fillId="0" borderId="0" xfId="0" applyNumberFormat="1" applyFill="1" applyProtection="1">
      <protection hidden="1"/>
    </xf>
    <xf numFmtId="0" fontId="6" fillId="0" borderId="45" xfId="0" applyFont="1" applyBorder="1" applyAlignment="1" applyProtection="1">
      <alignment horizontal="left" vertical="center" indent="2"/>
      <protection hidden="1"/>
    </xf>
    <xf numFmtId="0" fontId="4" fillId="0" borderId="46" xfId="0" applyFont="1" applyBorder="1" applyAlignment="1" applyProtection="1">
      <alignment horizontal="right" vertical="center"/>
      <protection hidden="1"/>
    </xf>
    <xf numFmtId="4" fontId="2" fillId="0" borderId="46" xfId="0" applyNumberFormat="1" applyFont="1" applyFill="1" applyBorder="1" applyAlignment="1" applyProtection="1">
      <alignment horizontal="right" vertical="center" wrapText="1" indent="1"/>
      <protection hidden="1"/>
    </xf>
    <xf numFmtId="9" fontId="8" fillId="0" borderId="0" xfId="2" applyFont="1" applyAlignment="1" applyProtection="1">
      <alignment horizontal="right"/>
      <protection hidden="1"/>
    </xf>
    <xf numFmtId="0" fontId="4" fillId="0" borderId="15" xfId="0" applyFont="1" applyBorder="1" applyAlignment="1" applyProtection="1">
      <alignment horizontal="center" vertical="center"/>
      <protection hidden="1"/>
    </xf>
    <xf numFmtId="0" fontId="45" fillId="0" borderId="0" xfId="0" applyFont="1" applyProtection="1">
      <protection hidden="1"/>
    </xf>
    <xf numFmtId="9" fontId="45" fillId="0" borderId="0" xfId="0" applyNumberFormat="1" applyFont="1" applyProtection="1">
      <protection hidden="1"/>
    </xf>
    <xf numFmtId="9" fontId="46" fillId="0" borderId="0" xfId="0" applyNumberFormat="1" applyFont="1" applyProtection="1">
      <protection hidden="1"/>
    </xf>
    <xf numFmtId="0" fontId="0" fillId="0" borderId="11" xfId="0" applyBorder="1" applyProtection="1">
      <protection hidden="1"/>
    </xf>
    <xf numFmtId="2" fontId="5" fillId="0" borderId="0" xfId="0" applyNumberFormat="1" applyFont="1" applyFill="1" applyAlignment="1" applyProtection="1">
      <alignment horizontal="center" vertical="center"/>
      <protection hidden="1"/>
    </xf>
    <xf numFmtId="4" fontId="2" fillId="0" borderId="16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28" xfId="0" applyNumberFormat="1" applyFont="1" applyFill="1" applyBorder="1" applyAlignment="1" applyProtection="1">
      <alignment horizontal="right" vertical="center" wrapText="1" indent="1"/>
      <protection hidden="1"/>
    </xf>
    <xf numFmtId="2" fontId="48" fillId="0" borderId="0" xfId="0" applyNumberFormat="1" applyFont="1" applyProtection="1">
      <protection hidden="1"/>
    </xf>
    <xf numFmtId="0" fontId="1" fillId="0" borderId="0" xfId="0" applyFont="1" applyProtection="1">
      <protection hidden="1"/>
    </xf>
    <xf numFmtId="0" fontId="50" fillId="5" borderId="29" xfId="0" applyFont="1" applyFill="1" applyBorder="1" applyProtection="1">
      <protection hidden="1"/>
    </xf>
    <xf numFmtId="4" fontId="32" fillId="3" borderId="7" xfId="1" applyNumberFormat="1" applyFont="1" applyFill="1" applyBorder="1" applyAlignment="1" applyProtection="1">
      <alignment horizontal="left" vertical="center" wrapText="1"/>
      <protection hidden="1"/>
    </xf>
    <xf numFmtId="9" fontId="0" fillId="0" borderId="0" xfId="2" applyFont="1" applyProtection="1">
      <protection hidden="1"/>
    </xf>
    <xf numFmtId="0" fontId="0" fillId="0" borderId="11" xfId="0" applyFill="1" applyBorder="1" applyProtection="1">
      <protection hidden="1"/>
    </xf>
    <xf numFmtId="4" fontId="2" fillId="3" borderId="34" xfId="0" applyNumberFormat="1" applyFont="1" applyFill="1" applyBorder="1" applyAlignment="1" applyProtection="1">
      <alignment horizontal="center" vertical="center" wrapText="1"/>
      <protection hidden="1"/>
    </xf>
    <xf numFmtId="4" fontId="2" fillId="0" borderId="6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47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48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43" xfId="0" applyNumberFormat="1" applyFont="1" applyFill="1" applyBorder="1" applyAlignment="1" applyProtection="1">
      <alignment horizontal="right" vertical="center" wrapText="1" indent="1"/>
      <protection hidden="1"/>
    </xf>
    <xf numFmtId="0" fontId="23" fillId="0" borderId="0" xfId="1" applyFont="1" applyAlignment="1" applyProtection="1">
      <protection hidden="1"/>
    </xf>
    <xf numFmtId="0" fontId="6" fillId="4" borderId="24" xfId="0" applyFont="1" applyFill="1" applyBorder="1" applyAlignment="1" applyProtection="1">
      <alignment horizontal="center" vertical="center" wrapText="1"/>
      <protection hidden="1"/>
    </xf>
    <xf numFmtId="0" fontId="6" fillId="4" borderId="26" xfId="0" applyFont="1" applyFill="1" applyBorder="1" applyAlignment="1" applyProtection="1">
      <alignment horizontal="center" vertical="center" wrapText="1"/>
      <protection hidden="1"/>
    </xf>
    <xf numFmtId="0" fontId="6" fillId="4" borderId="24" xfId="0" applyFont="1" applyFill="1" applyBorder="1" applyAlignment="1" applyProtection="1">
      <alignment horizontal="left" vertical="center" wrapText="1" indent="2"/>
      <protection hidden="1"/>
    </xf>
    <xf numFmtId="0" fontId="6" fillId="4" borderId="25" xfId="0" applyFont="1" applyFill="1" applyBorder="1" applyAlignment="1" applyProtection="1">
      <alignment horizontal="left" vertical="center" wrapText="1" indent="2"/>
      <protection hidden="1"/>
    </xf>
    <xf numFmtId="0" fontId="6" fillId="4" borderId="26" xfId="0" applyFont="1" applyFill="1" applyBorder="1" applyAlignment="1" applyProtection="1">
      <alignment horizontal="left" vertical="center" wrapText="1" indent="2"/>
      <protection hidden="1"/>
    </xf>
    <xf numFmtId="2" fontId="0" fillId="0" borderId="0" xfId="2" applyNumberFormat="1" applyFont="1" applyProtection="1">
      <protection hidden="1"/>
    </xf>
    <xf numFmtId="0" fontId="0" fillId="0" borderId="0" xfId="0" applyBorder="1" applyAlignment="1"/>
    <xf numFmtId="0" fontId="6" fillId="0" borderId="7" xfId="0" applyFont="1" applyBorder="1" applyAlignment="1" applyProtection="1">
      <alignment horizontal="left" vertical="center" indent="2"/>
      <protection hidden="1"/>
    </xf>
    <xf numFmtId="0" fontId="6" fillId="0" borderId="32" xfId="0" applyFont="1" applyBorder="1" applyAlignment="1" applyProtection="1">
      <alignment horizontal="left" vertical="center" indent="2"/>
      <protection hidden="1"/>
    </xf>
    <xf numFmtId="0" fontId="4" fillId="0" borderId="32" xfId="0" applyFont="1" applyBorder="1" applyAlignment="1" applyProtection="1">
      <alignment horizontal="right" vertical="center"/>
      <protection hidden="1"/>
    </xf>
    <xf numFmtId="0" fontId="4" fillId="0" borderId="0" xfId="0" applyFont="1" applyBorder="1" applyAlignment="1" applyProtection="1">
      <alignment horizontal="center" vertical="center" wrapText="1"/>
      <protection hidden="1"/>
    </xf>
    <xf numFmtId="0" fontId="23" fillId="0" borderId="0" xfId="1" applyFont="1" applyFill="1" applyAlignment="1" applyProtection="1">
      <protection hidden="1"/>
    </xf>
    <xf numFmtId="0" fontId="17" fillId="0" borderId="0" xfId="1" applyFill="1" applyAlignment="1" applyProtection="1">
      <protection hidden="1"/>
    </xf>
    <xf numFmtId="4" fontId="2" fillId="0" borderId="5" xfId="0" applyNumberFormat="1" applyFont="1" applyFill="1" applyBorder="1" applyAlignment="1" applyProtection="1">
      <alignment horizontal="center" vertical="center" wrapText="1"/>
      <protection hidden="1"/>
    </xf>
    <xf numFmtId="4" fontId="2" fillId="0" borderId="9" xfId="0" applyNumberFormat="1" applyFont="1" applyFill="1" applyBorder="1" applyAlignment="1" applyProtection="1">
      <alignment horizontal="center" vertical="center" wrapText="1"/>
      <protection hidden="1"/>
    </xf>
    <xf numFmtId="0" fontId="8" fillId="8" borderId="0" xfId="0" applyFont="1" applyFill="1" applyBorder="1" applyAlignment="1" applyProtection="1">
      <alignment horizontal="center"/>
      <protection hidden="1"/>
    </xf>
    <xf numFmtId="167" fontId="51" fillId="0" borderId="17" xfId="0" applyNumberFormat="1" applyFont="1" applyBorder="1" applyAlignment="1" applyProtection="1">
      <alignment horizontal="left"/>
      <protection hidden="1"/>
    </xf>
    <xf numFmtId="0" fontId="4" fillId="0" borderId="31" xfId="0" applyFont="1" applyBorder="1" applyAlignment="1" applyProtection="1">
      <alignment horizontal="right" vertical="center"/>
      <protection hidden="1"/>
    </xf>
    <xf numFmtId="0" fontId="17" fillId="0" borderId="0" xfId="1" applyAlignment="1" applyProtection="1">
      <protection hidden="1"/>
    </xf>
    <xf numFmtId="4" fontId="2" fillId="3" borderId="15" xfId="1" applyNumberFormat="1" applyFont="1" applyFill="1" applyBorder="1" applyAlignment="1" applyProtection="1">
      <alignment horizontal="center" vertical="center" wrapText="1"/>
      <protection hidden="1"/>
    </xf>
    <xf numFmtId="0" fontId="8" fillId="0" borderId="0" xfId="0" applyFont="1" applyFill="1" applyBorder="1" applyAlignment="1" applyProtection="1">
      <alignment horizontal="center"/>
      <protection hidden="1"/>
    </xf>
    <xf numFmtId="0" fontId="2" fillId="0" borderId="32" xfId="0" applyFont="1" applyFill="1" applyBorder="1" applyAlignment="1" applyProtection="1">
      <alignment vertical="center" wrapText="1"/>
      <protection hidden="1"/>
    </xf>
    <xf numFmtId="0" fontId="4" fillId="0" borderId="11" xfId="0" applyFont="1" applyBorder="1" applyAlignment="1" applyProtection="1">
      <alignment horizontal="right" vertical="center"/>
      <protection hidden="1"/>
    </xf>
    <xf numFmtId="4" fontId="0" fillId="0" borderId="12" xfId="0" applyNumberFormat="1" applyFill="1" applyBorder="1" applyProtection="1">
      <protection hidden="1"/>
    </xf>
    <xf numFmtId="0" fontId="4" fillId="0" borderId="2" xfId="0" applyFont="1" applyBorder="1" applyAlignment="1" applyProtection="1">
      <alignment horizontal="right" vertical="center"/>
      <protection hidden="1"/>
    </xf>
    <xf numFmtId="4" fontId="2" fillId="0" borderId="8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44" xfId="0" applyNumberFormat="1" applyFont="1" applyFill="1" applyBorder="1" applyAlignment="1" applyProtection="1">
      <alignment horizontal="right" vertical="center" wrapText="1" indent="1"/>
      <protection hidden="1"/>
    </xf>
    <xf numFmtId="0" fontId="0" fillId="9" borderId="11" xfId="0" applyFill="1" applyBorder="1" applyProtection="1">
      <protection hidden="1"/>
    </xf>
    <xf numFmtId="1" fontId="0" fillId="0" borderId="0" xfId="0" applyNumberFormat="1" applyProtection="1">
      <protection hidden="1"/>
    </xf>
    <xf numFmtId="1" fontId="0" fillId="0" borderId="0" xfId="2" applyNumberFormat="1" applyFont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6" fillId="0" borderId="5" xfId="0" applyFont="1" applyFill="1" applyBorder="1" applyAlignment="1" applyProtection="1">
      <alignment horizontal="left" vertical="center" indent="2"/>
      <protection hidden="1"/>
    </xf>
    <xf numFmtId="0" fontId="6" fillId="0" borderId="9" xfId="0" applyFont="1" applyFill="1" applyBorder="1" applyAlignment="1" applyProtection="1">
      <alignment horizontal="left" vertical="center" indent="2"/>
      <protection hidden="1"/>
    </xf>
    <xf numFmtId="0" fontId="3" fillId="0" borderId="0" xfId="0" applyFont="1" applyBorder="1" applyAlignment="1" applyProtection="1">
      <protection hidden="1"/>
    </xf>
    <xf numFmtId="0" fontId="20" fillId="0" borderId="0" xfId="0" applyFont="1" applyBorder="1" applyProtection="1">
      <protection hidden="1"/>
    </xf>
    <xf numFmtId="0" fontId="6" fillId="0" borderId="16" xfId="0" applyFont="1" applyFill="1" applyBorder="1" applyAlignment="1" applyProtection="1">
      <alignment vertical="center" wrapText="1"/>
      <protection hidden="1"/>
    </xf>
    <xf numFmtId="0" fontId="6" fillId="0" borderId="14" xfId="0" applyFont="1" applyBorder="1" applyAlignment="1" applyProtection="1">
      <alignment horizontal="right" vertical="center"/>
      <protection hidden="1"/>
    </xf>
    <xf numFmtId="0" fontId="6" fillId="0" borderId="13" xfId="0" applyFont="1" applyBorder="1" applyAlignment="1" applyProtection="1">
      <alignment horizontal="right" vertical="center"/>
      <protection hidden="1"/>
    </xf>
    <xf numFmtId="0" fontId="20" fillId="5" borderId="29" xfId="0" applyFont="1" applyFill="1" applyBorder="1" applyAlignment="1" applyProtection="1">
      <alignment vertical="center"/>
      <protection hidden="1"/>
    </xf>
    <xf numFmtId="0" fontId="20" fillId="5" borderId="2" xfId="0" applyFont="1" applyFill="1" applyBorder="1" applyAlignment="1" applyProtection="1">
      <alignment vertical="center"/>
      <protection hidden="1"/>
    </xf>
    <xf numFmtId="0" fontId="6" fillId="0" borderId="16" xfId="0" applyFont="1" applyBorder="1" applyAlignment="1" applyProtection="1">
      <alignment vertical="center"/>
      <protection hidden="1"/>
    </xf>
    <xf numFmtId="0" fontId="6" fillId="0" borderId="27" xfId="0" applyFont="1" applyBorder="1" applyAlignment="1" applyProtection="1">
      <alignment horizontal="right" vertical="center"/>
      <protection hidden="1"/>
    </xf>
    <xf numFmtId="4" fontId="2" fillId="0" borderId="28" xfId="0" applyNumberFormat="1" applyFont="1" applyFill="1" applyBorder="1" applyAlignment="1" applyProtection="1">
      <alignment horizontal="right" vertical="center" wrapText="1"/>
      <protection hidden="1"/>
    </xf>
    <xf numFmtId="0" fontId="6" fillId="0" borderId="17" xfId="0" applyFont="1" applyBorder="1" applyAlignment="1" applyProtection="1">
      <alignment vertical="center"/>
      <protection hidden="1"/>
    </xf>
    <xf numFmtId="4" fontId="2" fillId="0" borderId="7" xfId="0" applyNumberFormat="1" applyFont="1" applyFill="1" applyBorder="1" applyAlignment="1" applyProtection="1">
      <alignment horizontal="right" vertical="center" wrapText="1"/>
      <protection hidden="1"/>
    </xf>
    <xf numFmtId="3" fontId="20" fillId="0" borderId="0" xfId="0" applyNumberFormat="1" applyFont="1" applyAlignment="1" applyProtection="1">
      <alignment vertical="center"/>
      <protection hidden="1"/>
    </xf>
    <xf numFmtId="3" fontId="20" fillId="0" borderId="0" xfId="0" applyNumberFormat="1" applyFont="1" applyFill="1" applyBorder="1" applyAlignment="1" applyProtection="1">
      <alignment vertical="center"/>
      <protection hidden="1"/>
    </xf>
    <xf numFmtId="4" fontId="20" fillId="0" borderId="0" xfId="0" applyNumberFormat="1" applyFont="1" applyFill="1" applyBorder="1" applyAlignment="1" applyProtection="1">
      <alignment vertical="center"/>
      <protection hidden="1"/>
    </xf>
    <xf numFmtId="0" fontId="20" fillId="0" borderId="0" xfId="0" applyFont="1" applyAlignment="1" applyProtection="1">
      <alignment vertical="center"/>
      <protection hidden="1"/>
    </xf>
    <xf numFmtId="4" fontId="2" fillId="0" borderId="9" xfId="0" applyNumberFormat="1" applyFont="1" applyFill="1" applyBorder="1" applyAlignment="1" applyProtection="1">
      <alignment horizontal="right" vertical="center" wrapText="1"/>
      <protection hidden="1"/>
    </xf>
    <xf numFmtId="0" fontId="25" fillId="5" borderId="29" xfId="1" applyFont="1" applyFill="1" applyBorder="1" applyAlignment="1" applyProtection="1">
      <alignment vertical="center"/>
      <protection hidden="1"/>
    </xf>
    <xf numFmtId="0" fontId="25" fillId="5" borderId="2" xfId="1" applyFont="1" applyFill="1" applyBorder="1" applyAlignment="1" applyProtection="1">
      <alignment vertical="center"/>
      <protection hidden="1"/>
    </xf>
    <xf numFmtId="0" fontId="6" fillId="0" borderId="22" xfId="0" applyFont="1" applyBorder="1" applyAlignment="1" applyProtection="1">
      <alignment vertical="center"/>
      <protection hidden="1"/>
    </xf>
    <xf numFmtId="4" fontId="2" fillId="0" borderId="5" xfId="0" applyNumberFormat="1" applyFont="1" applyFill="1" applyBorder="1" applyAlignment="1" applyProtection="1">
      <alignment horizontal="right" vertical="center" wrapText="1"/>
      <protection hidden="1"/>
    </xf>
    <xf numFmtId="3" fontId="6" fillId="0" borderId="0" xfId="0" applyNumberFormat="1" applyFont="1" applyFill="1" applyAlignment="1" applyProtection="1">
      <alignment vertical="center"/>
      <protection hidden="1"/>
    </xf>
    <xf numFmtId="0" fontId="6" fillId="0" borderId="17" xfId="0" applyFont="1" applyBorder="1" applyAlignment="1" applyProtection="1">
      <alignment horizontal="right" vertical="center"/>
      <protection hidden="1"/>
    </xf>
    <xf numFmtId="4" fontId="2" fillId="0" borderId="0" xfId="0" applyNumberFormat="1" applyFont="1" applyFill="1" applyBorder="1" applyAlignment="1" applyProtection="1">
      <alignment horizontal="left" vertical="center" wrapText="1"/>
      <protection hidden="1"/>
    </xf>
    <xf numFmtId="0" fontId="20" fillId="0" borderId="0" xfId="0" applyFont="1" applyFill="1" applyAlignment="1" applyProtection="1">
      <alignment vertical="center"/>
      <protection hidden="1"/>
    </xf>
    <xf numFmtId="4" fontId="47" fillId="0" borderId="7" xfId="0" applyNumberFormat="1" applyFont="1" applyFill="1" applyBorder="1" applyAlignment="1" applyProtection="1">
      <alignment horizontal="right" vertical="center" wrapText="1"/>
      <protection hidden="1"/>
    </xf>
    <xf numFmtId="2" fontId="20" fillId="0" borderId="0" xfId="0" applyNumberFormat="1" applyFont="1" applyAlignment="1" applyProtection="1">
      <alignment vertical="center"/>
      <protection hidden="1"/>
    </xf>
    <xf numFmtId="4" fontId="20" fillId="0" borderId="0" xfId="0" applyNumberFormat="1" applyFont="1" applyAlignment="1" applyProtection="1">
      <alignment vertical="center"/>
      <protection hidden="1"/>
    </xf>
    <xf numFmtId="4" fontId="2" fillId="0" borderId="11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34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35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33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38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44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15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43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13" xfId="0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 applyProtection="1">
      <alignment vertical="center"/>
      <protection hidden="1"/>
    </xf>
    <xf numFmtId="4" fontId="2" fillId="0" borderId="36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37" xfId="0" applyNumberFormat="1" applyFont="1" applyFill="1" applyBorder="1" applyAlignment="1" applyProtection="1">
      <alignment horizontal="right" vertical="center" wrapText="1"/>
      <protection hidden="1"/>
    </xf>
    <xf numFmtId="2" fontId="20" fillId="0" borderId="0" xfId="0" applyNumberFormat="1" applyFont="1" applyAlignment="1" applyProtection="1">
      <alignment horizontal="right" vertical="center"/>
      <protection hidden="1"/>
    </xf>
    <xf numFmtId="0" fontId="20" fillId="0" borderId="0" xfId="0" applyFont="1" applyFill="1" applyBorder="1" applyAlignment="1" applyProtection="1">
      <alignment horizontal="right" vertical="center"/>
      <protection hidden="1"/>
    </xf>
    <xf numFmtId="0" fontId="20" fillId="0" borderId="0" xfId="0" applyFont="1" applyAlignment="1" applyProtection="1">
      <alignment horizontal="right" vertical="center"/>
      <protection hidden="1"/>
    </xf>
    <xf numFmtId="0" fontId="6" fillId="0" borderId="0" xfId="0" applyFont="1" applyFill="1" applyBorder="1" applyAlignment="1" applyProtection="1">
      <alignment horizontal="right" vertical="center"/>
      <protection hidden="1"/>
    </xf>
    <xf numFmtId="0" fontId="6" fillId="0" borderId="16" xfId="0" applyFont="1" applyBorder="1" applyAlignment="1" applyProtection="1">
      <alignment horizontal="right" vertical="center"/>
      <protection hidden="1"/>
    </xf>
    <xf numFmtId="10" fontId="0" fillId="0" borderId="0" xfId="0" applyNumberFormat="1" applyFill="1" applyProtection="1">
      <protection hidden="1"/>
    </xf>
    <xf numFmtId="10" fontId="0" fillId="0" borderId="0" xfId="0" applyNumberFormat="1" applyProtection="1">
      <protection hidden="1"/>
    </xf>
    <xf numFmtId="9" fontId="0" fillId="0" borderId="0" xfId="0" applyNumberFormat="1" applyProtection="1">
      <protection hidden="1"/>
    </xf>
    <xf numFmtId="9" fontId="0" fillId="0" borderId="0" xfId="0" applyNumberFormat="1" applyFill="1" applyBorder="1" applyProtection="1">
      <protection hidden="1"/>
    </xf>
    <xf numFmtId="0" fontId="0" fillId="0" borderId="0" xfId="2" applyNumberFormat="1" applyFont="1" applyProtection="1">
      <protection hidden="1"/>
    </xf>
    <xf numFmtId="0" fontId="0" fillId="0" borderId="0" xfId="0" applyNumberFormat="1" applyProtection="1">
      <protection hidden="1"/>
    </xf>
    <xf numFmtId="10" fontId="0" fillId="0" borderId="0" xfId="0" applyNumberFormat="1" applyFill="1" applyBorder="1" applyProtection="1">
      <protection hidden="1"/>
    </xf>
    <xf numFmtId="0" fontId="0" fillId="0" borderId="0" xfId="0" applyAlignment="1" applyProtection="1">
      <protection hidden="1"/>
    </xf>
    <xf numFmtId="0" fontId="52" fillId="9" borderId="11" xfId="0" applyFont="1" applyFill="1" applyBorder="1" applyProtection="1">
      <protection hidden="1"/>
    </xf>
    <xf numFmtId="3" fontId="0" fillId="9" borderId="11" xfId="0" applyNumberFormat="1" applyFill="1" applyBorder="1" applyProtection="1">
      <protection hidden="1"/>
    </xf>
    <xf numFmtId="0" fontId="0" fillId="9" borderId="49" xfId="0" applyFill="1" applyBorder="1" applyProtection="1">
      <protection hidden="1"/>
    </xf>
    <xf numFmtId="0" fontId="0" fillId="9" borderId="50" xfId="0" applyFill="1" applyBorder="1" applyProtection="1">
      <protection hidden="1"/>
    </xf>
    <xf numFmtId="0" fontId="52" fillId="9" borderId="49" xfId="0" applyFont="1" applyFill="1" applyBorder="1" applyProtection="1">
      <protection hidden="1"/>
    </xf>
    <xf numFmtId="0" fontId="53" fillId="0" borderId="0" xfId="0" applyFont="1" applyFill="1" applyBorder="1" applyAlignment="1" applyProtection="1">
      <alignment vertical="center"/>
      <protection hidden="1"/>
    </xf>
    <xf numFmtId="0" fontId="54" fillId="0" borderId="0" xfId="0" applyFont="1" applyAlignment="1" applyProtection="1">
      <alignment horizontal="center" vertical="center"/>
      <protection hidden="1"/>
    </xf>
    <xf numFmtId="10" fontId="0" fillId="0" borderId="11" xfId="0" applyNumberFormat="1" applyBorder="1" applyProtection="1">
      <protection hidden="1"/>
    </xf>
    <xf numFmtId="9" fontId="0" fillId="0" borderId="0" xfId="2" applyNumberFormat="1" applyFont="1" applyProtection="1">
      <protection hidden="1"/>
    </xf>
    <xf numFmtId="10" fontId="0" fillId="0" borderId="0" xfId="2" applyNumberFormat="1" applyFont="1" applyProtection="1">
      <protection hidden="1"/>
    </xf>
    <xf numFmtId="3" fontId="0" fillId="0" borderId="0" xfId="0" applyNumberFormat="1" applyFill="1" applyBorder="1" applyProtection="1">
      <protection hidden="1"/>
    </xf>
    <xf numFmtId="4" fontId="2" fillId="3" borderId="22" xfId="0" applyNumberFormat="1" applyFont="1" applyFill="1" applyBorder="1" applyAlignment="1" applyProtection="1">
      <alignment horizontal="center" vertical="center" wrapText="1"/>
      <protection hidden="1"/>
    </xf>
    <xf numFmtId="4" fontId="2" fillId="3" borderId="17" xfId="0" applyNumberFormat="1" applyFont="1" applyFill="1" applyBorder="1" applyAlignment="1" applyProtection="1">
      <alignment horizontal="center" vertical="center" wrapText="1"/>
      <protection hidden="1"/>
    </xf>
    <xf numFmtId="4" fontId="2" fillId="3" borderId="23" xfId="0" applyNumberFormat="1" applyFont="1" applyFill="1" applyBorder="1" applyAlignment="1" applyProtection="1">
      <alignment horizontal="center" vertical="center" wrapText="1"/>
      <protection hidden="1"/>
    </xf>
    <xf numFmtId="3" fontId="6" fillId="0" borderId="7" xfId="0" applyNumberFormat="1" applyFont="1" applyBorder="1" applyAlignment="1" applyProtection="1">
      <alignment horizontal="right" vertical="center" wrapText="1"/>
      <protection hidden="1"/>
    </xf>
    <xf numFmtId="3" fontId="6" fillId="0" borderId="6" xfId="0" applyNumberFormat="1" applyFont="1" applyBorder="1" applyAlignment="1" applyProtection="1">
      <alignment horizontal="right" vertical="center" wrapText="1"/>
      <protection hidden="1"/>
    </xf>
    <xf numFmtId="3" fontId="6" fillId="0" borderId="6" xfId="0" applyNumberFormat="1" applyFont="1" applyFill="1" applyBorder="1" applyAlignment="1" applyProtection="1">
      <alignment horizontal="right" vertical="center" wrapText="1"/>
      <protection hidden="1"/>
    </xf>
    <xf numFmtId="166" fontId="6" fillId="0" borderId="7" xfId="0" applyNumberFormat="1" applyFont="1" applyBorder="1" applyAlignment="1" applyProtection="1">
      <alignment horizontal="right" vertical="center" wrapText="1"/>
      <protection hidden="1"/>
    </xf>
    <xf numFmtId="3" fontId="6" fillId="0" borderId="9" xfId="0" applyNumberFormat="1" applyFont="1" applyBorder="1" applyAlignment="1" applyProtection="1">
      <alignment horizontal="right" vertical="center" wrapText="1"/>
      <protection hidden="1"/>
    </xf>
    <xf numFmtId="3" fontId="6" fillId="0" borderId="5" xfId="0" applyNumberFormat="1" applyFont="1" applyBorder="1" applyAlignment="1" applyProtection="1">
      <alignment horizontal="right" vertical="center" wrapText="1"/>
      <protection hidden="1"/>
    </xf>
    <xf numFmtId="0" fontId="16" fillId="0" borderId="17" xfId="0" applyFont="1" applyFill="1" applyBorder="1" applyAlignment="1" applyProtection="1">
      <alignment horizontal="right"/>
      <protection hidden="1"/>
    </xf>
    <xf numFmtId="0" fontId="16" fillId="0" borderId="13" xfId="0" applyFont="1" applyFill="1" applyBorder="1" applyAlignment="1" applyProtection="1">
      <alignment horizontal="right"/>
      <protection hidden="1"/>
    </xf>
    <xf numFmtId="0" fontId="16" fillId="0" borderId="27" xfId="0" applyFont="1" applyFill="1" applyBorder="1" applyAlignment="1" applyProtection="1">
      <alignment horizontal="right"/>
      <protection hidden="1"/>
    </xf>
    <xf numFmtId="0" fontId="23" fillId="0" borderId="0" xfId="1" applyFont="1" applyAlignment="1" applyProtection="1">
      <alignment horizontal="right"/>
      <protection hidden="1"/>
    </xf>
    <xf numFmtId="0" fontId="6" fillId="0" borderId="0" xfId="0" applyFont="1" applyFill="1" applyBorder="1" applyAlignment="1" applyProtection="1">
      <alignment horizontal="center" vertical="center" wrapText="1"/>
      <protection hidden="1"/>
    </xf>
    <xf numFmtId="0" fontId="16" fillId="0" borderId="13" xfId="0" applyFont="1" applyFill="1" applyBorder="1" applyAlignment="1" applyProtection="1">
      <protection hidden="1"/>
    </xf>
    <xf numFmtId="3" fontId="6" fillId="0" borderId="4" xfId="0" applyNumberFormat="1" applyFont="1" applyBorder="1" applyAlignment="1" applyProtection="1">
      <alignment horizontal="right" vertical="center" wrapText="1"/>
      <protection hidden="1"/>
    </xf>
    <xf numFmtId="166" fontId="6" fillId="0" borderId="6" xfId="0" applyNumberFormat="1" applyFont="1" applyBorder="1" applyAlignment="1" applyProtection="1">
      <alignment horizontal="right" vertical="center" wrapText="1"/>
      <protection hidden="1"/>
    </xf>
    <xf numFmtId="3" fontId="6" fillId="0" borderId="8" xfId="0" applyNumberFormat="1" applyFont="1" applyBorder="1" applyAlignment="1" applyProtection="1">
      <alignment horizontal="right" vertical="center" wrapText="1"/>
      <protection hidden="1"/>
    </xf>
    <xf numFmtId="0" fontId="14" fillId="0" borderId="0" xfId="0" applyFont="1" applyFill="1" applyBorder="1" applyAlignment="1" applyProtection="1">
      <alignment horizontal="right" wrapText="1"/>
      <protection hidden="1"/>
    </xf>
    <xf numFmtId="0" fontId="8" fillId="7" borderId="0" xfId="0" applyFont="1" applyFill="1" applyBorder="1" applyAlignment="1" applyProtection="1">
      <alignment horizontal="right"/>
      <protection hidden="1"/>
    </xf>
    <xf numFmtId="0" fontId="19" fillId="0" borderId="0" xfId="0" applyFont="1" applyAlignment="1" applyProtection="1">
      <alignment horizontal="right"/>
      <protection hidden="1"/>
    </xf>
    <xf numFmtId="0" fontId="8" fillId="0" borderId="0" xfId="0" applyFont="1" applyBorder="1" applyAlignment="1" applyProtection="1">
      <alignment horizontal="right"/>
      <protection hidden="1"/>
    </xf>
    <xf numFmtId="0" fontId="0" fillId="0" borderId="0" xfId="0" applyFill="1" applyAlignment="1" applyProtection="1">
      <alignment horizontal="right"/>
      <protection hidden="1"/>
    </xf>
    <xf numFmtId="0" fontId="22" fillId="0" borderId="0" xfId="0" applyFont="1" applyFill="1" applyBorder="1" applyAlignment="1" applyProtection="1">
      <alignment horizontal="right" wrapText="1"/>
      <protection hidden="1"/>
    </xf>
    <xf numFmtId="0" fontId="4" fillId="0" borderId="24" xfId="0" applyFont="1" applyBorder="1" applyAlignment="1" applyProtection="1">
      <alignment horizontal="right" vertical="center"/>
      <protection hidden="1"/>
    </xf>
    <xf numFmtId="0" fontId="4" fillId="0" borderId="26" xfId="0" applyFont="1" applyBorder="1" applyAlignment="1" applyProtection="1">
      <alignment horizontal="right" vertical="center"/>
      <protection hidden="1"/>
    </xf>
    <xf numFmtId="0" fontId="4" fillId="0" borderId="0" xfId="0" applyFont="1" applyFill="1" applyBorder="1" applyAlignment="1" applyProtection="1">
      <alignment horizontal="right" vertical="center" wrapText="1"/>
      <protection hidden="1"/>
    </xf>
    <xf numFmtId="0" fontId="4" fillId="0" borderId="5" xfId="0" applyFont="1" applyBorder="1" applyAlignment="1" applyProtection="1">
      <alignment horizontal="right" vertical="center" wrapText="1"/>
      <protection hidden="1"/>
    </xf>
    <xf numFmtId="0" fontId="4" fillId="0" borderId="9" xfId="0" applyFont="1" applyBorder="1" applyAlignment="1" applyProtection="1">
      <alignment horizontal="right" vertical="center" wrapText="1"/>
      <protection hidden="1"/>
    </xf>
    <xf numFmtId="0" fontId="4" fillId="0" borderId="7" xfId="0" applyFont="1" applyBorder="1" applyAlignment="1" applyProtection="1">
      <alignment horizontal="right" vertical="center" wrapText="1"/>
      <protection hidden="1"/>
    </xf>
    <xf numFmtId="0" fontId="4" fillId="0" borderId="25" xfId="0" applyFont="1" applyBorder="1" applyAlignment="1" applyProtection="1">
      <alignment horizontal="right" vertical="center" wrapText="1"/>
      <protection hidden="1"/>
    </xf>
    <xf numFmtId="0" fontId="4" fillId="0" borderId="26" xfId="0" applyFont="1" applyBorder="1" applyAlignment="1" applyProtection="1">
      <alignment horizontal="right" vertical="center" wrapText="1"/>
      <protection hidden="1"/>
    </xf>
    <xf numFmtId="0" fontId="4" fillId="0" borderId="24" xfId="0" applyFont="1" applyBorder="1" applyAlignment="1" applyProtection="1">
      <alignment horizontal="right" vertical="center" wrapText="1"/>
      <protection hidden="1"/>
    </xf>
    <xf numFmtId="0" fontId="6" fillId="4" borderId="2" xfId="0" applyFont="1" applyFill="1" applyBorder="1" applyAlignment="1" applyProtection="1">
      <alignment horizontal="right" vertical="center" wrapText="1"/>
      <protection hidden="1"/>
    </xf>
    <xf numFmtId="0" fontId="4" fillId="0" borderId="14" xfId="0" applyFont="1" applyBorder="1" applyAlignment="1" applyProtection="1">
      <alignment horizontal="right" vertical="center" wrapText="1"/>
      <protection hidden="1"/>
    </xf>
    <xf numFmtId="0" fontId="4" fillId="0" borderId="13" xfId="0" applyFont="1" applyBorder="1" applyAlignment="1" applyProtection="1">
      <alignment horizontal="right" vertical="center" wrapText="1"/>
      <protection hidden="1"/>
    </xf>
    <xf numFmtId="0" fontId="4" fillId="0" borderId="15" xfId="0" applyFont="1" applyBorder="1" applyAlignment="1" applyProtection="1">
      <alignment horizontal="right" vertical="center" wrapText="1"/>
      <protection hidden="1"/>
    </xf>
    <xf numFmtId="0" fontId="16" fillId="0" borderId="17" xfId="0" applyFont="1" applyFill="1" applyBorder="1" applyAlignment="1" applyProtection="1">
      <alignment horizontal="right"/>
      <protection hidden="1"/>
    </xf>
    <xf numFmtId="0" fontId="16" fillId="0" borderId="13" xfId="0" applyFont="1" applyFill="1" applyBorder="1" applyAlignment="1" applyProtection="1">
      <alignment horizontal="right"/>
      <protection hidden="1"/>
    </xf>
    <xf numFmtId="0" fontId="20" fillId="5" borderId="32" xfId="0" applyFont="1" applyFill="1" applyBorder="1" applyProtection="1">
      <protection hidden="1"/>
    </xf>
    <xf numFmtId="0" fontId="20" fillId="0" borderId="13" xfId="0" applyFont="1" applyBorder="1" applyProtection="1">
      <protection hidden="1"/>
    </xf>
    <xf numFmtId="0" fontId="3" fillId="0" borderId="15" xfId="0" applyFont="1" applyBorder="1" applyAlignment="1" applyProtection="1">
      <alignment horizontal="center"/>
      <protection hidden="1"/>
    </xf>
    <xf numFmtId="0" fontId="31" fillId="0" borderId="0" xfId="0" applyFont="1" applyBorder="1" applyAlignment="1" applyProtection="1">
      <alignment horizontal="left" vertical="top" wrapText="1"/>
      <protection hidden="1"/>
    </xf>
    <xf numFmtId="0" fontId="16" fillId="0" borderId="17" xfId="0" applyFont="1" applyFill="1" applyBorder="1" applyAlignment="1" applyProtection="1">
      <alignment horizontal="right"/>
      <protection hidden="1"/>
    </xf>
    <xf numFmtId="0" fontId="16" fillId="0" borderId="13" xfId="0" applyFont="1" applyFill="1" applyBorder="1" applyAlignment="1" applyProtection="1">
      <alignment horizontal="right"/>
      <protection hidden="1"/>
    </xf>
    <xf numFmtId="0" fontId="16" fillId="0" borderId="16" xfId="0" applyFont="1" applyFill="1" applyBorder="1" applyAlignment="1" applyProtection="1">
      <alignment horizontal="right"/>
      <protection hidden="1"/>
    </xf>
    <xf numFmtId="0" fontId="16" fillId="0" borderId="27" xfId="0" applyFont="1" applyFill="1" applyBorder="1" applyAlignment="1" applyProtection="1">
      <alignment horizontal="right"/>
      <protection hidden="1"/>
    </xf>
    <xf numFmtId="0" fontId="6" fillId="4" borderId="8" xfId="0" applyFont="1" applyFill="1" applyBorder="1" applyAlignment="1" applyProtection="1">
      <alignment horizontal="center" vertical="center" wrapText="1"/>
      <protection hidden="1"/>
    </xf>
    <xf numFmtId="0" fontId="6" fillId="4" borderId="15" xfId="0" applyFont="1" applyFill="1" applyBorder="1" applyAlignment="1" applyProtection="1">
      <alignment horizontal="center" vertical="center" wrapText="1"/>
      <protection hidden="1"/>
    </xf>
    <xf numFmtId="0" fontId="14" fillId="5" borderId="3" xfId="0" applyFont="1" applyFill="1" applyBorder="1" applyAlignment="1" applyProtection="1">
      <alignment horizontal="left" wrapText="1"/>
      <protection hidden="1"/>
    </xf>
    <xf numFmtId="0" fontId="6" fillId="4" borderId="24" xfId="0" applyFont="1" applyFill="1" applyBorder="1" applyAlignment="1" applyProtection="1">
      <alignment horizontal="center" vertical="center" wrapText="1"/>
      <protection hidden="1"/>
    </xf>
    <xf numFmtId="0" fontId="6" fillId="4" borderId="25" xfId="0" applyFont="1" applyFill="1" applyBorder="1" applyAlignment="1" applyProtection="1">
      <alignment horizontal="center" vertical="center" wrapText="1"/>
      <protection hidden="1"/>
    </xf>
    <xf numFmtId="0" fontId="6" fillId="4" borderId="26" xfId="0" applyFont="1" applyFill="1" applyBorder="1" applyAlignment="1" applyProtection="1">
      <alignment horizontal="center" vertical="center" wrapText="1"/>
      <protection hidden="1"/>
    </xf>
    <xf numFmtId="0" fontId="28" fillId="5" borderId="3" xfId="0" applyFont="1" applyFill="1" applyBorder="1" applyAlignment="1" applyProtection="1">
      <alignment horizontal="center"/>
      <protection hidden="1"/>
    </xf>
    <xf numFmtId="0" fontId="34" fillId="5" borderId="3" xfId="1" applyFont="1" applyFill="1" applyBorder="1" applyAlignment="1" applyProtection="1">
      <alignment horizontal="right"/>
      <protection hidden="1"/>
    </xf>
    <xf numFmtId="0" fontId="0" fillId="0" borderId="3" xfId="0" applyBorder="1" applyAlignment="1"/>
    <xf numFmtId="0" fontId="2" fillId="4" borderId="4" xfId="0" applyFont="1" applyFill="1" applyBorder="1" applyAlignment="1" applyProtection="1">
      <alignment horizontal="center" vertical="center" wrapText="1"/>
      <protection hidden="1"/>
    </xf>
    <xf numFmtId="0" fontId="2" fillId="4" borderId="14" xfId="0" applyFont="1" applyFill="1" applyBorder="1" applyAlignment="1" applyProtection="1">
      <alignment horizontal="center" vertical="center" wrapText="1"/>
      <protection hidden="1"/>
    </xf>
    <xf numFmtId="0" fontId="6" fillId="4" borderId="6" xfId="0" applyFont="1" applyFill="1" applyBorder="1" applyAlignment="1" applyProtection="1">
      <alignment horizontal="center" vertical="center" wrapText="1"/>
      <protection hidden="1"/>
    </xf>
    <xf numFmtId="0" fontId="6" fillId="4" borderId="13" xfId="0" applyFont="1" applyFill="1" applyBorder="1" applyAlignment="1" applyProtection="1">
      <alignment horizontal="center" vertical="center" wrapText="1"/>
      <protection hidden="1"/>
    </xf>
    <xf numFmtId="0" fontId="23" fillId="5" borderId="3" xfId="1" applyFont="1" applyFill="1" applyBorder="1" applyAlignment="1" applyProtection="1">
      <alignment horizontal="right"/>
      <protection hidden="1"/>
    </xf>
    <xf numFmtId="0" fontId="0" fillId="0" borderId="3" xfId="0" applyBorder="1" applyAlignment="1">
      <alignment wrapText="1"/>
    </xf>
    <xf numFmtId="0" fontId="6" fillId="4" borderId="15" xfId="0" applyFont="1" applyFill="1" applyBorder="1" applyAlignment="1" applyProtection="1">
      <alignment horizontal="center" vertical="center"/>
      <protection hidden="1"/>
    </xf>
    <xf numFmtId="0" fontId="23" fillId="0" borderId="0" xfId="1" applyFont="1" applyAlignment="1" applyProtection="1">
      <alignment horizontal="right"/>
      <protection hidden="1"/>
    </xf>
    <xf numFmtId="0" fontId="6" fillId="4" borderId="1" xfId="0" applyFont="1" applyFill="1" applyBorder="1" applyAlignment="1" applyProtection="1">
      <alignment horizontal="center" vertical="center" wrapText="1"/>
      <protection hidden="1"/>
    </xf>
    <xf numFmtId="0" fontId="6" fillId="4" borderId="2" xfId="0" applyFont="1" applyFill="1" applyBorder="1" applyAlignment="1" applyProtection="1">
      <alignment horizontal="center" vertical="center" wrapText="1"/>
      <protection hidden="1"/>
    </xf>
    <xf numFmtId="0" fontId="6" fillId="4" borderId="44" xfId="0" applyFont="1" applyFill="1" applyBorder="1" applyAlignment="1" applyProtection="1">
      <alignment horizontal="center" vertical="center" wrapText="1"/>
      <protection hidden="1"/>
    </xf>
    <xf numFmtId="0" fontId="4" fillId="0" borderId="24" xfId="0" applyFont="1" applyBorder="1" applyAlignment="1" applyProtection="1">
      <alignment horizontal="right" vertical="center"/>
      <protection hidden="1"/>
    </xf>
    <xf numFmtId="0" fontId="4" fillId="0" borderId="26" xfId="0" applyFont="1" applyBorder="1" applyAlignment="1" applyProtection="1">
      <alignment horizontal="right" vertical="center"/>
      <protection hidden="1"/>
    </xf>
    <xf numFmtId="9" fontId="14" fillId="5" borderId="3" xfId="0" applyNumberFormat="1" applyFont="1" applyFill="1" applyBorder="1" applyAlignment="1" applyProtection="1">
      <alignment horizontal="left" wrapText="1"/>
      <protection hidden="1"/>
    </xf>
    <xf numFmtId="0" fontId="49" fillId="0" borderId="3" xfId="0" applyFont="1" applyFill="1" applyBorder="1" applyAlignment="1" applyProtection="1">
      <alignment horizontal="left" wrapText="1"/>
      <protection hidden="1"/>
    </xf>
    <xf numFmtId="0" fontId="2" fillId="4" borderId="22" xfId="0" applyFont="1" applyFill="1" applyBorder="1" applyAlignment="1" applyProtection="1">
      <alignment horizontal="center" vertical="center" wrapText="1"/>
      <protection hidden="1"/>
    </xf>
    <xf numFmtId="0" fontId="49" fillId="5" borderId="3" xfId="0" applyFont="1" applyFill="1" applyBorder="1" applyAlignment="1" applyProtection="1">
      <alignment horizontal="left" wrapText="1"/>
      <protection hidden="1"/>
    </xf>
    <xf numFmtId="0" fontId="37" fillId="0" borderId="0" xfId="0" applyFont="1" applyAlignment="1" applyProtection="1">
      <alignment horizontal="left" wrapText="1"/>
      <protection hidden="1"/>
    </xf>
    <xf numFmtId="0" fontId="37" fillId="0" borderId="0" xfId="0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/>
      <protection hidden="1"/>
    </xf>
    <xf numFmtId="0" fontId="6" fillId="0" borderId="1" xfId="0" applyFont="1" applyBorder="1" applyAlignment="1" applyProtection="1">
      <alignment horizontal="center" wrapText="1"/>
      <protection hidden="1"/>
    </xf>
    <xf numFmtId="0" fontId="6" fillId="0" borderId="2" xfId="0" applyFont="1" applyBorder="1" applyAlignment="1" applyProtection="1">
      <alignment horizontal="center" wrapText="1"/>
      <protection hidden="1"/>
    </xf>
    <xf numFmtId="0" fontId="6" fillId="0" borderId="45" xfId="0" applyFont="1" applyFill="1" applyBorder="1" applyAlignment="1" applyProtection="1">
      <alignment horizontal="center" vertical="center"/>
      <protection hidden="1"/>
    </xf>
    <xf numFmtId="0" fontId="6" fillId="0" borderId="46" xfId="0" applyFont="1" applyFill="1" applyBorder="1" applyAlignment="1" applyProtection="1">
      <alignment horizontal="center" vertical="center"/>
      <protection hidden="1"/>
    </xf>
    <xf numFmtId="0" fontId="21" fillId="5" borderId="10" xfId="1" applyFont="1" applyFill="1" applyBorder="1" applyAlignment="1" applyProtection="1">
      <alignment horizontal="center" vertical="center"/>
      <protection hidden="1"/>
    </xf>
    <xf numFmtId="0" fontId="21" fillId="5" borderId="18" xfId="1" applyFont="1" applyFill="1" applyBorder="1" applyAlignment="1" applyProtection="1">
      <alignment horizontal="center" vertical="center"/>
      <protection hidden="1"/>
    </xf>
    <xf numFmtId="0" fontId="0" fillId="0" borderId="0" xfId="0" applyAlignment="1"/>
    <xf numFmtId="0" fontId="16" fillId="0" borderId="16" xfId="0" applyFont="1" applyBorder="1" applyAlignment="1" applyProtection="1">
      <alignment horizontal="right" indent="2"/>
      <protection hidden="1"/>
    </xf>
    <xf numFmtId="0" fontId="16" fillId="0" borderId="27" xfId="0" applyFont="1" applyBorder="1" applyAlignment="1" applyProtection="1">
      <alignment horizontal="right" indent="2"/>
      <protection hidden="1"/>
    </xf>
    <xf numFmtId="0" fontId="6" fillId="4" borderId="51" xfId="0" applyFont="1" applyFill="1" applyBorder="1" applyAlignment="1" applyProtection="1">
      <alignment horizontal="center" vertical="center" wrapText="1"/>
      <protection hidden="1"/>
    </xf>
    <xf numFmtId="0" fontId="34" fillId="0" borderId="0" xfId="1" applyFont="1" applyAlignment="1" applyProtection="1">
      <alignment horizontal="right"/>
      <protection hidden="1"/>
    </xf>
    <xf numFmtId="0" fontId="34" fillId="0" borderId="0" xfId="1" applyFont="1" applyFill="1" applyAlignment="1" applyProtection="1">
      <alignment horizontal="right"/>
      <protection hidden="1"/>
    </xf>
    <xf numFmtId="0" fontId="6" fillId="4" borderId="23" xfId="0" applyFont="1" applyFill="1" applyBorder="1" applyAlignment="1" applyProtection="1">
      <alignment horizontal="center" vertical="center" wrapText="1"/>
      <protection hidden="1"/>
    </xf>
    <xf numFmtId="9" fontId="22" fillId="5" borderId="3" xfId="0" applyNumberFormat="1" applyFont="1" applyFill="1" applyBorder="1" applyAlignment="1" applyProtection="1">
      <alignment horizontal="left" wrapText="1"/>
      <protection hidden="1"/>
    </xf>
    <xf numFmtId="0" fontId="22" fillId="5" borderId="3" xfId="0" applyFont="1" applyFill="1" applyBorder="1" applyAlignment="1" applyProtection="1">
      <alignment horizontal="left" wrapText="1"/>
      <protection hidden="1"/>
    </xf>
    <xf numFmtId="0" fontId="23" fillId="0" borderId="0" xfId="1" applyFont="1" applyFill="1" applyAlignment="1" applyProtection="1">
      <alignment horizontal="right"/>
      <protection hidden="1"/>
    </xf>
    <xf numFmtId="0" fontId="6" fillId="0" borderId="0" xfId="0" applyFont="1" applyFill="1" applyBorder="1" applyAlignment="1" applyProtection="1">
      <alignment horizontal="center" vertical="center" wrapText="1"/>
      <protection hidden="1"/>
    </xf>
    <xf numFmtId="0" fontId="6" fillId="4" borderId="17" xfId="0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Alignment="1" applyProtection="1">
      <alignment horizontal="left"/>
      <protection hidden="1"/>
    </xf>
    <xf numFmtId="0" fontId="6" fillId="4" borderId="12" xfId="0" applyFont="1" applyFill="1" applyBorder="1" applyAlignment="1" applyProtection="1">
      <alignment horizontal="left" vertical="center" wrapText="1" indent="2"/>
      <protection hidden="1"/>
    </xf>
    <xf numFmtId="0" fontId="6" fillId="4" borderId="45" xfId="0" applyFont="1" applyFill="1" applyBorder="1" applyAlignment="1" applyProtection="1">
      <alignment horizontal="left" vertical="center" wrapText="1" indent="2"/>
      <protection hidden="1"/>
    </xf>
    <xf numFmtId="0" fontId="3" fillId="5" borderId="1" xfId="0" applyFont="1" applyFill="1" applyBorder="1" applyAlignment="1" applyProtection="1">
      <alignment horizontal="left" wrapText="1"/>
      <protection hidden="1"/>
    </xf>
    <xf numFmtId="0" fontId="3" fillId="5" borderId="29" xfId="0" applyFont="1" applyFill="1" applyBorder="1" applyAlignment="1" applyProtection="1">
      <alignment horizontal="left" wrapText="1"/>
      <protection hidden="1"/>
    </xf>
    <xf numFmtId="2" fontId="44" fillId="0" borderId="0" xfId="0" applyNumberFormat="1" applyFont="1" applyAlignment="1" applyProtection="1">
      <alignment horizontal="left"/>
      <protection hidden="1"/>
    </xf>
    <xf numFmtId="0" fontId="6" fillId="4" borderId="1" xfId="0" applyFont="1" applyFill="1" applyBorder="1" applyAlignment="1" applyProtection="1">
      <alignment horizontal="center" vertical="center"/>
      <protection hidden="1"/>
    </xf>
    <xf numFmtId="0" fontId="6" fillId="4" borderId="2" xfId="0" applyFont="1" applyFill="1" applyBorder="1" applyAlignment="1" applyProtection="1">
      <alignment horizontal="center" vertical="center"/>
      <protection hidden="1"/>
    </xf>
    <xf numFmtId="0" fontId="6" fillId="4" borderId="1" xfId="0" applyFont="1" applyFill="1" applyBorder="1" applyAlignment="1" applyProtection="1">
      <alignment horizontal="center" wrapText="1"/>
      <protection hidden="1"/>
    </xf>
    <xf numFmtId="0" fontId="6" fillId="4" borderId="29" xfId="0" applyFont="1" applyFill="1" applyBorder="1" applyAlignment="1" applyProtection="1">
      <alignment horizontal="center" wrapText="1"/>
      <protection hidden="1"/>
    </xf>
    <xf numFmtId="0" fontId="6" fillId="4" borderId="2" xfId="0" applyFont="1" applyFill="1" applyBorder="1" applyAlignment="1" applyProtection="1">
      <alignment horizontal="center" wrapText="1"/>
      <protection hidden="1"/>
    </xf>
    <xf numFmtId="0" fontId="6" fillId="4" borderId="10" xfId="0" applyFont="1" applyFill="1" applyBorder="1" applyAlignment="1" applyProtection="1">
      <alignment horizontal="left" vertical="center" wrapText="1" indent="2"/>
      <protection hidden="1"/>
    </xf>
    <xf numFmtId="0" fontId="25" fillId="5" borderId="29" xfId="1" applyFont="1" applyFill="1" applyBorder="1" applyAlignment="1" applyProtection="1">
      <alignment horizontal="right" vertical="center"/>
      <protection hidden="1"/>
    </xf>
    <xf numFmtId="0" fontId="25" fillId="5" borderId="2" xfId="1" applyFont="1" applyFill="1" applyBorder="1" applyAlignment="1" applyProtection="1">
      <alignment horizontal="right" vertical="center"/>
      <protection hidden="1"/>
    </xf>
    <xf numFmtId="9" fontId="3" fillId="5" borderId="1" xfId="0" applyNumberFormat="1" applyFont="1" applyFill="1" applyBorder="1" applyAlignment="1" applyProtection="1">
      <alignment wrapText="1"/>
      <protection hidden="1"/>
    </xf>
    <xf numFmtId="9" fontId="3" fillId="5" borderId="29" xfId="0" applyNumberFormat="1" applyFont="1" applyFill="1" applyBorder="1" applyAlignment="1" applyProtection="1">
      <alignment wrapText="1"/>
      <protection hidden="1"/>
    </xf>
    <xf numFmtId="0" fontId="3" fillId="5" borderId="10" xfId="0" applyFont="1" applyFill="1" applyBorder="1" applyAlignment="1" applyProtection="1">
      <alignment horizontal="left" wrapText="1"/>
      <protection hidden="1"/>
    </xf>
    <xf numFmtId="0" fontId="3" fillId="5" borderId="32" xfId="0" applyFont="1" applyFill="1" applyBorder="1" applyAlignment="1" applyProtection="1">
      <alignment horizontal="left" wrapText="1"/>
      <protection hidden="1"/>
    </xf>
    <xf numFmtId="0" fontId="6" fillId="4" borderId="4" xfId="0" applyFont="1" applyFill="1" applyBorder="1" applyAlignment="1" applyProtection="1">
      <alignment horizontal="left" vertical="center" wrapText="1" indent="2"/>
      <protection hidden="1"/>
    </xf>
    <xf numFmtId="0" fontId="6" fillId="4" borderId="6" xfId="0" applyFont="1" applyFill="1" applyBorder="1" applyAlignment="1" applyProtection="1">
      <alignment horizontal="left" vertical="center" wrapText="1" indent="2"/>
      <protection hidden="1"/>
    </xf>
    <xf numFmtId="0" fontId="6" fillId="4" borderId="8" xfId="0" applyFont="1" applyFill="1" applyBorder="1" applyAlignment="1" applyProtection="1">
      <alignment horizontal="left" vertical="center" wrapText="1" indent="2"/>
      <protection hidden="1"/>
    </xf>
    <xf numFmtId="9" fontId="3" fillId="5" borderId="1" xfId="0" applyNumberFormat="1" applyFont="1" applyFill="1" applyBorder="1" applyAlignment="1" applyProtection="1">
      <alignment horizontal="left" wrapText="1"/>
      <protection hidden="1"/>
    </xf>
    <xf numFmtId="9" fontId="3" fillId="5" borderId="29" xfId="0" applyNumberFormat="1" applyFont="1" applyFill="1" applyBorder="1" applyAlignment="1" applyProtection="1">
      <alignment horizontal="left" wrapText="1"/>
      <protection hidden="1"/>
    </xf>
    <xf numFmtId="3" fontId="2" fillId="0" borderId="29" xfId="0" applyNumberFormat="1" applyFont="1" applyFill="1" applyBorder="1" applyAlignment="1" applyProtection="1">
      <alignment horizontal="left" vertical="center" wrapText="1"/>
      <protection hidden="1"/>
    </xf>
    <xf numFmtId="0" fontId="2" fillId="0" borderId="22" xfId="0" applyFont="1" applyBorder="1" applyAlignment="1" applyProtection="1">
      <alignment horizontal="center" vertical="center"/>
      <protection hidden="1"/>
    </xf>
    <xf numFmtId="0" fontId="6" fillId="4" borderId="10" xfId="0" applyFont="1" applyFill="1" applyBorder="1" applyAlignment="1" applyProtection="1">
      <alignment horizontal="center" vertical="center" wrapText="1"/>
      <protection hidden="1"/>
    </xf>
    <xf numFmtId="0" fontId="6" fillId="4" borderId="45" xfId="0" applyFont="1" applyFill="1" applyBorder="1" applyAlignment="1" applyProtection="1">
      <alignment horizontal="center" vertical="center" wrapText="1"/>
      <protection hidden="1"/>
    </xf>
  </cellXfs>
  <cellStyles count="3">
    <cellStyle name="Гиперссылка" xfId="1" builtinId="8"/>
    <cellStyle name="Обычный" xfId="0" builtinId="0"/>
    <cellStyle name="Процентный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7.jpeg"/><Relationship Id="rId117" Type="http://schemas.openxmlformats.org/officeDocument/2006/relationships/image" Target="../media/image118.png"/><Relationship Id="rId21" Type="http://schemas.openxmlformats.org/officeDocument/2006/relationships/image" Target="../media/image22.jpeg"/><Relationship Id="rId42" Type="http://schemas.openxmlformats.org/officeDocument/2006/relationships/image" Target="../media/image43.png"/><Relationship Id="rId47" Type="http://schemas.openxmlformats.org/officeDocument/2006/relationships/image" Target="../media/image48.jpeg"/><Relationship Id="rId63" Type="http://schemas.openxmlformats.org/officeDocument/2006/relationships/image" Target="../media/image64.jpeg"/><Relationship Id="rId68" Type="http://schemas.openxmlformats.org/officeDocument/2006/relationships/image" Target="../media/image69.png"/><Relationship Id="rId84" Type="http://schemas.openxmlformats.org/officeDocument/2006/relationships/image" Target="../media/image85.png"/><Relationship Id="rId89" Type="http://schemas.openxmlformats.org/officeDocument/2006/relationships/image" Target="../media/image90.png"/><Relationship Id="rId112" Type="http://schemas.openxmlformats.org/officeDocument/2006/relationships/image" Target="../media/image113.png"/><Relationship Id="rId133" Type="http://schemas.openxmlformats.org/officeDocument/2006/relationships/image" Target="../media/image134.png"/><Relationship Id="rId138" Type="http://schemas.openxmlformats.org/officeDocument/2006/relationships/image" Target="../media/image139.png"/><Relationship Id="rId154" Type="http://schemas.openxmlformats.org/officeDocument/2006/relationships/image" Target="../media/image155.png"/><Relationship Id="rId159" Type="http://schemas.openxmlformats.org/officeDocument/2006/relationships/image" Target="../media/image160.png"/><Relationship Id="rId175" Type="http://schemas.openxmlformats.org/officeDocument/2006/relationships/image" Target="../media/image176.jpeg"/><Relationship Id="rId170" Type="http://schemas.openxmlformats.org/officeDocument/2006/relationships/image" Target="../media/image171.jpeg"/><Relationship Id="rId16" Type="http://schemas.openxmlformats.org/officeDocument/2006/relationships/image" Target="../media/image17.jpeg"/><Relationship Id="rId107" Type="http://schemas.openxmlformats.org/officeDocument/2006/relationships/image" Target="../media/image108.png"/><Relationship Id="rId11" Type="http://schemas.openxmlformats.org/officeDocument/2006/relationships/image" Target="../media/image12.jpeg"/><Relationship Id="rId32" Type="http://schemas.openxmlformats.org/officeDocument/2006/relationships/image" Target="../media/image33.jpeg"/><Relationship Id="rId37" Type="http://schemas.openxmlformats.org/officeDocument/2006/relationships/image" Target="../media/image38.png"/><Relationship Id="rId53" Type="http://schemas.openxmlformats.org/officeDocument/2006/relationships/image" Target="../media/image54.png"/><Relationship Id="rId58" Type="http://schemas.openxmlformats.org/officeDocument/2006/relationships/image" Target="../media/image59.jpeg"/><Relationship Id="rId74" Type="http://schemas.openxmlformats.org/officeDocument/2006/relationships/image" Target="../media/image75.jpeg"/><Relationship Id="rId79" Type="http://schemas.openxmlformats.org/officeDocument/2006/relationships/image" Target="../media/image80.png"/><Relationship Id="rId102" Type="http://schemas.openxmlformats.org/officeDocument/2006/relationships/image" Target="../media/image103.png"/><Relationship Id="rId123" Type="http://schemas.openxmlformats.org/officeDocument/2006/relationships/image" Target="../media/image124.png"/><Relationship Id="rId128" Type="http://schemas.openxmlformats.org/officeDocument/2006/relationships/image" Target="../media/image129.png"/><Relationship Id="rId144" Type="http://schemas.openxmlformats.org/officeDocument/2006/relationships/image" Target="../media/image145.jpeg"/><Relationship Id="rId149" Type="http://schemas.openxmlformats.org/officeDocument/2006/relationships/image" Target="../media/image150.jpeg"/><Relationship Id="rId5" Type="http://schemas.openxmlformats.org/officeDocument/2006/relationships/image" Target="../media/image6.jpeg"/><Relationship Id="rId90" Type="http://schemas.openxmlformats.org/officeDocument/2006/relationships/image" Target="../media/image91.png"/><Relationship Id="rId95" Type="http://schemas.openxmlformats.org/officeDocument/2006/relationships/image" Target="../media/image96.jpeg"/><Relationship Id="rId160" Type="http://schemas.openxmlformats.org/officeDocument/2006/relationships/image" Target="../media/image161.png"/><Relationship Id="rId165" Type="http://schemas.openxmlformats.org/officeDocument/2006/relationships/image" Target="../media/image166.jpeg"/><Relationship Id="rId181" Type="http://schemas.openxmlformats.org/officeDocument/2006/relationships/image" Target="../media/image182.png"/><Relationship Id="rId186" Type="http://schemas.openxmlformats.org/officeDocument/2006/relationships/image" Target="../media/image187.pn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64" Type="http://schemas.openxmlformats.org/officeDocument/2006/relationships/image" Target="../media/image65.jpeg"/><Relationship Id="rId69" Type="http://schemas.openxmlformats.org/officeDocument/2006/relationships/image" Target="../media/image70.png"/><Relationship Id="rId113" Type="http://schemas.openxmlformats.org/officeDocument/2006/relationships/image" Target="../media/image114.png"/><Relationship Id="rId118" Type="http://schemas.openxmlformats.org/officeDocument/2006/relationships/image" Target="../media/image119.png"/><Relationship Id="rId134" Type="http://schemas.openxmlformats.org/officeDocument/2006/relationships/image" Target="../media/image135.png"/><Relationship Id="rId139" Type="http://schemas.openxmlformats.org/officeDocument/2006/relationships/image" Target="../media/image140.png"/><Relationship Id="rId80" Type="http://schemas.openxmlformats.org/officeDocument/2006/relationships/image" Target="../media/image81.png"/><Relationship Id="rId85" Type="http://schemas.openxmlformats.org/officeDocument/2006/relationships/image" Target="../media/image86.png"/><Relationship Id="rId150" Type="http://schemas.openxmlformats.org/officeDocument/2006/relationships/image" Target="../media/image151.png"/><Relationship Id="rId155" Type="http://schemas.openxmlformats.org/officeDocument/2006/relationships/image" Target="../media/image156.png"/><Relationship Id="rId171" Type="http://schemas.openxmlformats.org/officeDocument/2006/relationships/image" Target="../media/image172.jpeg"/><Relationship Id="rId176" Type="http://schemas.openxmlformats.org/officeDocument/2006/relationships/image" Target="../media/image177.pn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33" Type="http://schemas.openxmlformats.org/officeDocument/2006/relationships/image" Target="../media/image34.png"/><Relationship Id="rId38" Type="http://schemas.openxmlformats.org/officeDocument/2006/relationships/image" Target="../media/image39.jpeg"/><Relationship Id="rId59" Type="http://schemas.openxmlformats.org/officeDocument/2006/relationships/image" Target="../media/image60.jpeg"/><Relationship Id="rId103" Type="http://schemas.openxmlformats.org/officeDocument/2006/relationships/image" Target="../media/image104.png"/><Relationship Id="rId108" Type="http://schemas.openxmlformats.org/officeDocument/2006/relationships/image" Target="../media/image109.png"/><Relationship Id="rId124" Type="http://schemas.openxmlformats.org/officeDocument/2006/relationships/image" Target="../media/image125.png"/><Relationship Id="rId129" Type="http://schemas.openxmlformats.org/officeDocument/2006/relationships/image" Target="../media/image130.png"/><Relationship Id="rId54" Type="http://schemas.openxmlformats.org/officeDocument/2006/relationships/image" Target="../media/image55.jpeg"/><Relationship Id="rId70" Type="http://schemas.openxmlformats.org/officeDocument/2006/relationships/image" Target="../media/image71.png"/><Relationship Id="rId75" Type="http://schemas.openxmlformats.org/officeDocument/2006/relationships/image" Target="../media/image76.jpeg"/><Relationship Id="rId91" Type="http://schemas.openxmlformats.org/officeDocument/2006/relationships/image" Target="../media/image92.png"/><Relationship Id="rId96" Type="http://schemas.openxmlformats.org/officeDocument/2006/relationships/image" Target="../media/image97.png"/><Relationship Id="rId140" Type="http://schemas.openxmlformats.org/officeDocument/2006/relationships/image" Target="../media/image141.png"/><Relationship Id="rId145" Type="http://schemas.openxmlformats.org/officeDocument/2006/relationships/image" Target="../media/image146.png"/><Relationship Id="rId161" Type="http://schemas.openxmlformats.org/officeDocument/2006/relationships/image" Target="../media/image162.png"/><Relationship Id="rId166" Type="http://schemas.openxmlformats.org/officeDocument/2006/relationships/image" Target="../media/image167.jpeg"/><Relationship Id="rId182" Type="http://schemas.openxmlformats.org/officeDocument/2006/relationships/image" Target="../media/image183.png"/><Relationship Id="rId187" Type="http://schemas.openxmlformats.org/officeDocument/2006/relationships/image" Target="../media/image188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49" Type="http://schemas.openxmlformats.org/officeDocument/2006/relationships/image" Target="../media/image50.png"/><Relationship Id="rId114" Type="http://schemas.openxmlformats.org/officeDocument/2006/relationships/image" Target="../media/image115.png"/><Relationship Id="rId119" Type="http://schemas.openxmlformats.org/officeDocument/2006/relationships/image" Target="../media/image120.png"/><Relationship Id="rId44" Type="http://schemas.openxmlformats.org/officeDocument/2006/relationships/image" Target="../media/image45.png"/><Relationship Id="rId60" Type="http://schemas.openxmlformats.org/officeDocument/2006/relationships/image" Target="../media/image61.jpeg"/><Relationship Id="rId65" Type="http://schemas.openxmlformats.org/officeDocument/2006/relationships/image" Target="../media/image66.jpeg"/><Relationship Id="rId81" Type="http://schemas.openxmlformats.org/officeDocument/2006/relationships/image" Target="../media/image82.png"/><Relationship Id="rId86" Type="http://schemas.openxmlformats.org/officeDocument/2006/relationships/image" Target="../media/image87.png"/><Relationship Id="rId130" Type="http://schemas.openxmlformats.org/officeDocument/2006/relationships/image" Target="../media/image131.png"/><Relationship Id="rId135" Type="http://schemas.openxmlformats.org/officeDocument/2006/relationships/image" Target="../media/image136.png"/><Relationship Id="rId151" Type="http://schemas.openxmlformats.org/officeDocument/2006/relationships/image" Target="../media/image152.png"/><Relationship Id="rId156" Type="http://schemas.openxmlformats.org/officeDocument/2006/relationships/image" Target="../media/image157.png"/><Relationship Id="rId177" Type="http://schemas.openxmlformats.org/officeDocument/2006/relationships/image" Target="../media/image178.jpeg"/><Relationship Id="rId172" Type="http://schemas.openxmlformats.org/officeDocument/2006/relationships/image" Target="../media/image173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9" Type="http://schemas.openxmlformats.org/officeDocument/2006/relationships/image" Target="../media/image40.jpeg"/><Relationship Id="rId109" Type="http://schemas.openxmlformats.org/officeDocument/2006/relationships/image" Target="../media/image110.png"/><Relationship Id="rId34" Type="http://schemas.openxmlformats.org/officeDocument/2006/relationships/image" Target="../media/image35.png"/><Relationship Id="rId50" Type="http://schemas.openxmlformats.org/officeDocument/2006/relationships/image" Target="../media/image51.png"/><Relationship Id="rId55" Type="http://schemas.openxmlformats.org/officeDocument/2006/relationships/image" Target="../media/image56.png"/><Relationship Id="rId76" Type="http://schemas.openxmlformats.org/officeDocument/2006/relationships/image" Target="../media/image77.jpeg"/><Relationship Id="rId97" Type="http://schemas.openxmlformats.org/officeDocument/2006/relationships/image" Target="../media/image98.png"/><Relationship Id="rId104" Type="http://schemas.openxmlformats.org/officeDocument/2006/relationships/image" Target="../media/image105.png"/><Relationship Id="rId120" Type="http://schemas.openxmlformats.org/officeDocument/2006/relationships/image" Target="../media/image121.png"/><Relationship Id="rId125" Type="http://schemas.openxmlformats.org/officeDocument/2006/relationships/image" Target="../media/image126.png"/><Relationship Id="rId141" Type="http://schemas.openxmlformats.org/officeDocument/2006/relationships/image" Target="../media/image142.jpeg"/><Relationship Id="rId146" Type="http://schemas.openxmlformats.org/officeDocument/2006/relationships/image" Target="../media/image147.png"/><Relationship Id="rId167" Type="http://schemas.openxmlformats.org/officeDocument/2006/relationships/image" Target="../media/image168.jpeg"/><Relationship Id="rId7" Type="http://schemas.openxmlformats.org/officeDocument/2006/relationships/image" Target="../media/image8.jpeg"/><Relationship Id="rId71" Type="http://schemas.openxmlformats.org/officeDocument/2006/relationships/image" Target="../media/image72.emf"/><Relationship Id="rId92" Type="http://schemas.openxmlformats.org/officeDocument/2006/relationships/image" Target="../media/image93.png"/><Relationship Id="rId162" Type="http://schemas.openxmlformats.org/officeDocument/2006/relationships/image" Target="../media/image163.png"/><Relationship Id="rId183" Type="http://schemas.openxmlformats.org/officeDocument/2006/relationships/image" Target="../media/image184.png"/><Relationship Id="rId2" Type="http://schemas.openxmlformats.org/officeDocument/2006/relationships/image" Target="../media/image3.jpeg"/><Relationship Id="rId29" Type="http://schemas.openxmlformats.org/officeDocument/2006/relationships/image" Target="../media/image30.jpeg"/><Relationship Id="rId24" Type="http://schemas.openxmlformats.org/officeDocument/2006/relationships/image" Target="../media/image25.jpeg"/><Relationship Id="rId40" Type="http://schemas.openxmlformats.org/officeDocument/2006/relationships/image" Target="../media/image41.jpeg"/><Relationship Id="rId45" Type="http://schemas.openxmlformats.org/officeDocument/2006/relationships/image" Target="../media/image46.png"/><Relationship Id="rId66" Type="http://schemas.openxmlformats.org/officeDocument/2006/relationships/image" Target="../media/image67.png"/><Relationship Id="rId87" Type="http://schemas.openxmlformats.org/officeDocument/2006/relationships/image" Target="../media/image88.png"/><Relationship Id="rId110" Type="http://schemas.openxmlformats.org/officeDocument/2006/relationships/image" Target="../media/image111.png"/><Relationship Id="rId115" Type="http://schemas.openxmlformats.org/officeDocument/2006/relationships/image" Target="../media/image116.png"/><Relationship Id="rId131" Type="http://schemas.openxmlformats.org/officeDocument/2006/relationships/image" Target="../media/image132.png"/><Relationship Id="rId136" Type="http://schemas.openxmlformats.org/officeDocument/2006/relationships/image" Target="../media/image137.png"/><Relationship Id="rId157" Type="http://schemas.openxmlformats.org/officeDocument/2006/relationships/image" Target="../media/image158.png"/><Relationship Id="rId178" Type="http://schemas.openxmlformats.org/officeDocument/2006/relationships/image" Target="../media/image179.png"/><Relationship Id="rId61" Type="http://schemas.openxmlformats.org/officeDocument/2006/relationships/image" Target="../media/image62.jpeg"/><Relationship Id="rId82" Type="http://schemas.openxmlformats.org/officeDocument/2006/relationships/image" Target="../media/image83.png"/><Relationship Id="rId152" Type="http://schemas.openxmlformats.org/officeDocument/2006/relationships/image" Target="../media/image153.jpeg"/><Relationship Id="rId173" Type="http://schemas.openxmlformats.org/officeDocument/2006/relationships/image" Target="../media/image174.jpeg"/><Relationship Id="rId19" Type="http://schemas.openxmlformats.org/officeDocument/2006/relationships/image" Target="../media/image20.jpeg"/><Relationship Id="rId14" Type="http://schemas.openxmlformats.org/officeDocument/2006/relationships/image" Target="../media/image15.jpeg"/><Relationship Id="rId30" Type="http://schemas.openxmlformats.org/officeDocument/2006/relationships/image" Target="../media/image31.jpeg"/><Relationship Id="rId35" Type="http://schemas.openxmlformats.org/officeDocument/2006/relationships/image" Target="../media/image36.png"/><Relationship Id="rId56" Type="http://schemas.openxmlformats.org/officeDocument/2006/relationships/image" Target="../media/image57.jpeg"/><Relationship Id="rId77" Type="http://schemas.openxmlformats.org/officeDocument/2006/relationships/image" Target="../media/image78.jpeg"/><Relationship Id="rId100" Type="http://schemas.openxmlformats.org/officeDocument/2006/relationships/image" Target="../media/image101.png"/><Relationship Id="rId105" Type="http://schemas.openxmlformats.org/officeDocument/2006/relationships/image" Target="../media/image106.png"/><Relationship Id="rId126" Type="http://schemas.openxmlformats.org/officeDocument/2006/relationships/image" Target="../media/image127.png"/><Relationship Id="rId147" Type="http://schemas.openxmlformats.org/officeDocument/2006/relationships/image" Target="../media/image148.png"/><Relationship Id="rId168" Type="http://schemas.openxmlformats.org/officeDocument/2006/relationships/image" Target="../media/image169.jpeg"/><Relationship Id="rId8" Type="http://schemas.openxmlformats.org/officeDocument/2006/relationships/image" Target="../media/image9.jpeg"/><Relationship Id="rId51" Type="http://schemas.openxmlformats.org/officeDocument/2006/relationships/image" Target="../media/image52.png"/><Relationship Id="rId72" Type="http://schemas.openxmlformats.org/officeDocument/2006/relationships/image" Target="../media/image73.jpeg"/><Relationship Id="rId93" Type="http://schemas.openxmlformats.org/officeDocument/2006/relationships/image" Target="../media/image94.png"/><Relationship Id="rId98" Type="http://schemas.openxmlformats.org/officeDocument/2006/relationships/image" Target="../media/image99.png"/><Relationship Id="rId121" Type="http://schemas.openxmlformats.org/officeDocument/2006/relationships/image" Target="../media/image122.png"/><Relationship Id="rId142" Type="http://schemas.openxmlformats.org/officeDocument/2006/relationships/image" Target="../media/image143.png"/><Relationship Id="rId163" Type="http://schemas.openxmlformats.org/officeDocument/2006/relationships/image" Target="../media/image164.png"/><Relationship Id="rId184" Type="http://schemas.openxmlformats.org/officeDocument/2006/relationships/image" Target="../media/image185.png"/><Relationship Id="rId3" Type="http://schemas.openxmlformats.org/officeDocument/2006/relationships/image" Target="../media/image4.jpeg"/><Relationship Id="rId25" Type="http://schemas.openxmlformats.org/officeDocument/2006/relationships/image" Target="../media/image26.jpeg"/><Relationship Id="rId46" Type="http://schemas.openxmlformats.org/officeDocument/2006/relationships/image" Target="../media/image47.jpeg"/><Relationship Id="rId67" Type="http://schemas.openxmlformats.org/officeDocument/2006/relationships/image" Target="../media/image68.emf"/><Relationship Id="rId116" Type="http://schemas.openxmlformats.org/officeDocument/2006/relationships/image" Target="../media/image117.png"/><Relationship Id="rId137" Type="http://schemas.openxmlformats.org/officeDocument/2006/relationships/image" Target="../media/image138.png"/><Relationship Id="rId158" Type="http://schemas.openxmlformats.org/officeDocument/2006/relationships/image" Target="../media/image159.png"/><Relationship Id="rId20" Type="http://schemas.openxmlformats.org/officeDocument/2006/relationships/image" Target="../media/image21.jpeg"/><Relationship Id="rId41" Type="http://schemas.openxmlformats.org/officeDocument/2006/relationships/image" Target="../media/image42.jpeg"/><Relationship Id="rId62" Type="http://schemas.openxmlformats.org/officeDocument/2006/relationships/image" Target="../media/image63.jpeg"/><Relationship Id="rId83" Type="http://schemas.openxmlformats.org/officeDocument/2006/relationships/image" Target="../media/image84.jpeg"/><Relationship Id="rId88" Type="http://schemas.openxmlformats.org/officeDocument/2006/relationships/image" Target="../media/image89.png"/><Relationship Id="rId111" Type="http://schemas.openxmlformats.org/officeDocument/2006/relationships/image" Target="../media/image112.jpeg"/><Relationship Id="rId132" Type="http://schemas.openxmlformats.org/officeDocument/2006/relationships/image" Target="../media/image133.png"/><Relationship Id="rId153" Type="http://schemas.openxmlformats.org/officeDocument/2006/relationships/image" Target="../media/image154.png"/><Relationship Id="rId174" Type="http://schemas.openxmlformats.org/officeDocument/2006/relationships/image" Target="../media/image175.jpeg"/><Relationship Id="rId179" Type="http://schemas.openxmlformats.org/officeDocument/2006/relationships/image" Target="../media/image180.jpeg"/><Relationship Id="rId15" Type="http://schemas.openxmlformats.org/officeDocument/2006/relationships/image" Target="../media/image16.jpeg"/><Relationship Id="rId36" Type="http://schemas.openxmlformats.org/officeDocument/2006/relationships/image" Target="../media/image37.png"/><Relationship Id="rId57" Type="http://schemas.openxmlformats.org/officeDocument/2006/relationships/image" Target="../media/image58.jpeg"/><Relationship Id="rId106" Type="http://schemas.openxmlformats.org/officeDocument/2006/relationships/image" Target="../media/image107.png"/><Relationship Id="rId127" Type="http://schemas.openxmlformats.org/officeDocument/2006/relationships/image" Target="../media/image128.png"/><Relationship Id="rId10" Type="http://schemas.openxmlformats.org/officeDocument/2006/relationships/image" Target="../media/image11.jpeg"/><Relationship Id="rId31" Type="http://schemas.openxmlformats.org/officeDocument/2006/relationships/image" Target="../media/image32.jpeg"/><Relationship Id="rId52" Type="http://schemas.openxmlformats.org/officeDocument/2006/relationships/image" Target="../media/image53.jpeg"/><Relationship Id="rId73" Type="http://schemas.openxmlformats.org/officeDocument/2006/relationships/image" Target="../media/image74.jpeg"/><Relationship Id="rId78" Type="http://schemas.openxmlformats.org/officeDocument/2006/relationships/image" Target="../media/image79.png"/><Relationship Id="rId94" Type="http://schemas.openxmlformats.org/officeDocument/2006/relationships/image" Target="../media/image95.png"/><Relationship Id="rId99" Type="http://schemas.openxmlformats.org/officeDocument/2006/relationships/image" Target="../media/image100.png"/><Relationship Id="rId101" Type="http://schemas.openxmlformats.org/officeDocument/2006/relationships/image" Target="../media/image102.png"/><Relationship Id="rId122" Type="http://schemas.openxmlformats.org/officeDocument/2006/relationships/image" Target="../media/image123.png"/><Relationship Id="rId143" Type="http://schemas.openxmlformats.org/officeDocument/2006/relationships/image" Target="../media/image144.png"/><Relationship Id="rId148" Type="http://schemas.openxmlformats.org/officeDocument/2006/relationships/image" Target="../media/image149.jpeg"/><Relationship Id="rId164" Type="http://schemas.openxmlformats.org/officeDocument/2006/relationships/image" Target="../media/image165.png"/><Relationship Id="rId169" Type="http://schemas.openxmlformats.org/officeDocument/2006/relationships/image" Target="../media/image170.jpeg"/><Relationship Id="rId185" Type="http://schemas.openxmlformats.org/officeDocument/2006/relationships/image" Target="../media/image186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80" Type="http://schemas.openxmlformats.org/officeDocument/2006/relationships/image" Target="../media/image18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2</xdr:row>
      <xdr:rowOff>9525</xdr:rowOff>
    </xdr:from>
    <xdr:to>
      <xdr:col>2</xdr:col>
      <xdr:colOff>1114425</xdr:colOff>
      <xdr:row>4</xdr:row>
      <xdr:rowOff>125730</xdr:rowOff>
    </xdr:to>
    <xdr:pic>
      <xdr:nvPicPr>
        <xdr:cNvPr id="2655" name="Picture 383" descr="12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6827"/>
        <a:stretch>
          <a:fillRect/>
        </a:stretch>
      </xdr:blipFill>
      <xdr:spPr bwMode="auto">
        <a:xfrm>
          <a:off x="85725" y="209550"/>
          <a:ext cx="15430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419100</xdr:colOff>
      <xdr:row>168</xdr:row>
      <xdr:rowOff>47625</xdr:rowOff>
    </xdr:from>
    <xdr:to>
      <xdr:col>2</xdr:col>
      <xdr:colOff>581025</xdr:colOff>
      <xdr:row>168</xdr:row>
      <xdr:rowOff>400050</xdr:rowOff>
    </xdr:to>
    <xdr:pic>
      <xdr:nvPicPr>
        <xdr:cNvPr id="117553" name="Picture 4" descr="Geometriya_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47875" y="59140725"/>
          <a:ext cx="1619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169</xdr:row>
      <xdr:rowOff>28575</xdr:rowOff>
    </xdr:from>
    <xdr:to>
      <xdr:col>2</xdr:col>
      <xdr:colOff>371475</xdr:colOff>
      <xdr:row>169</xdr:row>
      <xdr:rowOff>400050</xdr:rowOff>
    </xdr:to>
    <xdr:pic>
      <xdr:nvPicPr>
        <xdr:cNvPr id="117554" name="Picture 8" descr="Geometriya_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28800" y="59559825"/>
          <a:ext cx="1714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169</xdr:row>
      <xdr:rowOff>28575</xdr:rowOff>
    </xdr:from>
    <xdr:to>
      <xdr:col>2</xdr:col>
      <xdr:colOff>581025</xdr:colOff>
      <xdr:row>169</xdr:row>
      <xdr:rowOff>400050</xdr:rowOff>
    </xdr:to>
    <xdr:pic>
      <xdr:nvPicPr>
        <xdr:cNvPr id="117555" name="Picture 9" descr="Geometriya_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38350" y="59559825"/>
          <a:ext cx="1714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170</xdr:row>
      <xdr:rowOff>28575</xdr:rowOff>
    </xdr:from>
    <xdr:to>
      <xdr:col>2</xdr:col>
      <xdr:colOff>371475</xdr:colOff>
      <xdr:row>170</xdr:row>
      <xdr:rowOff>419100</xdr:rowOff>
    </xdr:to>
    <xdr:pic>
      <xdr:nvPicPr>
        <xdr:cNvPr id="117556" name="Picture 10" descr="Geometriya_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19275" y="5999797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170</xdr:row>
      <xdr:rowOff>28575</xdr:rowOff>
    </xdr:from>
    <xdr:to>
      <xdr:col>2</xdr:col>
      <xdr:colOff>581025</xdr:colOff>
      <xdr:row>170</xdr:row>
      <xdr:rowOff>419100</xdr:rowOff>
    </xdr:to>
    <xdr:pic>
      <xdr:nvPicPr>
        <xdr:cNvPr id="117557" name="Picture 11" descr="Geometriya_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28825" y="5999797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171</xdr:row>
      <xdr:rowOff>28575</xdr:rowOff>
    </xdr:from>
    <xdr:to>
      <xdr:col>2</xdr:col>
      <xdr:colOff>371475</xdr:colOff>
      <xdr:row>171</xdr:row>
      <xdr:rowOff>419100</xdr:rowOff>
    </xdr:to>
    <xdr:pic>
      <xdr:nvPicPr>
        <xdr:cNvPr id="117558" name="Picture 12" descr="Geometriya_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19275" y="6043612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171</xdr:row>
      <xdr:rowOff>28575</xdr:rowOff>
    </xdr:from>
    <xdr:to>
      <xdr:col>2</xdr:col>
      <xdr:colOff>581025</xdr:colOff>
      <xdr:row>171</xdr:row>
      <xdr:rowOff>419100</xdr:rowOff>
    </xdr:to>
    <xdr:pic>
      <xdr:nvPicPr>
        <xdr:cNvPr id="117559" name="Picture 13" descr="Geometriya_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28825" y="6043612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172</xdr:row>
      <xdr:rowOff>28575</xdr:rowOff>
    </xdr:from>
    <xdr:to>
      <xdr:col>2</xdr:col>
      <xdr:colOff>371475</xdr:colOff>
      <xdr:row>172</xdr:row>
      <xdr:rowOff>419100</xdr:rowOff>
    </xdr:to>
    <xdr:pic>
      <xdr:nvPicPr>
        <xdr:cNvPr id="117560" name="Picture 14" descr="Geometriya_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819275" y="6087427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172</xdr:row>
      <xdr:rowOff>28575</xdr:rowOff>
    </xdr:from>
    <xdr:to>
      <xdr:col>2</xdr:col>
      <xdr:colOff>581025</xdr:colOff>
      <xdr:row>172</xdr:row>
      <xdr:rowOff>419100</xdr:rowOff>
    </xdr:to>
    <xdr:pic>
      <xdr:nvPicPr>
        <xdr:cNvPr id="117561" name="Picture 15" descr="Geometriya_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028825" y="6087427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295</xdr:row>
      <xdr:rowOff>38100</xdr:rowOff>
    </xdr:from>
    <xdr:to>
      <xdr:col>2</xdr:col>
      <xdr:colOff>466725</xdr:colOff>
      <xdr:row>295</xdr:row>
      <xdr:rowOff>419100</xdr:rowOff>
    </xdr:to>
    <xdr:pic>
      <xdr:nvPicPr>
        <xdr:cNvPr id="117569" name="Picture 70" descr="Idea_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933575" y="88144350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296</xdr:row>
      <xdr:rowOff>47625</xdr:rowOff>
    </xdr:from>
    <xdr:to>
      <xdr:col>2</xdr:col>
      <xdr:colOff>361950</xdr:colOff>
      <xdr:row>296</xdr:row>
      <xdr:rowOff>419100</xdr:rowOff>
    </xdr:to>
    <xdr:pic>
      <xdr:nvPicPr>
        <xdr:cNvPr id="117570" name="Picture 71" descr="Idea_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819275" y="88592025"/>
          <a:ext cx="1714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296</xdr:row>
      <xdr:rowOff>47625</xdr:rowOff>
    </xdr:from>
    <xdr:to>
      <xdr:col>2</xdr:col>
      <xdr:colOff>581025</xdr:colOff>
      <xdr:row>296</xdr:row>
      <xdr:rowOff>419100</xdr:rowOff>
    </xdr:to>
    <xdr:pic>
      <xdr:nvPicPr>
        <xdr:cNvPr id="117571" name="Picture 72" descr="Idea_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047875" y="88592025"/>
          <a:ext cx="161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886</xdr:row>
      <xdr:rowOff>28575</xdr:rowOff>
    </xdr:from>
    <xdr:to>
      <xdr:col>2</xdr:col>
      <xdr:colOff>381000</xdr:colOff>
      <xdr:row>886</xdr:row>
      <xdr:rowOff>400050</xdr:rowOff>
    </xdr:to>
    <xdr:pic>
      <xdr:nvPicPr>
        <xdr:cNvPr id="117572" name="Picture 85" descr="Lada-Concept_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838325" y="192538350"/>
          <a:ext cx="1714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428625</xdr:colOff>
      <xdr:row>886</xdr:row>
      <xdr:rowOff>28575</xdr:rowOff>
    </xdr:from>
    <xdr:to>
      <xdr:col>2</xdr:col>
      <xdr:colOff>590550</xdr:colOff>
      <xdr:row>886</xdr:row>
      <xdr:rowOff>400050</xdr:rowOff>
    </xdr:to>
    <xdr:pic>
      <xdr:nvPicPr>
        <xdr:cNvPr id="117573" name="Picture 86" descr="Lada-Concept_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057400" y="192538350"/>
          <a:ext cx="161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1634</xdr:row>
      <xdr:rowOff>38100</xdr:rowOff>
    </xdr:from>
    <xdr:to>
      <xdr:col>2</xdr:col>
      <xdr:colOff>476250</xdr:colOff>
      <xdr:row>1634</xdr:row>
      <xdr:rowOff>419100</xdr:rowOff>
    </xdr:to>
    <xdr:pic>
      <xdr:nvPicPr>
        <xdr:cNvPr id="117574" name="Picture 93" descr="Lineya_1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943100" y="328374375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1635</xdr:row>
      <xdr:rowOff>38100</xdr:rowOff>
    </xdr:from>
    <xdr:to>
      <xdr:col>2</xdr:col>
      <xdr:colOff>485775</xdr:colOff>
      <xdr:row>1635</xdr:row>
      <xdr:rowOff>419100</xdr:rowOff>
    </xdr:to>
    <xdr:pic>
      <xdr:nvPicPr>
        <xdr:cNvPr id="117575" name="Picture 96" descr="Lineya_3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952625" y="328812525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1636</xdr:row>
      <xdr:rowOff>38100</xdr:rowOff>
    </xdr:from>
    <xdr:to>
      <xdr:col>2</xdr:col>
      <xdr:colOff>495300</xdr:colOff>
      <xdr:row>1636</xdr:row>
      <xdr:rowOff>419100</xdr:rowOff>
    </xdr:to>
    <xdr:pic>
      <xdr:nvPicPr>
        <xdr:cNvPr id="117576" name="Picture 97" descr="Lineya_4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952625" y="32925067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1707</xdr:row>
      <xdr:rowOff>38100</xdr:rowOff>
    </xdr:from>
    <xdr:to>
      <xdr:col>2</xdr:col>
      <xdr:colOff>485775</xdr:colOff>
      <xdr:row>1707</xdr:row>
      <xdr:rowOff>419100</xdr:rowOff>
    </xdr:to>
    <xdr:pic>
      <xdr:nvPicPr>
        <xdr:cNvPr id="117577" name="Picture 99" descr="Layn_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952625" y="341442675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1708</xdr:row>
      <xdr:rowOff>38100</xdr:rowOff>
    </xdr:from>
    <xdr:to>
      <xdr:col>2</xdr:col>
      <xdr:colOff>495300</xdr:colOff>
      <xdr:row>1708</xdr:row>
      <xdr:rowOff>419100</xdr:rowOff>
    </xdr:to>
    <xdr:pic>
      <xdr:nvPicPr>
        <xdr:cNvPr id="117578" name="Picture 100" descr="Layn_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952625" y="3418808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1709</xdr:row>
      <xdr:rowOff>47625</xdr:rowOff>
    </xdr:from>
    <xdr:to>
      <xdr:col>2</xdr:col>
      <xdr:colOff>495300</xdr:colOff>
      <xdr:row>1709</xdr:row>
      <xdr:rowOff>419100</xdr:rowOff>
    </xdr:to>
    <xdr:pic>
      <xdr:nvPicPr>
        <xdr:cNvPr id="117579" name="Picture 101" descr="Layn_3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952625" y="342328500"/>
          <a:ext cx="1714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1710</xdr:row>
      <xdr:rowOff>38100</xdr:rowOff>
    </xdr:from>
    <xdr:to>
      <xdr:col>2</xdr:col>
      <xdr:colOff>495300</xdr:colOff>
      <xdr:row>1710</xdr:row>
      <xdr:rowOff>419100</xdr:rowOff>
    </xdr:to>
    <xdr:pic>
      <xdr:nvPicPr>
        <xdr:cNvPr id="117580" name="Picture 102" descr="Layn_4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952625" y="3427571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1711</xdr:row>
      <xdr:rowOff>47625</xdr:rowOff>
    </xdr:from>
    <xdr:to>
      <xdr:col>2</xdr:col>
      <xdr:colOff>495300</xdr:colOff>
      <xdr:row>1711</xdr:row>
      <xdr:rowOff>419100</xdr:rowOff>
    </xdr:to>
    <xdr:pic>
      <xdr:nvPicPr>
        <xdr:cNvPr id="117581" name="Picture 103" descr="Layn_5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952625" y="343204800"/>
          <a:ext cx="1714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1784</xdr:row>
      <xdr:rowOff>28575</xdr:rowOff>
    </xdr:from>
    <xdr:to>
      <xdr:col>2</xdr:col>
      <xdr:colOff>495300</xdr:colOff>
      <xdr:row>1784</xdr:row>
      <xdr:rowOff>400050</xdr:rowOff>
    </xdr:to>
    <xdr:pic>
      <xdr:nvPicPr>
        <xdr:cNvPr id="117582" name="Picture 105" descr="Elegant_1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962150" y="356387400"/>
          <a:ext cx="161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1785</xdr:row>
      <xdr:rowOff>28575</xdr:rowOff>
    </xdr:from>
    <xdr:to>
      <xdr:col>2</xdr:col>
      <xdr:colOff>504825</xdr:colOff>
      <xdr:row>1785</xdr:row>
      <xdr:rowOff>419100</xdr:rowOff>
    </xdr:to>
    <xdr:pic>
      <xdr:nvPicPr>
        <xdr:cNvPr id="117583" name="Picture 106" descr="Elegant_2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952625" y="35682555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1786</xdr:row>
      <xdr:rowOff>28575</xdr:rowOff>
    </xdr:from>
    <xdr:to>
      <xdr:col>2</xdr:col>
      <xdr:colOff>504825</xdr:colOff>
      <xdr:row>1786</xdr:row>
      <xdr:rowOff>419100</xdr:rowOff>
    </xdr:to>
    <xdr:pic>
      <xdr:nvPicPr>
        <xdr:cNvPr id="117584" name="Picture 107" descr="Elegant_3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952625" y="35726370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1787</xdr:row>
      <xdr:rowOff>28575</xdr:rowOff>
    </xdr:from>
    <xdr:to>
      <xdr:col>2</xdr:col>
      <xdr:colOff>504825</xdr:colOff>
      <xdr:row>1787</xdr:row>
      <xdr:rowOff>419100</xdr:rowOff>
    </xdr:to>
    <xdr:pic>
      <xdr:nvPicPr>
        <xdr:cNvPr id="117585" name="Picture 108" descr="Elegant_4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952625" y="35770185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1788</xdr:row>
      <xdr:rowOff>28575</xdr:rowOff>
    </xdr:from>
    <xdr:to>
      <xdr:col>2</xdr:col>
      <xdr:colOff>504825</xdr:colOff>
      <xdr:row>1788</xdr:row>
      <xdr:rowOff>419100</xdr:rowOff>
    </xdr:to>
    <xdr:pic>
      <xdr:nvPicPr>
        <xdr:cNvPr id="117586" name="Picture 109" descr="Elegant_5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952625" y="35814000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94</xdr:row>
      <xdr:rowOff>25853</xdr:rowOff>
    </xdr:from>
    <xdr:to>
      <xdr:col>2</xdr:col>
      <xdr:colOff>361950</xdr:colOff>
      <xdr:row>94</xdr:row>
      <xdr:rowOff>402771</xdr:rowOff>
    </xdr:to>
    <xdr:pic>
      <xdr:nvPicPr>
        <xdr:cNvPr id="117591" name="Picture 284" descr="Kupava_3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817914" y="17029339"/>
          <a:ext cx="171450" cy="3769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435428</xdr:colOff>
      <xdr:row>94</xdr:row>
      <xdr:rowOff>38101</xdr:rowOff>
    </xdr:from>
    <xdr:to>
      <xdr:col>2</xdr:col>
      <xdr:colOff>597353</xdr:colOff>
      <xdr:row>94</xdr:row>
      <xdr:rowOff>409576</xdr:rowOff>
    </xdr:to>
    <xdr:pic>
      <xdr:nvPicPr>
        <xdr:cNvPr id="117592" name="Picture 285" descr="Kupava_3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062842" y="17041587"/>
          <a:ext cx="161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95</xdr:row>
      <xdr:rowOff>38100</xdr:rowOff>
    </xdr:from>
    <xdr:to>
      <xdr:col>2</xdr:col>
      <xdr:colOff>361950</xdr:colOff>
      <xdr:row>95</xdr:row>
      <xdr:rowOff>409575</xdr:rowOff>
    </xdr:to>
    <xdr:pic>
      <xdr:nvPicPr>
        <xdr:cNvPr id="117593" name="Picture 286" descr="Kupava_4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828800" y="18354675"/>
          <a:ext cx="161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95</xdr:row>
      <xdr:rowOff>38100</xdr:rowOff>
    </xdr:from>
    <xdr:to>
      <xdr:col>2</xdr:col>
      <xdr:colOff>581025</xdr:colOff>
      <xdr:row>95</xdr:row>
      <xdr:rowOff>409575</xdr:rowOff>
    </xdr:to>
    <xdr:pic>
      <xdr:nvPicPr>
        <xdr:cNvPr id="117594" name="Picture 287" descr="Kupava_4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047875" y="18354675"/>
          <a:ext cx="161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168</xdr:row>
      <xdr:rowOff>47625</xdr:rowOff>
    </xdr:from>
    <xdr:to>
      <xdr:col>2</xdr:col>
      <xdr:colOff>361950</xdr:colOff>
      <xdr:row>168</xdr:row>
      <xdr:rowOff>400050</xdr:rowOff>
    </xdr:to>
    <xdr:pic>
      <xdr:nvPicPr>
        <xdr:cNvPr id="117608" name="Picture 338" descr="Geometriya_1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828800" y="59140725"/>
          <a:ext cx="1619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1859</xdr:row>
      <xdr:rowOff>28575</xdr:rowOff>
    </xdr:from>
    <xdr:to>
      <xdr:col>2</xdr:col>
      <xdr:colOff>514350</xdr:colOff>
      <xdr:row>1859</xdr:row>
      <xdr:rowOff>419100</xdr:rowOff>
    </xdr:to>
    <xdr:pic>
      <xdr:nvPicPr>
        <xdr:cNvPr id="117609" name="Picture 435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962150" y="37088445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1860</xdr:row>
      <xdr:rowOff>28575</xdr:rowOff>
    </xdr:from>
    <xdr:to>
      <xdr:col>2</xdr:col>
      <xdr:colOff>514350</xdr:colOff>
      <xdr:row>1860</xdr:row>
      <xdr:rowOff>419100</xdr:rowOff>
    </xdr:to>
    <xdr:pic>
      <xdr:nvPicPr>
        <xdr:cNvPr id="117610" name="Picture 436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962150" y="37132260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1861</xdr:row>
      <xdr:rowOff>19050</xdr:rowOff>
    </xdr:from>
    <xdr:to>
      <xdr:col>2</xdr:col>
      <xdr:colOff>514350</xdr:colOff>
      <xdr:row>1861</xdr:row>
      <xdr:rowOff>409575</xdr:rowOff>
    </xdr:to>
    <xdr:pic>
      <xdr:nvPicPr>
        <xdr:cNvPr id="117611" name="Picture 437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962150" y="37175122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1862</xdr:row>
      <xdr:rowOff>19050</xdr:rowOff>
    </xdr:from>
    <xdr:to>
      <xdr:col>2</xdr:col>
      <xdr:colOff>514350</xdr:colOff>
      <xdr:row>1862</xdr:row>
      <xdr:rowOff>409575</xdr:rowOff>
    </xdr:to>
    <xdr:pic>
      <xdr:nvPicPr>
        <xdr:cNvPr id="117612" name="Picture 438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62150" y="37218937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1863</xdr:row>
      <xdr:rowOff>19050</xdr:rowOff>
    </xdr:from>
    <xdr:to>
      <xdr:col>2</xdr:col>
      <xdr:colOff>514350</xdr:colOff>
      <xdr:row>1863</xdr:row>
      <xdr:rowOff>409575</xdr:rowOff>
    </xdr:to>
    <xdr:pic>
      <xdr:nvPicPr>
        <xdr:cNvPr id="117613" name="Picture 439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962150" y="37262752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352425</xdr:colOff>
      <xdr:row>1994</xdr:row>
      <xdr:rowOff>38100</xdr:rowOff>
    </xdr:from>
    <xdr:to>
      <xdr:col>2</xdr:col>
      <xdr:colOff>466725</xdr:colOff>
      <xdr:row>1994</xdr:row>
      <xdr:rowOff>419100</xdr:rowOff>
    </xdr:to>
    <xdr:pic>
      <xdr:nvPicPr>
        <xdr:cNvPr id="117614" name="Picture 468" descr="Dobor_A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981200" y="397211550"/>
          <a:ext cx="1143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352425</xdr:colOff>
      <xdr:row>1995</xdr:row>
      <xdr:rowOff>38100</xdr:rowOff>
    </xdr:from>
    <xdr:to>
      <xdr:col>2</xdr:col>
      <xdr:colOff>466725</xdr:colOff>
      <xdr:row>1995</xdr:row>
      <xdr:rowOff>419100</xdr:rowOff>
    </xdr:to>
    <xdr:pic>
      <xdr:nvPicPr>
        <xdr:cNvPr id="117615" name="Picture 469" descr="Dobor_B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981200" y="397649700"/>
          <a:ext cx="1143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297</xdr:row>
      <xdr:rowOff>38100</xdr:rowOff>
    </xdr:from>
    <xdr:to>
      <xdr:col>2</xdr:col>
      <xdr:colOff>361950</xdr:colOff>
      <xdr:row>297</xdr:row>
      <xdr:rowOff>419100</xdr:rowOff>
    </xdr:to>
    <xdr:pic>
      <xdr:nvPicPr>
        <xdr:cNvPr id="117616" name="Picture 509" descr="Idea_4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828800" y="89020650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297</xdr:row>
      <xdr:rowOff>38100</xdr:rowOff>
    </xdr:from>
    <xdr:to>
      <xdr:col>2</xdr:col>
      <xdr:colOff>581025</xdr:colOff>
      <xdr:row>297</xdr:row>
      <xdr:rowOff>419100</xdr:rowOff>
    </xdr:to>
    <xdr:pic>
      <xdr:nvPicPr>
        <xdr:cNvPr id="117617" name="Picture 510" descr="Idea_4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047875" y="89020650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298</xdr:row>
      <xdr:rowOff>19050</xdr:rowOff>
    </xdr:from>
    <xdr:to>
      <xdr:col>2</xdr:col>
      <xdr:colOff>381000</xdr:colOff>
      <xdr:row>298</xdr:row>
      <xdr:rowOff>419100</xdr:rowOff>
    </xdr:to>
    <xdr:pic>
      <xdr:nvPicPr>
        <xdr:cNvPr id="117618" name="Picture 513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828800" y="89439750"/>
          <a:ext cx="180975" cy="4000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298</xdr:row>
      <xdr:rowOff>28575</xdr:rowOff>
    </xdr:from>
    <xdr:to>
      <xdr:col>2</xdr:col>
      <xdr:colOff>590550</xdr:colOff>
      <xdr:row>298</xdr:row>
      <xdr:rowOff>419100</xdr:rowOff>
    </xdr:to>
    <xdr:pic>
      <xdr:nvPicPr>
        <xdr:cNvPr id="117619" name="Picture 514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047875" y="89449275"/>
          <a:ext cx="171450" cy="390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299</xdr:row>
      <xdr:rowOff>19050</xdr:rowOff>
    </xdr:from>
    <xdr:to>
      <xdr:col>2</xdr:col>
      <xdr:colOff>371475</xdr:colOff>
      <xdr:row>300</xdr:row>
      <xdr:rowOff>4676</xdr:rowOff>
    </xdr:to>
    <xdr:pic>
      <xdr:nvPicPr>
        <xdr:cNvPr id="117620" name="Picture 515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19275" y="89877900"/>
          <a:ext cx="180975" cy="4095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299</xdr:row>
      <xdr:rowOff>19050</xdr:rowOff>
    </xdr:from>
    <xdr:to>
      <xdr:col>2</xdr:col>
      <xdr:colOff>590550</xdr:colOff>
      <xdr:row>300</xdr:row>
      <xdr:rowOff>4676</xdr:rowOff>
    </xdr:to>
    <xdr:pic>
      <xdr:nvPicPr>
        <xdr:cNvPr id="117621" name="Picture 518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038350" y="89877900"/>
          <a:ext cx="180975" cy="4095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887</xdr:row>
      <xdr:rowOff>38100</xdr:rowOff>
    </xdr:from>
    <xdr:to>
      <xdr:col>2</xdr:col>
      <xdr:colOff>371475</xdr:colOff>
      <xdr:row>887</xdr:row>
      <xdr:rowOff>419100</xdr:rowOff>
    </xdr:to>
    <xdr:pic>
      <xdr:nvPicPr>
        <xdr:cNvPr id="117622" name="Picture 524" descr="Lada-Concept_3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38325" y="192986025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887</xdr:row>
      <xdr:rowOff>38100</xdr:rowOff>
    </xdr:from>
    <xdr:to>
      <xdr:col>2</xdr:col>
      <xdr:colOff>590550</xdr:colOff>
      <xdr:row>887</xdr:row>
      <xdr:rowOff>419100</xdr:rowOff>
    </xdr:to>
    <xdr:pic>
      <xdr:nvPicPr>
        <xdr:cNvPr id="117623" name="Picture 525" descr="Lada-Concept_3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047875" y="1929860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888</xdr:row>
      <xdr:rowOff>19050</xdr:rowOff>
    </xdr:from>
    <xdr:to>
      <xdr:col>2</xdr:col>
      <xdr:colOff>371475</xdr:colOff>
      <xdr:row>888</xdr:row>
      <xdr:rowOff>400050</xdr:rowOff>
    </xdr:to>
    <xdr:pic>
      <xdr:nvPicPr>
        <xdr:cNvPr id="117624" name="Picture 528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828800" y="193405125"/>
          <a:ext cx="171450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428625</xdr:colOff>
      <xdr:row>888</xdr:row>
      <xdr:rowOff>28575</xdr:rowOff>
    </xdr:from>
    <xdr:to>
      <xdr:col>2</xdr:col>
      <xdr:colOff>600075</xdr:colOff>
      <xdr:row>888</xdr:row>
      <xdr:rowOff>409575</xdr:rowOff>
    </xdr:to>
    <xdr:pic>
      <xdr:nvPicPr>
        <xdr:cNvPr id="117625" name="Picture 529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057400" y="193414650"/>
          <a:ext cx="171450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891</xdr:row>
      <xdr:rowOff>38100</xdr:rowOff>
    </xdr:from>
    <xdr:to>
      <xdr:col>2</xdr:col>
      <xdr:colOff>485775</xdr:colOff>
      <xdr:row>891</xdr:row>
      <xdr:rowOff>400050</xdr:rowOff>
    </xdr:to>
    <xdr:pic>
      <xdr:nvPicPr>
        <xdr:cNvPr id="117626" name="Picture 531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952625" y="194738625"/>
          <a:ext cx="161925" cy="361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969</xdr:row>
      <xdr:rowOff>38100</xdr:rowOff>
    </xdr:from>
    <xdr:to>
      <xdr:col>2</xdr:col>
      <xdr:colOff>514350</xdr:colOff>
      <xdr:row>970</xdr:row>
      <xdr:rowOff>4677</xdr:rowOff>
    </xdr:to>
    <xdr:pic>
      <xdr:nvPicPr>
        <xdr:cNvPr id="117627" name="Picture 541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962150" y="209473800"/>
          <a:ext cx="180975" cy="390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1712</xdr:row>
      <xdr:rowOff>47625</xdr:rowOff>
    </xdr:from>
    <xdr:to>
      <xdr:col>2</xdr:col>
      <xdr:colOff>495300</xdr:colOff>
      <xdr:row>1712</xdr:row>
      <xdr:rowOff>419100</xdr:rowOff>
    </xdr:to>
    <xdr:pic>
      <xdr:nvPicPr>
        <xdr:cNvPr id="117628" name="Picture 542" descr="Layn_6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952625" y="343642950"/>
          <a:ext cx="1714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1713</xdr:row>
      <xdr:rowOff>38100</xdr:rowOff>
    </xdr:from>
    <xdr:to>
      <xdr:col>2</xdr:col>
      <xdr:colOff>514350</xdr:colOff>
      <xdr:row>1713</xdr:row>
      <xdr:rowOff>419100</xdr:rowOff>
    </xdr:to>
    <xdr:pic>
      <xdr:nvPicPr>
        <xdr:cNvPr id="117629" name="Picture 543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962150" y="344071575"/>
          <a:ext cx="180975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1789</xdr:row>
      <xdr:rowOff>28575</xdr:rowOff>
    </xdr:from>
    <xdr:to>
      <xdr:col>2</xdr:col>
      <xdr:colOff>504825</xdr:colOff>
      <xdr:row>1789</xdr:row>
      <xdr:rowOff>419100</xdr:rowOff>
    </xdr:to>
    <xdr:pic>
      <xdr:nvPicPr>
        <xdr:cNvPr id="117630" name="Picture 544" descr="Elegant_6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952625" y="35857815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1790</xdr:row>
      <xdr:rowOff>38100</xdr:rowOff>
    </xdr:from>
    <xdr:to>
      <xdr:col>2</xdr:col>
      <xdr:colOff>485775</xdr:colOff>
      <xdr:row>1790</xdr:row>
      <xdr:rowOff>419100</xdr:rowOff>
    </xdr:to>
    <xdr:pic>
      <xdr:nvPicPr>
        <xdr:cNvPr id="117631" name="Picture 545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43100" y="359025825"/>
          <a:ext cx="171450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964</xdr:row>
      <xdr:rowOff>38100</xdr:rowOff>
    </xdr:from>
    <xdr:to>
      <xdr:col>2</xdr:col>
      <xdr:colOff>371475</xdr:colOff>
      <xdr:row>964</xdr:row>
      <xdr:rowOff>419100</xdr:rowOff>
    </xdr:to>
    <xdr:pic>
      <xdr:nvPicPr>
        <xdr:cNvPr id="117632" name="Picture 550" descr="Lada-Nova_4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838325" y="207283050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964</xdr:row>
      <xdr:rowOff>38100</xdr:rowOff>
    </xdr:from>
    <xdr:to>
      <xdr:col>2</xdr:col>
      <xdr:colOff>581025</xdr:colOff>
      <xdr:row>964</xdr:row>
      <xdr:rowOff>419100</xdr:rowOff>
    </xdr:to>
    <xdr:pic>
      <xdr:nvPicPr>
        <xdr:cNvPr id="117633" name="Picture 551" descr="Lada-Nova_4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047875" y="207283050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14</xdr:row>
      <xdr:rowOff>47625</xdr:rowOff>
    </xdr:from>
    <xdr:to>
      <xdr:col>2</xdr:col>
      <xdr:colOff>485775</xdr:colOff>
      <xdr:row>15</xdr:row>
      <xdr:rowOff>0</xdr:rowOff>
    </xdr:to>
    <xdr:pic>
      <xdr:nvPicPr>
        <xdr:cNvPr id="117634" name="Picture 589" descr="Standart_1A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943100" y="2019300"/>
          <a:ext cx="1714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15</xdr:row>
      <xdr:rowOff>38100</xdr:rowOff>
    </xdr:from>
    <xdr:to>
      <xdr:col>2</xdr:col>
      <xdr:colOff>485775</xdr:colOff>
      <xdr:row>15</xdr:row>
      <xdr:rowOff>400050</xdr:rowOff>
    </xdr:to>
    <xdr:pic>
      <xdr:nvPicPr>
        <xdr:cNvPr id="117635" name="Picture 590" descr="Standart_1B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943100" y="2447925"/>
          <a:ext cx="1714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16</xdr:row>
      <xdr:rowOff>38100</xdr:rowOff>
    </xdr:from>
    <xdr:to>
      <xdr:col>2</xdr:col>
      <xdr:colOff>485775</xdr:colOff>
      <xdr:row>16</xdr:row>
      <xdr:rowOff>400050</xdr:rowOff>
    </xdr:to>
    <xdr:pic>
      <xdr:nvPicPr>
        <xdr:cNvPr id="117636" name="Picture 591" descr="Standart_2A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943100" y="2886075"/>
          <a:ext cx="1714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17</xdr:row>
      <xdr:rowOff>38100</xdr:rowOff>
    </xdr:from>
    <xdr:to>
      <xdr:col>2</xdr:col>
      <xdr:colOff>485775</xdr:colOff>
      <xdr:row>17</xdr:row>
      <xdr:rowOff>400050</xdr:rowOff>
    </xdr:to>
    <xdr:pic>
      <xdr:nvPicPr>
        <xdr:cNvPr id="117637" name="Picture 592" descr="Standart_2B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943100" y="3324225"/>
          <a:ext cx="1714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18</xdr:row>
      <xdr:rowOff>47625</xdr:rowOff>
    </xdr:from>
    <xdr:to>
      <xdr:col>2</xdr:col>
      <xdr:colOff>361950</xdr:colOff>
      <xdr:row>18</xdr:row>
      <xdr:rowOff>419100</xdr:rowOff>
    </xdr:to>
    <xdr:pic>
      <xdr:nvPicPr>
        <xdr:cNvPr id="117638" name="Picture 593" descr="Standart_3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828800" y="3771900"/>
          <a:ext cx="161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18</xdr:row>
      <xdr:rowOff>47625</xdr:rowOff>
    </xdr:from>
    <xdr:to>
      <xdr:col>2</xdr:col>
      <xdr:colOff>561975</xdr:colOff>
      <xdr:row>18</xdr:row>
      <xdr:rowOff>419100</xdr:rowOff>
    </xdr:to>
    <xdr:pic>
      <xdr:nvPicPr>
        <xdr:cNvPr id="117639" name="Picture 594" descr="Standart_3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2028825" y="3771900"/>
          <a:ext cx="161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19</xdr:row>
      <xdr:rowOff>57150</xdr:rowOff>
    </xdr:from>
    <xdr:to>
      <xdr:col>2</xdr:col>
      <xdr:colOff>342900</xdr:colOff>
      <xdr:row>19</xdr:row>
      <xdr:rowOff>419100</xdr:rowOff>
    </xdr:to>
    <xdr:pic>
      <xdr:nvPicPr>
        <xdr:cNvPr id="117640" name="Picture 595" descr="Standart_4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819275" y="4219575"/>
          <a:ext cx="1524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19</xdr:row>
      <xdr:rowOff>57150</xdr:rowOff>
    </xdr:from>
    <xdr:to>
      <xdr:col>2</xdr:col>
      <xdr:colOff>561975</xdr:colOff>
      <xdr:row>19</xdr:row>
      <xdr:rowOff>419100</xdr:rowOff>
    </xdr:to>
    <xdr:pic>
      <xdr:nvPicPr>
        <xdr:cNvPr id="117641" name="Picture 596" descr="Standart_4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2028825" y="4219575"/>
          <a:ext cx="1619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2059</xdr:row>
      <xdr:rowOff>38100</xdr:rowOff>
    </xdr:from>
    <xdr:to>
      <xdr:col>2</xdr:col>
      <xdr:colOff>609600</xdr:colOff>
      <xdr:row>2060</xdr:row>
      <xdr:rowOff>1601</xdr:rowOff>
    </xdr:to>
    <xdr:pic>
      <xdr:nvPicPr>
        <xdr:cNvPr id="117642" name="Picture 607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800225" y="409003500"/>
          <a:ext cx="438150" cy="4000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2121</xdr:row>
      <xdr:rowOff>47625</xdr:rowOff>
    </xdr:from>
    <xdr:to>
      <xdr:col>2</xdr:col>
      <xdr:colOff>609600</xdr:colOff>
      <xdr:row>2122</xdr:row>
      <xdr:rowOff>0</xdr:rowOff>
    </xdr:to>
    <xdr:pic>
      <xdr:nvPicPr>
        <xdr:cNvPr id="117643" name="Picture 609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828800" y="420785925"/>
          <a:ext cx="4095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2125</xdr:row>
      <xdr:rowOff>38100</xdr:rowOff>
    </xdr:from>
    <xdr:to>
      <xdr:col>2</xdr:col>
      <xdr:colOff>619125</xdr:colOff>
      <xdr:row>2125</xdr:row>
      <xdr:rowOff>400050</xdr:rowOff>
    </xdr:to>
    <xdr:pic>
      <xdr:nvPicPr>
        <xdr:cNvPr id="117644" name="Picture 613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809750" y="422405175"/>
          <a:ext cx="438150" cy="361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2124</xdr:row>
      <xdr:rowOff>47625</xdr:rowOff>
    </xdr:from>
    <xdr:to>
      <xdr:col>2</xdr:col>
      <xdr:colOff>638175</xdr:colOff>
      <xdr:row>2124</xdr:row>
      <xdr:rowOff>419100</xdr:rowOff>
    </xdr:to>
    <xdr:pic>
      <xdr:nvPicPr>
        <xdr:cNvPr id="117645" name="Picture 616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781175" y="421976550"/>
          <a:ext cx="485775" cy="3714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2186</xdr:row>
      <xdr:rowOff>66675</xdr:rowOff>
    </xdr:from>
    <xdr:to>
      <xdr:col>2</xdr:col>
      <xdr:colOff>676275</xdr:colOff>
      <xdr:row>2190</xdr:row>
      <xdr:rowOff>142875</xdr:rowOff>
    </xdr:to>
    <xdr:pic>
      <xdr:nvPicPr>
        <xdr:cNvPr id="117646" name="Picture 618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743075" y="433606575"/>
          <a:ext cx="561975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1333500</xdr:colOff>
      <xdr:row>2534</xdr:row>
      <xdr:rowOff>57150</xdr:rowOff>
    </xdr:from>
    <xdr:to>
      <xdr:col>2</xdr:col>
      <xdr:colOff>676275</xdr:colOff>
      <xdr:row>2534</xdr:row>
      <xdr:rowOff>419100</xdr:rowOff>
    </xdr:to>
    <xdr:pic>
      <xdr:nvPicPr>
        <xdr:cNvPr id="117647" name="Picture 620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400175" y="497938425"/>
          <a:ext cx="9048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2457</xdr:row>
      <xdr:rowOff>85725</xdr:rowOff>
    </xdr:from>
    <xdr:to>
      <xdr:col>2</xdr:col>
      <xdr:colOff>771525</xdr:colOff>
      <xdr:row>2457</xdr:row>
      <xdr:rowOff>333375</xdr:rowOff>
    </xdr:to>
    <xdr:pic>
      <xdr:nvPicPr>
        <xdr:cNvPr id="117648" name="Picture 638" descr="111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647825" y="483765225"/>
          <a:ext cx="7524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2459</xdr:row>
      <xdr:rowOff>47625</xdr:rowOff>
    </xdr:from>
    <xdr:to>
      <xdr:col>2</xdr:col>
      <xdr:colOff>676275</xdr:colOff>
      <xdr:row>2467</xdr:row>
      <xdr:rowOff>133351</xdr:rowOff>
    </xdr:to>
    <xdr:pic>
      <xdr:nvPicPr>
        <xdr:cNvPr id="117649" name="Picture 639" descr="2222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733550" y="484479600"/>
          <a:ext cx="571500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2591</xdr:row>
      <xdr:rowOff>19050</xdr:rowOff>
    </xdr:from>
    <xdr:to>
      <xdr:col>2</xdr:col>
      <xdr:colOff>685800</xdr:colOff>
      <xdr:row>2592</xdr:row>
      <xdr:rowOff>2</xdr:rowOff>
    </xdr:to>
    <xdr:pic>
      <xdr:nvPicPr>
        <xdr:cNvPr id="117650" name="Picture 640" descr="111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895475" y="509225550"/>
          <a:ext cx="4191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2592</xdr:row>
      <xdr:rowOff>38100</xdr:rowOff>
    </xdr:from>
    <xdr:to>
      <xdr:col>2</xdr:col>
      <xdr:colOff>657225</xdr:colOff>
      <xdr:row>2592</xdr:row>
      <xdr:rowOff>409575</xdr:rowOff>
    </xdr:to>
    <xdr:pic>
      <xdr:nvPicPr>
        <xdr:cNvPr id="117651" name="Picture 641" descr="222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924050" y="509682750"/>
          <a:ext cx="3619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2593</xdr:row>
      <xdr:rowOff>57150</xdr:rowOff>
    </xdr:from>
    <xdr:to>
      <xdr:col>2</xdr:col>
      <xdr:colOff>619125</xdr:colOff>
      <xdr:row>2593</xdr:row>
      <xdr:rowOff>390525</xdr:rowOff>
    </xdr:to>
    <xdr:pic>
      <xdr:nvPicPr>
        <xdr:cNvPr id="117652" name="Picture 642" descr="7b6d420211dc05624fdfc06bef8941cc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2009775" y="510578100"/>
          <a:ext cx="2381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2594</xdr:row>
      <xdr:rowOff>38100</xdr:rowOff>
    </xdr:from>
    <xdr:to>
      <xdr:col>2</xdr:col>
      <xdr:colOff>704850</xdr:colOff>
      <xdr:row>2594</xdr:row>
      <xdr:rowOff>390525</xdr:rowOff>
    </xdr:to>
    <xdr:pic>
      <xdr:nvPicPr>
        <xdr:cNvPr id="117653" name="Picture 643" descr="2330865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1885950" y="511435350"/>
          <a:ext cx="44767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889</xdr:row>
      <xdr:rowOff>38100</xdr:rowOff>
    </xdr:from>
    <xdr:to>
      <xdr:col>2</xdr:col>
      <xdr:colOff>495300</xdr:colOff>
      <xdr:row>889</xdr:row>
      <xdr:rowOff>400050</xdr:rowOff>
    </xdr:to>
    <xdr:pic>
      <xdr:nvPicPr>
        <xdr:cNvPr id="117655" name="Picture 681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962150" y="193862325"/>
          <a:ext cx="161925" cy="361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890</xdr:row>
      <xdr:rowOff>38100</xdr:rowOff>
    </xdr:from>
    <xdr:to>
      <xdr:col>2</xdr:col>
      <xdr:colOff>495300</xdr:colOff>
      <xdr:row>890</xdr:row>
      <xdr:rowOff>400050</xdr:rowOff>
    </xdr:to>
    <xdr:pic>
      <xdr:nvPicPr>
        <xdr:cNvPr id="117656" name="Picture 685" descr="Lada-Concept_5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962150" y="194300475"/>
          <a:ext cx="1619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967</xdr:row>
      <xdr:rowOff>38100</xdr:rowOff>
    </xdr:from>
    <xdr:to>
      <xdr:col>2</xdr:col>
      <xdr:colOff>495300</xdr:colOff>
      <xdr:row>967</xdr:row>
      <xdr:rowOff>400050</xdr:rowOff>
    </xdr:to>
    <xdr:pic>
      <xdr:nvPicPr>
        <xdr:cNvPr id="117657" name="Picture 692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962150" y="208597500"/>
          <a:ext cx="161925" cy="361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968</xdr:row>
      <xdr:rowOff>57150</xdr:rowOff>
    </xdr:from>
    <xdr:to>
      <xdr:col>2</xdr:col>
      <xdr:colOff>485775</xdr:colOff>
      <xdr:row>968</xdr:row>
      <xdr:rowOff>400050</xdr:rowOff>
    </xdr:to>
    <xdr:pic>
      <xdr:nvPicPr>
        <xdr:cNvPr id="117658" name="Picture 696" descr="Lada-Nova_7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962150" y="209054700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965</xdr:row>
      <xdr:rowOff>47625</xdr:rowOff>
    </xdr:from>
    <xdr:to>
      <xdr:col>2</xdr:col>
      <xdr:colOff>495300</xdr:colOff>
      <xdr:row>965</xdr:row>
      <xdr:rowOff>390525</xdr:rowOff>
    </xdr:to>
    <xdr:pic>
      <xdr:nvPicPr>
        <xdr:cNvPr id="117659" name="Picture 697" descr="Lada-Nova_6a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971675" y="2077307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966</xdr:row>
      <xdr:rowOff>57150</xdr:rowOff>
    </xdr:from>
    <xdr:to>
      <xdr:col>2</xdr:col>
      <xdr:colOff>485775</xdr:colOff>
      <xdr:row>966</xdr:row>
      <xdr:rowOff>400050</xdr:rowOff>
    </xdr:to>
    <xdr:pic>
      <xdr:nvPicPr>
        <xdr:cNvPr id="117660" name="Picture 701" descr="Lada-Nova_6a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1962150" y="208178400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2258</xdr:row>
      <xdr:rowOff>66675</xdr:rowOff>
    </xdr:from>
    <xdr:to>
      <xdr:col>2</xdr:col>
      <xdr:colOff>676275</xdr:colOff>
      <xdr:row>2262</xdr:row>
      <xdr:rowOff>142874</xdr:rowOff>
    </xdr:to>
    <xdr:pic>
      <xdr:nvPicPr>
        <xdr:cNvPr id="117661" name="Picture 728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743075" y="446989200"/>
          <a:ext cx="561975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2326</xdr:row>
      <xdr:rowOff>66675</xdr:rowOff>
    </xdr:from>
    <xdr:to>
      <xdr:col>2</xdr:col>
      <xdr:colOff>676275</xdr:colOff>
      <xdr:row>2330</xdr:row>
      <xdr:rowOff>142876</xdr:rowOff>
    </xdr:to>
    <xdr:pic>
      <xdr:nvPicPr>
        <xdr:cNvPr id="117662" name="Picture 732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743075" y="458743050"/>
          <a:ext cx="561975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0</xdr:row>
      <xdr:rowOff>133350</xdr:rowOff>
    </xdr:from>
    <xdr:to>
      <xdr:col>2</xdr:col>
      <xdr:colOff>219075</xdr:colOff>
      <xdr:row>4</xdr:row>
      <xdr:rowOff>85725</xdr:rowOff>
    </xdr:to>
    <xdr:pic>
      <xdr:nvPicPr>
        <xdr:cNvPr id="117664" name="Picture 383" descr="123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 t="6827"/>
        <a:stretch>
          <a:fillRect/>
        </a:stretch>
      </xdr:blipFill>
      <xdr:spPr bwMode="auto">
        <a:xfrm>
          <a:off x="85725" y="133350"/>
          <a:ext cx="176212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1115</xdr:row>
      <xdr:rowOff>0</xdr:rowOff>
    </xdr:from>
    <xdr:to>
      <xdr:col>2</xdr:col>
      <xdr:colOff>428625</xdr:colOff>
      <xdr:row>1116</xdr:row>
      <xdr:rowOff>7014</xdr:rowOff>
    </xdr:to>
    <xdr:pic>
      <xdr:nvPicPr>
        <xdr:cNvPr id="117665" name="Рисунок 191" descr="Loft 1_0_401.png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1743075" y="234724575"/>
          <a:ext cx="314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371475</xdr:colOff>
      <xdr:row>1114</xdr:row>
      <xdr:rowOff>152400</xdr:rowOff>
    </xdr:from>
    <xdr:to>
      <xdr:col>2</xdr:col>
      <xdr:colOff>685800</xdr:colOff>
      <xdr:row>1116</xdr:row>
      <xdr:rowOff>2470</xdr:rowOff>
    </xdr:to>
    <xdr:pic>
      <xdr:nvPicPr>
        <xdr:cNvPr id="117666" name="Рисунок 192" descr="Loft 1_1_401.png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2000250" y="234715050"/>
          <a:ext cx="3143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1116</xdr:row>
      <xdr:rowOff>9525</xdr:rowOff>
    </xdr:from>
    <xdr:to>
      <xdr:col>2</xdr:col>
      <xdr:colOff>438150</xdr:colOff>
      <xdr:row>1117</xdr:row>
      <xdr:rowOff>3</xdr:rowOff>
    </xdr:to>
    <xdr:pic>
      <xdr:nvPicPr>
        <xdr:cNvPr id="117667" name="Рисунок 195" descr="Loft 3_0_401.png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752600" y="235172250"/>
          <a:ext cx="314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390525</xdr:colOff>
      <xdr:row>1116</xdr:row>
      <xdr:rowOff>19050</xdr:rowOff>
    </xdr:from>
    <xdr:to>
      <xdr:col>2</xdr:col>
      <xdr:colOff>704850</xdr:colOff>
      <xdr:row>1117</xdr:row>
      <xdr:rowOff>9528</xdr:rowOff>
    </xdr:to>
    <xdr:pic>
      <xdr:nvPicPr>
        <xdr:cNvPr id="117668" name="Рисунок 196" descr="Loft 3_1_401.png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2019300" y="235181775"/>
          <a:ext cx="314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1117</xdr:row>
      <xdr:rowOff>19050</xdr:rowOff>
    </xdr:from>
    <xdr:to>
      <xdr:col>2</xdr:col>
      <xdr:colOff>428625</xdr:colOff>
      <xdr:row>1118</xdr:row>
      <xdr:rowOff>0</xdr:rowOff>
    </xdr:to>
    <xdr:pic>
      <xdr:nvPicPr>
        <xdr:cNvPr id="117669" name="Рисунок 197" descr="Loft 4_0_401.png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1743075" y="235619925"/>
          <a:ext cx="3143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390525</xdr:colOff>
      <xdr:row>1117</xdr:row>
      <xdr:rowOff>9525</xdr:rowOff>
    </xdr:from>
    <xdr:to>
      <xdr:col>2</xdr:col>
      <xdr:colOff>695325</xdr:colOff>
      <xdr:row>1118</xdr:row>
      <xdr:rowOff>0</xdr:rowOff>
    </xdr:to>
    <xdr:pic>
      <xdr:nvPicPr>
        <xdr:cNvPr id="117670" name="Рисунок 198" descr="Loft 4_1_401.png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2019300" y="235610400"/>
          <a:ext cx="3048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1118</xdr:row>
      <xdr:rowOff>9525</xdr:rowOff>
    </xdr:from>
    <xdr:to>
      <xdr:col>2</xdr:col>
      <xdr:colOff>428625</xdr:colOff>
      <xdr:row>1119</xdr:row>
      <xdr:rowOff>9525</xdr:rowOff>
    </xdr:to>
    <xdr:pic>
      <xdr:nvPicPr>
        <xdr:cNvPr id="117671" name="Рисунок 199" descr="Loft 5_0_401.png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743075" y="236048550"/>
          <a:ext cx="3143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390525</xdr:colOff>
      <xdr:row>1118</xdr:row>
      <xdr:rowOff>0</xdr:rowOff>
    </xdr:from>
    <xdr:to>
      <xdr:col>2</xdr:col>
      <xdr:colOff>704850</xdr:colOff>
      <xdr:row>1119</xdr:row>
      <xdr:rowOff>0</xdr:rowOff>
    </xdr:to>
    <xdr:pic>
      <xdr:nvPicPr>
        <xdr:cNvPr id="117672" name="Рисунок 200" descr="Loft 5_1_401.png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2019300" y="236039025"/>
          <a:ext cx="3143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1119</xdr:row>
      <xdr:rowOff>0</xdr:rowOff>
    </xdr:from>
    <xdr:to>
      <xdr:col>2</xdr:col>
      <xdr:colOff>428625</xdr:colOff>
      <xdr:row>1120</xdr:row>
      <xdr:rowOff>7015</xdr:rowOff>
    </xdr:to>
    <xdr:pic>
      <xdr:nvPicPr>
        <xdr:cNvPr id="117673" name="Рисунок 201" descr="Loft 6_0_401.png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1743075" y="236477175"/>
          <a:ext cx="314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1119</xdr:row>
      <xdr:rowOff>9525</xdr:rowOff>
    </xdr:from>
    <xdr:to>
      <xdr:col>2</xdr:col>
      <xdr:colOff>695325</xdr:colOff>
      <xdr:row>1120</xdr:row>
      <xdr:rowOff>1599</xdr:rowOff>
    </xdr:to>
    <xdr:pic>
      <xdr:nvPicPr>
        <xdr:cNvPr id="117674" name="Рисунок 202" descr="Loft 6_1_401.png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2009775" y="236486700"/>
          <a:ext cx="314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2198</xdr:row>
      <xdr:rowOff>66675</xdr:rowOff>
    </xdr:from>
    <xdr:to>
      <xdr:col>2</xdr:col>
      <xdr:colOff>771525</xdr:colOff>
      <xdr:row>2198</xdr:row>
      <xdr:rowOff>381000</xdr:rowOff>
    </xdr:to>
    <xdr:pic>
      <xdr:nvPicPr>
        <xdr:cNvPr id="117675" name="Picture 637" descr="asdfadsfadsf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657350" y="435978300"/>
          <a:ext cx="7429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2122</xdr:row>
      <xdr:rowOff>47625</xdr:rowOff>
    </xdr:from>
    <xdr:to>
      <xdr:col>2</xdr:col>
      <xdr:colOff>609600</xdr:colOff>
      <xdr:row>2123</xdr:row>
      <xdr:rowOff>2</xdr:rowOff>
    </xdr:to>
    <xdr:pic>
      <xdr:nvPicPr>
        <xdr:cNvPr id="117676" name="Picture 609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828800" y="421224075"/>
          <a:ext cx="4095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1487</xdr:row>
      <xdr:rowOff>19050</xdr:rowOff>
    </xdr:from>
    <xdr:to>
      <xdr:col>2</xdr:col>
      <xdr:colOff>342900</xdr:colOff>
      <xdr:row>1487</xdr:row>
      <xdr:rowOff>400050</xdr:rowOff>
    </xdr:to>
    <xdr:pic>
      <xdr:nvPicPr>
        <xdr:cNvPr id="117677" name="Рисунок 218" descr="Модерн 3A.1_401.png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800225" y="3021901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2338</xdr:row>
      <xdr:rowOff>66675</xdr:rowOff>
    </xdr:from>
    <xdr:to>
      <xdr:col>2</xdr:col>
      <xdr:colOff>771525</xdr:colOff>
      <xdr:row>2338</xdr:row>
      <xdr:rowOff>381000</xdr:rowOff>
    </xdr:to>
    <xdr:pic>
      <xdr:nvPicPr>
        <xdr:cNvPr id="117678" name="Picture 637" descr="asdfadsfadsf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657350" y="461114775"/>
          <a:ext cx="7429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2126</xdr:row>
      <xdr:rowOff>38100</xdr:rowOff>
    </xdr:from>
    <xdr:to>
      <xdr:col>2</xdr:col>
      <xdr:colOff>619125</xdr:colOff>
      <xdr:row>2126</xdr:row>
      <xdr:rowOff>400050</xdr:rowOff>
    </xdr:to>
    <xdr:pic>
      <xdr:nvPicPr>
        <xdr:cNvPr id="117679" name="Picture 613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809750" y="422843325"/>
          <a:ext cx="438150" cy="361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2398</xdr:row>
      <xdr:rowOff>142875</xdr:rowOff>
    </xdr:from>
    <xdr:to>
      <xdr:col>2</xdr:col>
      <xdr:colOff>695325</xdr:colOff>
      <xdr:row>2399</xdr:row>
      <xdr:rowOff>238126</xdr:rowOff>
    </xdr:to>
    <xdr:pic>
      <xdr:nvPicPr>
        <xdr:cNvPr id="117680" name="Picture 609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762125" y="472544775"/>
          <a:ext cx="5619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1484</xdr:row>
      <xdr:rowOff>171450</xdr:rowOff>
    </xdr:from>
    <xdr:to>
      <xdr:col>2</xdr:col>
      <xdr:colOff>466725</xdr:colOff>
      <xdr:row>1486</xdr:row>
      <xdr:rowOff>0</xdr:rowOff>
    </xdr:to>
    <xdr:pic>
      <xdr:nvPicPr>
        <xdr:cNvPr id="117681" name="Рисунок 216" descr="Modern 1.0_401.png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647825" y="301294800"/>
          <a:ext cx="4476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1484</xdr:row>
      <xdr:rowOff>180975</xdr:rowOff>
    </xdr:from>
    <xdr:to>
      <xdr:col>2</xdr:col>
      <xdr:colOff>752475</xdr:colOff>
      <xdr:row>1486</xdr:row>
      <xdr:rowOff>0</xdr:rowOff>
    </xdr:to>
    <xdr:pic>
      <xdr:nvPicPr>
        <xdr:cNvPr id="117682" name="Рисунок 217" descr="Modern 1.1_401.png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933575" y="301294800"/>
          <a:ext cx="4476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1486</xdr:row>
      <xdr:rowOff>0</xdr:rowOff>
    </xdr:from>
    <xdr:to>
      <xdr:col>2</xdr:col>
      <xdr:colOff>476250</xdr:colOff>
      <xdr:row>1487</xdr:row>
      <xdr:rowOff>9527</xdr:rowOff>
    </xdr:to>
    <xdr:pic>
      <xdr:nvPicPr>
        <xdr:cNvPr id="117683" name="Рисунок 218" descr="Modern 3.0_401.png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657350" y="30173295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1486</xdr:row>
      <xdr:rowOff>0</xdr:rowOff>
    </xdr:from>
    <xdr:to>
      <xdr:col>2</xdr:col>
      <xdr:colOff>762000</xdr:colOff>
      <xdr:row>1487</xdr:row>
      <xdr:rowOff>2</xdr:rowOff>
    </xdr:to>
    <xdr:pic>
      <xdr:nvPicPr>
        <xdr:cNvPr id="117684" name="Рисунок 221" descr="Modern 3.3_401.png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943100" y="301732950"/>
          <a:ext cx="4476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1487</xdr:row>
      <xdr:rowOff>0</xdr:rowOff>
    </xdr:from>
    <xdr:to>
      <xdr:col>2</xdr:col>
      <xdr:colOff>762000</xdr:colOff>
      <xdr:row>1488</xdr:row>
      <xdr:rowOff>6802</xdr:rowOff>
    </xdr:to>
    <xdr:pic>
      <xdr:nvPicPr>
        <xdr:cNvPr id="117685" name="Рисунок 222" descr="Modern 3A.2_401.png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952625" y="302171100"/>
          <a:ext cx="4381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448</xdr:row>
      <xdr:rowOff>19050</xdr:rowOff>
    </xdr:from>
    <xdr:to>
      <xdr:col>2</xdr:col>
      <xdr:colOff>314325</xdr:colOff>
      <xdr:row>448</xdr:row>
      <xdr:rowOff>400050</xdr:rowOff>
    </xdr:to>
    <xdr:pic>
      <xdr:nvPicPr>
        <xdr:cNvPr id="117686" name="Рисунок 223" descr="Lada 2A.0.png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771650" y="11490007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448</xdr:row>
      <xdr:rowOff>28575</xdr:rowOff>
    </xdr:from>
    <xdr:to>
      <xdr:col>2</xdr:col>
      <xdr:colOff>581025</xdr:colOff>
      <xdr:row>448</xdr:row>
      <xdr:rowOff>409575</xdr:rowOff>
    </xdr:to>
    <xdr:pic>
      <xdr:nvPicPr>
        <xdr:cNvPr id="117687" name="Рисунок 224" descr="Lada 2A.1.png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2038350" y="1149096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449</xdr:row>
      <xdr:rowOff>38100</xdr:rowOff>
    </xdr:from>
    <xdr:to>
      <xdr:col>2</xdr:col>
      <xdr:colOff>304800</xdr:colOff>
      <xdr:row>449</xdr:row>
      <xdr:rowOff>419100</xdr:rowOff>
    </xdr:to>
    <xdr:pic>
      <xdr:nvPicPr>
        <xdr:cNvPr id="117688" name="Рисунок 225" descr="Lada 3A.0.png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762125" y="11535727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449</xdr:row>
      <xdr:rowOff>28575</xdr:rowOff>
    </xdr:from>
    <xdr:to>
      <xdr:col>2</xdr:col>
      <xdr:colOff>581025</xdr:colOff>
      <xdr:row>449</xdr:row>
      <xdr:rowOff>409575</xdr:rowOff>
    </xdr:to>
    <xdr:pic>
      <xdr:nvPicPr>
        <xdr:cNvPr id="117689" name="Рисунок 226" descr="Lada 3A.2.png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2038350" y="1153477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450</xdr:row>
      <xdr:rowOff>28575</xdr:rowOff>
    </xdr:from>
    <xdr:to>
      <xdr:col>2</xdr:col>
      <xdr:colOff>295275</xdr:colOff>
      <xdr:row>450</xdr:row>
      <xdr:rowOff>409575</xdr:rowOff>
    </xdr:to>
    <xdr:pic>
      <xdr:nvPicPr>
        <xdr:cNvPr id="117690" name="Рисунок 227" descr="Lada 8.0.png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1752600" y="1157859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450</xdr:row>
      <xdr:rowOff>28575</xdr:rowOff>
    </xdr:from>
    <xdr:to>
      <xdr:col>2</xdr:col>
      <xdr:colOff>581025</xdr:colOff>
      <xdr:row>450</xdr:row>
      <xdr:rowOff>409575</xdr:rowOff>
    </xdr:to>
    <xdr:pic>
      <xdr:nvPicPr>
        <xdr:cNvPr id="117691" name="Рисунок 228" descr="Lada 8.5.png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2047875" y="115785900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521</xdr:row>
      <xdr:rowOff>28575</xdr:rowOff>
    </xdr:from>
    <xdr:to>
      <xdr:col>2</xdr:col>
      <xdr:colOff>333375</xdr:colOff>
      <xdr:row>521</xdr:row>
      <xdr:rowOff>419100</xdr:rowOff>
    </xdr:to>
    <xdr:pic>
      <xdr:nvPicPr>
        <xdr:cNvPr id="117692" name="Рисунок 229" descr="Lada 1.0.png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1790700" y="128130300"/>
          <a:ext cx="1714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521</xdr:row>
      <xdr:rowOff>28575</xdr:rowOff>
    </xdr:from>
    <xdr:to>
      <xdr:col>2</xdr:col>
      <xdr:colOff>590550</xdr:colOff>
      <xdr:row>521</xdr:row>
      <xdr:rowOff>409575</xdr:rowOff>
    </xdr:to>
    <xdr:pic>
      <xdr:nvPicPr>
        <xdr:cNvPr id="117693" name="Рисунок 230" descr="Lada 1.3.png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2047875" y="1281303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522</xdr:row>
      <xdr:rowOff>38100</xdr:rowOff>
    </xdr:from>
    <xdr:to>
      <xdr:col>2</xdr:col>
      <xdr:colOff>333375</xdr:colOff>
      <xdr:row>522</xdr:row>
      <xdr:rowOff>419100</xdr:rowOff>
    </xdr:to>
    <xdr:pic>
      <xdr:nvPicPr>
        <xdr:cNvPr id="117694" name="Рисунок 231" descr="Lada 2.0.png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1790700" y="12857797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522</xdr:row>
      <xdr:rowOff>28575</xdr:rowOff>
    </xdr:from>
    <xdr:to>
      <xdr:col>2</xdr:col>
      <xdr:colOff>590550</xdr:colOff>
      <xdr:row>522</xdr:row>
      <xdr:rowOff>409575</xdr:rowOff>
    </xdr:to>
    <xdr:pic>
      <xdr:nvPicPr>
        <xdr:cNvPr id="117695" name="Рисунок 232" descr="Lada 2.2.png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2047875" y="1285684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523</xdr:row>
      <xdr:rowOff>28575</xdr:rowOff>
    </xdr:from>
    <xdr:to>
      <xdr:col>2</xdr:col>
      <xdr:colOff>323850</xdr:colOff>
      <xdr:row>523</xdr:row>
      <xdr:rowOff>409575</xdr:rowOff>
    </xdr:to>
    <xdr:pic>
      <xdr:nvPicPr>
        <xdr:cNvPr id="117696" name="Рисунок 233" descr="Lada 3.0.png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1781175" y="1290066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523</xdr:row>
      <xdr:rowOff>38100</xdr:rowOff>
    </xdr:from>
    <xdr:to>
      <xdr:col>2</xdr:col>
      <xdr:colOff>590550</xdr:colOff>
      <xdr:row>523</xdr:row>
      <xdr:rowOff>419100</xdr:rowOff>
    </xdr:to>
    <xdr:pic>
      <xdr:nvPicPr>
        <xdr:cNvPr id="117697" name="Рисунок 234" descr="Lada 3.5.png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2047875" y="1290161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595</xdr:row>
      <xdr:rowOff>28575</xdr:rowOff>
    </xdr:from>
    <xdr:to>
      <xdr:col>2</xdr:col>
      <xdr:colOff>342900</xdr:colOff>
      <xdr:row>595</xdr:row>
      <xdr:rowOff>409575</xdr:rowOff>
    </xdr:to>
    <xdr:pic>
      <xdr:nvPicPr>
        <xdr:cNvPr id="117698" name="Рисунок 235" descr="Lada 4.0.png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1800225" y="1413510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438150</xdr:colOff>
      <xdr:row>596</xdr:row>
      <xdr:rowOff>28575</xdr:rowOff>
    </xdr:from>
    <xdr:to>
      <xdr:col>2</xdr:col>
      <xdr:colOff>609600</xdr:colOff>
      <xdr:row>596</xdr:row>
      <xdr:rowOff>409575</xdr:rowOff>
    </xdr:to>
    <xdr:pic>
      <xdr:nvPicPr>
        <xdr:cNvPr id="117699" name="Рисунок 236" descr="Lada 4.8.png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2066925" y="1417891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596</xdr:row>
      <xdr:rowOff>28575</xdr:rowOff>
    </xdr:from>
    <xdr:to>
      <xdr:col>2</xdr:col>
      <xdr:colOff>342900</xdr:colOff>
      <xdr:row>596</xdr:row>
      <xdr:rowOff>409575</xdr:rowOff>
    </xdr:to>
    <xdr:pic>
      <xdr:nvPicPr>
        <xdr:cNvPr id="117700" name="Рисунок 237" descr="Lada 5.0.png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1800225" y="1417891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595</xdr:row>
      <xdr:rowOff>38100</xdr:rowOff>
    </xdr:from>
    <xdr:to>
      <xdr:col>2</xdr:col>
      <xdr:colOff>619125</xdr:colOff>
      <xdr:row>595</xdr:row>
      <xdr:rowOff>419100</xdr:rowOff>
    </xdr:to>
    <xdr:pic>
      <xdr:nvPicPr>
        <xdr:cNvPr id="117701" name="Рисунок 238" descr="Lada 5.6.png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2076450" y="1413605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667</xdr:row>
      <xdr:rowOff>28575</xdr:rowOff>
    </xdr:from>
    <xdr:to>
      <xdr:col>2</xdr:col>
      <xdr:colOff>342900</xdr:colOff>
      <xdr:row>667</xdr:row>
      <xdr:rowOff>409575</xdr:rowOff>
    </xdr:to>
    <xdr:pic>
      <xdr:nvPicPr>
        <xdr:cNvPr id="117702" name="Рисунок 239" descr="Lada 6.0.png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1800225" y="1541335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667</xdr:row>
      <xdr:rowOff>28575</xdr:rowOff>
    </xdr:from>
    <xdr:to>
      <xdr:col>2</xdr:col>
      <xdr:colOff>590550</xdr:colOff>
      <xdr:row>667</xdr:row>
      <xdr:rowOff>409575</xdr:rowOff>
    </xdr:to>
    <xdr:pic>
      <xdr:nvPicPr>
        <xdr:cNvPr id="117703" name="Рисунок 240" descr="Lada 6.4.png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2047875" y="1541335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668</xdr:row>
      <xdr:rowOff>28575</xdr:rowOff>
    </xdr:from>
    <xdr:to>
      <xdr:col>2</xdr:col>
      <xdr:colOff>342900</xdr:colOff>
      <xdr:row>668</xdr:row>
      <xdr:rowOff>409575</xdr:rowOff>
    </xdr:to>
    <xdr:pic>
      <xdr:nvPicPr>
        <xdr:cNvPr id="117704" name="Рисунок 241" descr="Lada 7.0.png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1800225" y="1545717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438150</xdr:colOff>
      <xdr:row>668</xdr:row>
      <xdr:rowOff>38100</xdr:rowOff>
    </xdr:from>
    <xdr:to>
      <xdr:col>2</xdr:col>
      <xdr:colOff>609600</xdr:colOff>
      <xdr:row>668</xdr:row>
      <xdr:rowOff>419100</xdr:rowOff>
    </xdr:to>
    <xdr:pic>
      <xdr:nvPicPr>
        <xdr:cNvPr id="117705" name="Рисунок 242" descr="Lada 7.2.png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2066925" y="1545812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740</xdr:row>
      <xdr:rowOff>38100</xdr:rowOff>
    </xdr:from>
    <xdr:to>
      <xdr:col>2</xdr:col>
      <xdr:colOff>333375</xdr:colOff>
      <xdr:row>741</xdr:row>
      <xdr:rowOff>0</xdr:rowOff>
    </xdr:to>
    <xdr:pic>
      <xdr:nvPicPr>
        <xdr:cNvPr id="117706" name="Рисунок 178" descr="Nika 1.0.png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1781175" y="16692562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740</xdr:row>
      <xdr:rowOff>38100</xdr:rowOff>
    </xdr:from>
    <xdr:to>
      <xdr:col>2</xdr:col>
      <xdr:colOff>590550</xdr:colOff>
      <xdr:row>741</xdr:row>
      <xdr:rowOff>0</xdr:rowOff>
    </xdr:to>
    <xdr:pic>
      <xdr:nvPicPr>
        <xdr:cNvPr id="117707" name="Рисунок 179" descr="Nika 1.8.png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2047875" y="166925625"/>
          <a:ext cx="1714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741</xdr:row>
      <xdr:rowOff>19050</xdr:rowOff>
    </xdr:from>
    <xdr:to>
      <xdr:col>2</xdr:col>
      <xdr:colOff>314325</xdr:colOff>
      <xdr:row>741</xdr:row>
      <xdr:rowOff>400050</xdr:rowOff>
    </xdr:to>
    <xdr:pic>
      <xdr:nvPicPr>
        <xdr:cNvPr id="117708" name="Рисунок 180" descr="Nika 2.1.png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1771650" y="1673447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741</xdr:row>
      <xdr:rowOff>19050</xdr:rowOff>
    </xdr:from>
    <xdr:to>
      <xdr:col>2</xdr:col>
      <xdr:colOff>581025</xdr:colOff>
      <xdr:row>741</xdr:row>
      <xdr:rowOff>400050</xdr:rowOff>
    </xdr:to>
    <xdr:pic>
      <xdr:nvPicPr>
        <xdr:cNvPr id="117709" name="Рисунок 181" descr="Nika 2.4.png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2028825" y="167344725"/>
          <a:ext cx="1809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813</xdr:row>
      <xdr:rowOff>28575</xdr:rowOff>
    </xdr:from>
    <xdr:to>
      <xdr:col>2</xdr:col>
      <xdr:colOff>390525</xdr:colOff>
      <xdr:row>813</xdr:row>
      <xdr:rowOff>419100</xdr:rowOff>
    </xdr:to>
    <xdr:pic>
      <xdr:nvPicPr>
        <xdr:cNvPr id="117710" name="Рисунок 186" descr="Lisa 2.0.png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1847850" y="179717700"/>
          <a:ext cx="1714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813</xdr:row>
      <xdr:rowOff>28575</xdr:rowOff>
    </xdr:from>
    <xdr:to>
      <xdr:col>2</xdr:col>
      <xdr:colOff>590550</xdr:colOff>
      <xdr:row>813</xdr:row>
      <xdr:rowOff>419100</xdr:rowOff>
    </xdr:to>
    <xdr:pic>
      <xdr:nvPicPr>
        <xdr:cNvPr id="117711" name="Рисунок 187" descr="Lisa 2.2.png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2038350" y="17971770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814</xdr:row>
      <xdr:rowOff>19050</xdr:rowOff>
    </xdr:from>
    <xdr:to>
      <xdr:col>2</xdr:col>
      <xdr:colOff>381000</xdr:colOff>
      <xdr:row>814</xdr:row>
      <xdr:rowOff>409575</xdr:rowOff>
    </xdr:to>
    <xdr:pic>
      <xdr:nvPicPr>
        <xdr:cNvPr id="117712" name="Рисунок 188" descr="Lisa 3.0.png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1828800" y="18014632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814</xdr:row>
      <xdr:rowOff>19050</xdr:rowOff>
    </xdr:from>
    <xdr:to>
      <xdr:col>2</xdr:col>
      <xdr:colOff>600075</xdr:colOff>
      <xdr:row>814</xdr:row>
      <xdr:rowOff>409575</xdr:rowOff>
    </xdr:to>
    <xdr:pic>
      <xdr:nvPicPr>
        <xdr:cNvPr id="117713" name="Рисунок 189" descr="Lisa 3.4.png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2047875" y="18014632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1042</xdr:row>
      <xdr:rowOff>38100</xdr:rowOff>
    </xdr:from>
    <xdr:to>
      <xdr:col>2</xdr:col>
      <xdr:colOff>342900</xdr:colOff>
      <xdr:row>1043</xdr:row>
      <xdr:rowOff>1119</xdr:rowOff>
    </xdr:to>
    <xdr:pic>
      <xdr:nvPicPr>
        <xdr:cNvPr id="117714" name="Рисунок 198" descr="Mira 1.0.png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1790700" y="22197060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1042</xdr:row>
      <xdr:rowOff>47625</xdr:rowOff>
    </xdr:from>
    <xdr:to>
      <xdr:col>2</xdr:col>
      <xdr:colOff>581025</xdr:colOff>
      <xdr:row>1043</xdr:row>
      <xdr:rowOff>1119</xdr:rowOff>
    </xdr:to>
    <xdr:pic>
      <xdr:nvPicPr>
        <xdr:cNvPr id="117715" name="Рисунок 199" descr="Mira 1.6.png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2038350" y="2219801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1043</xdr:row>
      <xdr:rowOff>38100</xdr:rowOff>
    </xdr:from>
    <xdr:to>
      <xdr:col>2</xdr:col>
      <xdr:colOff>342900</xdr:colOff>
      <xdr:row>1043</xdr:row>
      <xdr:rowOff>419100</xdr:rowOff>
    </xdr:to>
    <xdr:pic>
      <xdr:nvPicPr>
        <xdr:cNvPr id="117716" name="Рисунок 200" descr="Mira 2.1.png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1800225" y="2224087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428625</xdr:colOff>
      <xdr:row>1043</xdr:row>
      <xdr:rowOff>28575</xdr:rowOff>
    </xdr:from>
    <xdr:to>
      <xdr:col>2</xdr:col>
      <xdr:colOff>590550</xdr:colOff>
      <xdr:row>1043</xdr:row>
      <xdr:rowOff>409575</xdr:rowOff>
    </xdr:to>
    <xdr:pic>
      <xdr:nvPicPr>
        <xdr:cNvPr id="117717" name="Рисунок 201" descr="Mira 2.3.png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2057400" y="222399225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1192</xdr:row>
      <xdr:rowOff>19050</xdr:rowOff>
    </xdr:from>
    <xdr:to>
      <xdr:col>2</xdr:col>
      <xdr:colOff>352425</xdr:colOff>
      <xdr:row>1192</xdr:row>
      <xdr:rowOff>400050</xdr:rowOff>
    </xdr:to>
    <xdr:pic>
      <xdr:nvPicPr>
        <xdr:cNvPr id="117718" name="Рисунок 206" descr="Linda 1.0.png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1809750" y="2490216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476250</xdr:colOff>
      <xdr:row>1192</xdr:row>
      <xdr:rowOff>28575</xdr:rowOff>
    </xdr:from>
    <xdr:to>
      <xdr:col>2</xdr:col>
      <xdr:colOff>647700</xdr:colOff>
      <xdr:row>1192</xdr:row>
      <xdr:rowOff>419100</xdr:rowOff>
    </xdr:to>
    <xdr:pic>
      <xdr:nvPicPr>
        <xdr:cNvPr id="117719" name="Рисунок 207" descr="Linda 1.5.png"/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2105025" y="249031125"/>
          <a:ext cx="1714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1193</xdr:row>
      <xdr:rowOff>38100</xdr:rowOff>
    </xdr:from>
    <xdr:to>
      <xdr:col>2</xdr:col>
      <xdr:colOff>352425</xdr:colOff>
      <xdr:row>1193</xdr:row>
      <xdr:rowOff>419100</xdr:rowOff>
    </xdr:to>
    <xdr:pic>
      <xdr:nvPicPr>
        <xdr:cNvPr id="117720" name="Рисунок 208" descr="Linda 1.6.png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1809750" y="2494788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476250</xdr:colOff>
      <xdr:row>1193</xdr:row>
      <xdr:rowOff>38100</xdr:rowOff>
    </xdr:from>
    <xdr:to>
      <xdr:col>2</xdr:col>
      <xdr:colOff>647700</xdr:colOff>
      <xdr:row>1193</xdr:row>
      <xdr:rowOff>419100</xdr:rowOff>
    </xdr:to>
    <xdr:pic>
      <xdr:nvPicPr>
        <xdr:cNvPr id="117721" name="Рисунок 209" descr="Linda 1.8.png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2105025" y="2494788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1264</xdr:row>
      <xdr:rowOff>19050</xdr:rowOff>
    </xdr:from>
    <xdr:to>
      <xdr:col>2</xdr:col>
      <xdr:colOff>333375</xdr:colOff>
      <xdr:row>1264</xdr:row>
      <xdr:rowOff>400050</xdr:rowOff>
    </xdr:to>
    <xdr:pic>
      <xdr:nvPicPr>
        <xdr:cNvPr id="117722" name="Рисунок 210" descr="Tiana 1.0.png"/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1790700" y="2618041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428625</xdr:colOff>
      <xdr:row>1264</xdr:row>
      <xdr:rowOff>28575</xdr:rowOff>
    </xdr:from>
    <xdr:to>
      <xdr:col>2</xdr:col>
      <xdr:colOff>600075</xdr:colOff>
      <xdr:row>1264</xdr:row>
      <xdr:rowOff>409575</xdr:rowOff>
    </xdr:to>
    <xdr:pic>
      <xdr:nvPicPr>
        <xdr:cNvPr id="117723" name="Рисунок 211" descr="Tiana 1.5.png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2057400" y="26181367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1265</xdr:row>
      <xdr:rowOff>28575</xdr:rowOff>
    </xdr:from>
    <xdr:to>
      <xdr:col>2</xdr:col>
      <xdr:colOff>333375</xdr:colOff>
      <xdr:row>1265</xdr:row>
      <xdr:rowOff>409575</xdr:rowOff>
    </xdr:to>
    <xdr:pic>
      <xdr:nvPicPr>
        <xdr:cNvPr id="117724" name="Рисунок 212" descr="Tiana 1.6.png"/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1790700" y="2622518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428625</xdr:colOff>
      <xdr:row>1265</xdr:row>
      <xdr:rowOff>38100</xdr:rowOff>
    </xdr:from>
    <xdr:to>
      <xdr:col>2</xdr:col>
      <xdr:colOff>600075</xdr:colOff>
      <xdr:row>1265</xdr:row>
      <xdr:rowOff>419100</xdr:rowOff>
    </xdr:to>
    <xdr:pic>
      <xdr:nvPicPr>
        <xdr:cNvPr id="117725" name="Рисунок 213" descr="Tiana 1.9.png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2057400" y="2622613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1337</xdr:row>
      <xdr:rowOff>28575</xdr:rowOff>
    </xdr:from>
    <xdr:to>
      <xdr:col>2</xdr:col>
      <xdr:colOff>371475</xdr:colOff>
      <xdr:row>1337</xdr:row>
      <xdr:rowOff>409575</xdr:rowOff>
    </xdr:to>
    <xdr:pic>
      <xdr:nvPicPr>
        <xdr:cNvPr id="117726" name="Рисунок 220" descr="Eva 2.0.png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1828800" y="2745867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1337</xdr:row>
      <xdr:rowOff>28575</xdr:rowOff>
    </xdr:from>
    <xdr:to>
      <xdr:col>2</xdr:col>
      <xdr:colOff>619125</xdr:colOff>
      <xdr:row>1337</xdr:row>
      <xdr:rowOff>419100</xdr:rowOff>
    </xdr:to>
    <xdr:pic>
      <xdr:nvPicPr>
        <xdr:cNvPr id="117727" name="Рисунок 221" descr="Eva 2.2.png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2076450" y="274586700"/>
          <a:ext cx="1714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1338</xdr:row>
      <xdr:rowOff>38100</xdr:rowOff>
    </xdr:from>
    <xdr:to>
      <xdr:col>2</xdr:col>
      <xdr:colOff>371475</xdr:colOff>
      <xdr:row>1338</xdr:row>
      <xdr:rowOff>419100</xdr:rowOff>
    </xdr:to>
    <xdr:pic>
      <xdr:nvPicPr>
        <xdr:cNvPr id="117728" name="Рисунок 222" descr="Eva 4.0.png"/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1828800" y="27503437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1338</xdr:row>
      <xdr:rowOff>28575</xdr:rowOff>
    </xdr:from>
    <xdr:to>
      <xdr:col>2</xdr:col>
      <xdr:colOff>619125</xdr:colOff>
      <xdr:row>1338</xdr:row>
      <xdr:rowOff>409575</xdr:rowOff>
    </xdr:to>
    <xdr:pic>
      <xdr:nvPicPr>
        <xdr:cNvPr id="117729" name="Рисунок 223" descr="Eva 4.4.png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2076450" y="2750248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1339</xdr:row>
      <xdr:rowOff>28575</xdr:rowOff>
    </xdr:from>
    <xdr:to>
      <xdr:col>2</xdr:col>
      <xdr:colOff>371475</xdr:colOff>
      <xdr:row>1339</xdr:row>
      <xdr:rowOff>409575</xdr:rowOff>
    </xdr:to>
    <xdr:pic>
      <xdr:nvPicPr>
        <xdr:cNvPr id="117730" name="Рисунок 224" descr="Eva 4.5.png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1828800" y="2754630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1339</xdr:row>
      <xdr:rowOff>28575</xdr:rowOff>
    </xdr:from>
    <xdr:to>
      <xdr:col>2</xdr:col>
      <xdr:colOff>619125</xdr:colOff>
      <xdr:row>1339</xdr:row>
      <xdr:rowOff>409575</xdr:rowOff>
    </xdr:to>
    <xdr:pic>
      <xdr:nvPicPr>
        <xdr:cNvPr id="117731" name="Рисунок 225" descr="Eva 4.6.png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2076450" y="2754630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1559</xdr:row>
      <xdr:rowOff>38100</xdr:rowOff>
    </xdr:from>
    <xdr:to>
      <xdr:col>2</xdr:col>
      <xdr:colOff>371475</xdr:colOff>
      <xdr:row>1559</xdr:row>
      <xdr:rowOff>419100</xdr:rowOff>
    </xdr:to>
    <xdr:pic>
      <xdr:nvPicPr>
        <xdr:cNvPr id="117732" name="Picture 546" descr="Lada-Nova_3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838325" y="314725050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1559</xdr:row>
      <xdr:rowOff>38100</xdr:rowOff>
    </xdr:from>
    <xdr:to>
      <xdr:col>2</xdr:col>
      <xdr:colOff>581025</xdr:colOff>
      <xdr:row>1559</xdr:row>
      <xdr:rowOff>419100</xdr:rowOff>
    </xdr:to>
    <xdr:pic>
      <xdr:nvPicPr>
        <xdr:cNvPr id="117733" name="Picture 547" descr="Lada-Nova_3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2047875" y="314725050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1561</xdr:row>
      <xdr:rowOff>47625</xdr:rowOff>
    </xdr:from>
    <xdr:to>
      <xdr:col>2</xdr:col>
      <xdr:colOff>466725</xdr:colOff>
      <xdr:row>1561</xdr:row>
      <xdr:rowOff>400050</xdr:rowOff>
    </xdr:to>
    <xdr:pic>
      <xdr:nvPicPr>
        <xdr:cNvPr id="117734" name="Picture 553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1933575" y="315610875"/>
          <a:ext cx="161925" cy="3524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1562</xdr:row>
      <xdr:rowOff>47625</xdr:rowOff>
    </xdr:from>
    <xdr:to>
      <xdr:col>2</xdr:col>
      <xdr:colOff>466725</xdr:colOff>
      <xdr:row>1562</xdr:row>
      <xdr:rowOff>409575</xdr:rowOff>
    </xdr:to>
    <xdr:pic>
      <xdr:nvPicPr>
        <xdr:cNvPr id="117735" name="Picture 555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1933575" y="316049025"/>
          <a:ext cx="161925" cy="361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1560</xdr:row>
      <xdr:rowOff>38100</xdr:rowOff>
    </xdr:from>
    <xdr:to>
      <xdr:col>2</xdr:col>
      <xdr:colOff>485775</xdr:colOff>
      <xdr:row>1560</xdr:row>
      <xdr:rowOff>390525</xdr:rowOff>
    </xdr:to>
    <xdr:pic>
      <xdr:nvPicPr>
        <xdr:cNvPr id="117736" name="Picture 719" descr="Pollo_3a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1952625" y="315163200"/>
          <a:ext cx="1619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1927</xdr:row>
      <xdr:rowOff>19050</xdr:rowOff>
    </xdr:from>
    <xdr:to>
      <xdr:col>2</xdr:col>
      <xdr:colOff>381000</xdr:colOff>
      <xdr:row>1927</xdr:row>
      <xdr:rowOff>419100</xdr:rowOff>
    </xdr:to>
    <xdr:pic>
      <xdr:nvPicPr>
        <xdr:cNvPr id="117737" name="Рисунок 217" descr="L1.0.png"/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1914525" y="384381375"/>
          <a:ext cx="952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1928</xdr:row>
      <xdr:rowOff>9525</xdr:rowOff>
    </xdr:from>
    <xdr:to>
      <xdr:col>2</xdr:col>
      <xdr:colOff>266700</xdr:colOff>
      <xdr:row>1928</xdr:row>
      <xdr:rowOff>409575</xdr:rowOff>
    </xdr:to>
    <xdr:pic>
      <xdr:nvPicPr>
        <xdr:cNvPr id="117738" name="Рисунок 219" descr="L3.0.png"/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1800225" y="384810000"/>
          <a:ext cx="952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361950</xdr:colOff>
      <xdr:row>1928</xdr:row>
      <xdr:rowOff>19050</xdr:rowOff>
    </xdr:from>
    <xdr:to>
      <xdr:col>2</xdr:col>
      <xdr:colOff>447675</xdr:colOff>
      <xdr:row>1928</xdr:row>
      <xdr:rowOff>409575</xdr:rowOff>
    </xdr:to>
    <xdr:pic>
      <xdr:nvPicPr>
        <xdr:cNvPr id="117739" name="Рисунок 220" descr="L3.1.png"/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1990725" y="384819525"/>
          <a:ext cx="857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542925</xdr:colOff>
      <xdr:row>1928</xdr:row>
      <xdr:rowOff>19050</xdr:rowOff>
    </xdr:from>
    <xdr:to>
      <xdr:col>2</xdr:col>
      <xdr:colOff>628650</xdr:colOff>
      <xdr:row>1928</xdr:row>
      <xdr:rowOff>409575</xdr:rowOff>
    </xdr:to>
    <xdr:pic>
      <xdr:nvPicPr>
        <xdr:cNvPr id="117740" name="Рисунок 221" descr="L3.2.png"/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2171700" y="384819525"/>
          <a:ext cx="857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1929</xdr:row>
      <xdr:rowOff>28575</xdr:rowOff>
    </xdr:from>
    <xdr:to>
      <xdr:col>2</xdr:col>
      <xdr:colOff>371475</xdr:colOff>
      <xdr:row>1930</xdr:row>
      <xdr:rowOff>9525</xdr:rowOff>
    </xdr:to>
    <xdr:pic>
      <xdr:nvPicPr>
        <xdr:cNvPr id="117741" name="Рисунок 222" descr="L4.0.png"/>
        <xdr:cNvPicPr>
          <a:picLocks noChangeAspect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1905000" y="385267200"/>
          <a:ext cx="952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1929</xdr:row>
      <xdr:rowOff>19050</xdr:rowOff>
    </xdr:from>
    <xdr:to>
      <xdr:col>2</xdr:col>
      <xdr:colOff>542925</xdr:colOff>
      <xdr:row>1929</xdr:row>
      <xdr:rowOff>419100</xdr:rowOff>
    </xdr:to>
    <xdr:pic>
      <xdr:nvPicPr>
        <xdr:cNvPr id="117742" name="Рисунок 223" descr="L4.1.png"/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2076450" y="385257675"/>
          <a:ext cx="952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1930</xdr:row>
      <xdr:rowOff>28575</xdr:rowOff>
    </xdr:from>
    <xdr:to>
      <xdr:col>2</xdr:col>
      <xdr:colOff>361950</xdr:colOff>
      <xdr:row>1930</xdr:row>
      <xdr:rowOff>419100</xdr:rowOff>
    </xdr:to>
    <xdr:pic>
      <xdr:nvPicPr>
        <xdr:cNvPr id="117743" name="Рисунок 224" descr="L5.0.png"/>
        <xdr:cNvPicPr>
          <a:picLocks noChangeAspect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1905000" y="385705350"/>
          <a:ext cx="857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1930</xdr:row>
      <xdr:rowOff>9525</xdr:rowOff>
    </xdr:from>
    <xdr:to>
      <xdr:col>2</xdr:col>
      <xdr:colOff>542925</xdr:colOff>
      <xdr:row>1930</xdr:row>
      <xdr:rowOff>409575</xdr:rowOff>
    </xdr:to>
    <xdr:pic>
      <xdr:nvPicPr>
        <xdr:cNvPr id="117744" name="Рисунок 225" descr="L5.1.png"/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2076450" y="385686300"/>
          <a:ext cx="952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1931</xdr:row>
      <xdr:rowOff>19050</xdr:rowOff>
    </xdr:from>
    <xdr:to>
      <xdr:col>2</xdr:col>
      <xdr:colOff>352425</xdr:colOff>
      <xdr:row>1931</xdr:row>
      <xdr:rowOff>419100</xdr:rowOff>
    </xdr:to>
    <xdr:pic>
      <xdr:nvPicPr>
        <xdr:cNvPr id="117745" name="Рисунок 226" descr="L6.0.png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1895475" y="386133975"/>
          <a:ext cx="8572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1931</xdr:row>
      <xdr:rowOff>28575</xdr:rowOff>
    </xdr:from>
    <xdr:to>
      <xdr:col>2</xdr:col>
      <xdr:colOff>533400</xdr:colOff>
      <xdr:row>1931</xdr:row>
      <xdr:rowOff>419100</xdr:rowOff>
    </xdr:to>
    <xdr:pic>
      <xdr:nvPicPr>
        <xdr:cNvPr id="117746" name="Рисунок 227" descr="L6.1.png"/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2076450" y="386143500"/>
          <a:ext cx="857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438150</xdr:colOff>
      <xdr:row>1927</xdr:row>
      <xdr:rowOff>28575</xdr:rowOff>
    </xdr:from>
    <xdr:to>
      <xdr:col>2</xdr:col>
      <xdr:colOff>533400</xdr:colOff>
      <xdr:row>1927</xdr:row>
      <xdr:rowOff>419100</xdr:rowOff>
    </xdr:to>
    <xdr:pic>
      <xdr:nvPicPr>
        <xdr:cNvPr id="117747" name="Рисунок 228" descr="L1.1.png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2066925" y="384390900"/>
          <a:ext cx="952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813</xdr:row>
      <xdr:rowOff>28575</xdr:rowOff>
    </xdr:from>
    <xdr:to>
      <xdr:col>2</xdr:col>
      <xdr:colOff>371475</xdr:colOff>
      <xdr:row>813</xdr:row>
      <xdr:rowOff>419100</xdr:rowOff>
    </xdr:to>
    <xdr:pic>
      <xdr:nvPicPr>
        <xdr:cNvPr id="117748" name="Рисунок 186" descr="Lisa 2.0.png"/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1819275" y="17971770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1411</xdr:row>
      <xdr:rowOff>28575</xdr:rowOff>
    </xdr:from>
    <xdr:to>
      <xdr:col>2</xdr:col>
      <xdr:colOff>342900</xdr:colOff>
      <xdr:row>1411</xdr:row>
      <xdr:rowOff>419100</xdr:rowOff>
    </xdr:to>
    <xdr:pic>
      <xdr:nvPicPr>
        <xdr:cNvPr id="117749" name="Рисунок 231" descr="Lada Trend 5.0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1800225" y="287902650"/>
          <a:ext cx="1714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1411</xdr:row>
      <xdr:rowOff>28575</xdr:rowOff>
    </xdr:from>
    <xdr:to>
      <xdr:col>2</xdr:col>
      <xdr:colOff>571500</xdr:colOff>
      <xdr:row>1411</xdr:row>
      <xdr:rowOff>419100</xdr:rowOff>
    </xdr:to>
    <xdr:pic>
      <xdr:nvPicPr>
        <xdr:cNvPr id="117750" name="Рисунок 236" descr="Lada Trend 5.5.jpg"/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2028825" y="287902650"/>
          <a:ext cx="1714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1412</xdr:row>
      <xdr:rowOff>9525</xdr:rowOff>
    </xdr:from>
    <xdr:to>
      <xdr:col>2</xdr:col>
      <xdr:colOff>247650</xdr:colOff>
      <xdr:row>1412</xdr:row>
      <xdr:rowOff>400050</xdr:rowOff>
    </xdr:to>
    <xdr:pic>
      <xdr:nvPicPr>
        <xdr:cNvPr id="117751" name="Рисунок 237" descr="Lada Trend 5A.1.jpg"/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1695450" y="28832175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1412</xdr:row>
      <xdr:rowOff>19050</xdr:rowOff>
    </xdr:from>
    <xdr:to>
      <xdr:col>2</xdr:col>
      <xdr:colOff>457200</xdr:colOff>
      <xdr:row>1412</xdr:row>
      <xdr:rowOff>409575</xdr:rowOff>
    </xdr:to>
    <xdr:pic>
      <xdr:nvPicPr>
        <xdr:cNvPr id="117752" name="Рисунок 238" descr="Lada Trend 5A.2.jpg"/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1905000" y="28833127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485775</xdr:colOff>
      <xdr:row>1412</xdr:row>
      <xdr:rowOff>19050</xdr:rowOff>
    </xdr:from>
    <xdr:to>
      <xdr:col>2</xdr:col>
      <xdr:colOff>666750</xdr:colOff>
      <xdr:row>1412</xdr:row>
      <xdr:rowOff>419100</xdr:rowOff>
    </xdr:to>
    <xdr:pic>
      <xdr:nvPicPr>
        <xdr:cNvPr id="117753" name="Рисунок 239" descr="Lada Trend 5A.3.jpg"/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2114550" y="288331275"/>
          <a:ext cx="18097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1413</xdr:row>
      <xdr:rowOff>28575</xdr:rowOff>
    </xdr:from>
    <xdr:to>
      <xdr:col>2</xdr:col>
      <xdr:colOff>457200</xdr:colOff>
      <xdr:row>1414</xdr:row>
      <xdr:rowOff>9525</xdr:rowOff>
    </xdr:to>
    <xdr:pic>
      <xdr:nvPicPr>
        <xdr:cNvPr id="117754" name="Рисунок 240" descr="Lada Trend 5B.3.jpg"/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1914525" y="288778950"/>
          <a:ext cx="1714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2118</xdr:row>
      <xdr:rowOff>76200</xdr:rowOff>
    </xdr:from>
    <xdr:to>
      <xdr:col>2</xdr:col>
      <xdr:colOff>704850</xdr:colOff>
      <xdr:row>2119</xdr:row>
      <xdr:rowOff>352425</xdr:rowOff>
    </xdr:to>
    <xdr:pic>
      <xdr:nvPicPr>
        <xdr:cNvPr id="117755" name="Рисунок 241" descr="Standard D80 стандартная деревянная коробка1.jpg"/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1685925" y="419633400"/>
          <a:ext cx="6477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2192</xdr:row>
      <xdr:rowOff>85725</xdr:rowOff>
    </xdr:from>
    <xdr:to>
      <xdr:col>2</xdr:col>
      <xdr:colOff>704850</xdr:colOff>
      <xdr:row>2195</xdr:row>
      <xdr:rowOff>47626</xdr:rowOff>
    </xdr:to>
    <xdr:pic>
      <xdr:nvPicPr>
        <xdr:cNvPr id="117756" name="Рисунок 242" descr="58_PAGE1.jpg"/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1724025" y="434597175"/>
          <a:ext cx="6096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2264</xdr:row>
      <xdr:rowOff>66675</xdr:rowOff>
    </xdr:from>
    <xdr:to>
      <xdr:col>2</xdr:col>
      <xdr:colOff>723900</xdr:colOff>
      <xdr:row>2267</xdr:row>
      <xdr:rowOff>76202</xdr:rowOff>
    </xdr:to>
    <xdr:pic>
      <xdr:nvPicPr>
        <xdr:cNvPr id="117757" name="Рисунок 243" descr="60_PAGE1.jpg"/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1743075" y="447960750"/>
          <a:ext cx="6096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2332</xdr:row>
      <xdr:rowOff>114300</xdr:rowOff>
    </xdr:from>
    <xdr:to>
      <xdr:col>2</xdr:col>
      <xdr:colOff>723900</xdr:colOff>
      <xdr:row>2335</xdr:row>
      <xdr:rowOff>76197</xdr:rowOff>
    </xdr:to>
    <xdr:pic>
      <xdr:nvPicPr>
        <xdr:cNvPr id="117758" name="Рисунок 244" descr="62_PAGE1.jpg"/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1743075" y="459762225"/>
          <a:ext cx="6096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372</xdr:row>
      <xdr:rowOff>47625</xdr:rowOff>
    </xdr:from>
    <xdr:to>
      <xdr:col>2</xdr:col>
      <xdr:colOff>504825</xdr:colOff>
      <xdr:row>373</xdr:row>
      <xdr:rowOff>0</xdr:rowOff>
    </xdr:to>
    <xdr:pic>
      <xdr:nvPicPr>
        <xdr:cNvPr id="117759" name="Рисунок 221" descr="B_5.jpg"/>
        <xdr:cNvPicPr>
          <a:picLocks noChangeAspect="1"/>
        </xdr:cNvPicPr>
      </xdr:nvPicPr>
      <xdr:blipFill>
        <a:blip xmlns:r="http://schemas.openxmlformats.org/officeDocument/2006/relationships" r:embed="rId175" cstate="print"/>
        <a:srcRect l="27406" t="12793" r="27354" b="6847"/>
        <a:stretch>
          <a:fillRect/>
        </a:stretch>
      </xdr:blipFill>
      <xdr:spPr bwMode="auto">
        <a:xfrm>
          <a:off x="1962150" y="1024223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1323975</xdr:colOff>
      <xdr:row>2535</xdr:row>
      <xdr:rowOff>28575</xdr:rowOff>
    </xdr:from>
    <xdr:to>
      <xdr:col>2</xdr:col>
      <xdr:colOff>695325</xdr:colOff>
      <xdr:row>2535</xdr:row>
      <xdr:rowOff>390525</xdr:rowOff>
    </xdr:to>
    <xdr:pic>
      <xdr:nvPicPr>
        <xdr:cNvPr id="117760" name="Рисунок 212" descr="HANDY  (срібна матова, фото 2).png"/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 l="1350" t="26553" b="35219"/>
        <a:stretch>
          <a:fillRect/>
        </a:stretch>
      </xdr:blipFill>
      <xdr:spPr bwMode="auto">
        <a:xfrm>
          <a:off x="1390650" y="498348000"/>
          <a:ext cx="9334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1333500</xdr:colOff>
      <xdr:row>2537</xdr:row>
      <xdr:rowOff>28575</xdr:rowOff>
    </xdr:from>
    <xdr:to>
      <xdr:col>2</xdr:col>
      <xdr:colOff>752475</xdr:colOff>
      <xdr:row>2537</xdr:row>
      <xdr:rowOff>390525</xdr:rowOff>
    </xdr:to>
    <xdr:pic>
      <xdr:nvPicPr>
        <xdr:cNvPr id="117761" name="Рисунок 213" descr="7424.970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 l="3374" t="32771" b="31566"/>
        <a:stretch>
          <a:fillRect/>
        </a:stretch>
      </xdr:blipFill>
      <xdr:spPr bwMode="auto">
        <a:xfrm>
          <a:off x="1400175" y="499224300"/>
          <a:ext cx="9810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1371600</xdr:colOff>
      <xdr:row>2533</xdr:row>
      <xdr:rowOff>38100</xdr:rowOff>
    </xdr:from>
    <xdr:to>
      <xdr:col>2</xdr:col>
      <xdr:colOff>704850</xdr:colOff>
      <xdr:row>2534</xdr:row>
      <xdr:rowOff>813</xdr:rowOff>
    </xdr:to>
    <xdr:pic>
      <xdr:nvPicPr>
        <xdr:cNvPr id="117762" name="Рисунок 214" descr="Verona_silver-mat.png"/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1438275" y="497481225"/>
          <a:ext cx="8953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1343025</xdr:colOff>
      <xdr:row>2536</xdr:row>
      <xdr:rowOff>38100</xdr:rowOff>
    </xdr:from>
    <xdr:to>
      <xdr:col>2</xdr:col>
      <xdr:colOff>752475</xdr:colOff>
      <xdr:row>2537</xdr:row>
      <xdr:rowOff>4</xdr:rowOff>
    </xdr:to>
    <xdr:pic>
      <xdr:nvPicPr>
        <xdr:cNvPr id="117763" name="Рисунок 215" descr="Prius (2) - брашированный мат.хром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 t="26994" b="31287"/>
        <a:stretch>
          <a:fillRect/>
        </a:stretch>
      </xdr:blipFill>
      <xdr:spPr bwMode="auto">
        <a:xfrm>
          <a:off x="1409700" y="498795675"/>
          <a:ext cx="9715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71718</xdr:colOff>
      <xdr:row>406</xdr:row>
      <xdr:rowOff>7164</xdr:rowOff>
    </xdr:from>
    <xdr:to>
      <xdr:col>2</xdr:col>
      <xdr:colOff>464467</xdr:colOff>
      <xdr:row>407</xdr:row>
      <xdr:rowOff>6093</xdr:rowOff>
    </xdr:to>
    <xdr:pic>
      <xdr:nvPicPr>
        <xdr:cNvPr id="193" name="Рисунок 192" descr="1.0.png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 flipV="1">
          <a:off x="1748118" y="72444789"/>
          <a:ext cx="392749" cy="441842"/>
        </a:xfrm>
        <a:prstGeom prst="rect">
          <a:avLst/>
        </a:prstGeom>
      </xdr:spPr>
    </xdr:pic>
    <xdr:clientData/>
  </xdr:twoCellAnchor>
  <xdr:twoCellAnchor editAs="oneCell">
    <xdr:from>
      <xdr:col>2</xdr:col>
      <xdr:colOff>347224</xdr:colOff>
      <xdr:row>406</xdr:row>
      <xdr:rowOff>4763</xdr:rowOff>
    </xdr:from>
    <xdr:to>
      <xdr:col>2</xdr:col>
      <xdr:colOff>739973</xdr:colOff>
      <xdr:row>407</xdr:row>
      <xdr:rowOff>3692</xdr:rowOff>
    </xdr:to>
    <xdr:pic>
      <xdr:nvPicPr>
        <xdr:cNvPr id="194" name="Рисунок 193" descr="1.1.pn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 flipV="1">
          <a:off x="2023624" y="72442388"/>
          <a:ext cx="392749" cy="441842"/>
        </a:xfrm>
        <a:prstGeom prst="rect">
          <a:avLst/>
        </a:prstGeom>
      </xdr:spPr>
    </xdr:pic>
    <xdr:clientData/>
  </xdr:twoCellAnchor>
  <xdr:twoCellAnchor editAs="oneCell">
    <xdr:from>
      <xdr:col>2</xdr:col>
      <xdr:colOff>215646</xdr:colOff>
      <xdr:row>407</xdr:row>
      <xdr:rowOff>13855</xdr:rowOff>
    </xdr:from>
    <xdr:to>
      <xdr:col>2</xdr:col>
      <xdr:colOff>588687</xdr:colOff>
      <xdr:row>408</xdr:row>
      <xdr:rowOff>451</xdr:rowOff>
    </xdr:to>
    <xdr:pic>
      <xdr:nvPicPr>
        <xdr:cNvPr id="195" name="Рисунок 194" descr="1a.1.png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1892046" y="71714742"/>
          <a:ext cx="373041" cy="424746"/>
        </a:xfrm>
        <a:prstGeom prst="rect">
          <a:avLst/>
        </a:prstGeom>
      </xdr:spPr>
    </xdr:pic>
    <xdr:clientData/>
  </xdr:twoCellAnchor>
  <xdr:twoCellAnchor editAs="oneCell">
    <xdr:from>
      <xdr:col>2</xdr:col>
      <xdr:colOff>84707</xdr:colOff>
      <xdr:row>408</xdr:row>
      <xdr:rowOff>13853</xdr:rowOff>
    </xdr:from>
    <xdr:to>
      <xdr:col>2</xdr:col>
      <xdr:colOff>458409</xdr:colOff>
      <xdr:row>409</xdr:row>
      <xdr:rowOff>1314</xdr:rowOff>
    </xdr:to>
    <xdr:pic>
      <xdr:nvPicPr>
        <xdr:cNvPr id="196" name="Рисунок 195" descr="2.0.pn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761107" y="73377135"/>
          <a:ext cx="373702" cy="420415"/>
        </a:xfrm>
        <a:prstGeom prst="rect">
          <a:avLst/>
        </a:prstGeom>
      </xdr:spPr>
    </xdr:pic>
    <xdr:clientData/>
  </xdr:twoCellAnchor>
  <xdr:twoCellAnchor editAs="oneCell">
    <xdr:from>
      <xdr:col>2</xdr:col>
      <xdr:colOff>362712</xdr:colOff>
      <xdr:row>408</xdr:row>
      <xdr:rowOff>18380</xdr:rowOff>
    </xdr:from>
    <xdr:to>
      <xdr:col>2</xdr:col>
      <xdr:colOff>737756</xdr:colOff>
      <xdr:row>409</xdr:row>
      <xdr:rowOff>645</xdr:rowOff>
    </xdr:to>
    <xdr:pic>
      <xdr:nvPicPr>
        <xdr:cNvPr id="197" name="Рисунок 196" descr="2.1.pn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2039112" y="73381662"/>
          <a:ext cx="375044" cy="420415"/>
        </a:xfrm>
        <a:prstGeom prst="rect">
          <a:avLst/>
        </a:prstGeom>
      </xdr:spPr>
    </xdr:pic>
    <xdr:clientData/>
  </xdr:twoCellAnchor>
  <xdr:twoCellAnchor editAs="oneCell">
    <xdr:from>
      <xdr:col>2</xdr:col>
      <xdr:colOff>221087</xdr:colOff>
      <xdr:row>409</xdr:row>
      <xdr:rowOff>10391</xdr:rowOff>
    </xdr:from>
    <xdr:to>
      <xdr:col>2</xdr:col>
      <xdr:colOff>596205</xdr:colOff>
      <xdr:row>410</xdr:row>
      <xdr:rowOff>1612</xdr:rowOff>
    </xdr:to>
    <xdr:pic>
      <xdr:nvPicPr>
        <xdr:cNvPr id="198" name="Рисунок 197" descr="2a.1.png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1897487" y="72599174"/>
          <a:ext cx="375118" cy="419846"/>
        </a:xfrm>
        <a:prstGeom prst="rect">
          <a:avLst/>
        </a:prstGeom>
      </xdr:spPr>
    </xdr:pic>
    <xdr:clientData/>
  </xdr:twoCellAnchor>
  <xdr:twoCellAnchor editAs="oneCell">
    <xdr:from>
      <xdr:col>2</xdr:col>
      <xdr:colOff>88925</xdr:colOff>
      <xdr:row>410</xdr:row>
      <xdr:rowOff>9530</xdr:rowOff>
    </xdr:from>
    <xdr:to>
      <xdr:col>2</xdr:col>
      <xdr:colOff>469079</xdr:colOff>
      <xdr:row>411</xdr:row>
      <xdr:rowOff>1822</xdr:rowOff>
    </xdr:to>
    <xdr:pic>
      <xdr:nvPicPr>
        <xdr:cNvPr id="199" name="Рисунок 198" descr="3.0.png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1765325" y="73785998"/>
          <a:ext cx="380154" cy="434623"/>
        </a:xfrm>
        <a:prstGeom prst="rect">
          <a:avLst/>
        </a:prstGeom>
      </xdr:spPr>
    </xdr:pic>
    <xdr:clientData/>
  </xdr:twoCellAnchor>
  <xdr:twoCellAnchor editAs="oneCell">
    <xdr:from>
      <xdr:col>2</xdr:col>
      <xdr:colOff>385492</xdr:colOff>
      <xdr:row>410</xdr:row>
      <xdr:rowOff>11152</xdr:rowOff>
    </xdr:from>
    <xdr:to>
      <xdr:col>2</xdr:col>
      <xdr:colOff>762740</xdr:colOff>
      <xdr:row>411</xdr:row>
      <xdr:rowOff>3718</xdr:rowOff>
    </xdr:to>
    <xdr:pic>
      <xdr:nvPicPr>
        <xdr:cNvPr id="200" name="Рисунок 199" descr="3.1.png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2061892" y="73787620"/>
          <a:ext cx="377248" cy="4348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0</xdr:rowOff>
    </xdr:from>
    <xdr:to>
      <xdr:col>2</xdr:col>
      <xdr:colOff>352425</xdr:colOff>
      <xdr:row>3</xdr:row>
      <xdr:rowOff>104775</xdr:rowOff>
    </xdr:to>
    <xdr:pic>
      <xdr:nvPicPr>
        <xdr:cNvPr id="3744" name="Picture 383" descr="12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6827"/>
        <a:stretch>
          <a:fillRect/>
        </a:stretch>
      </xdr:blipFill>
      <xdr:spPr bwMode="auto">
        <a:xfrm>
          <a:off x="85725" y="161925"/>
          <a:ext cx="15144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tabColor indexed="11"/>
  </sheetPr>
  <dimension ref="A1:I52"/>
  <sheetViews>
    <sheetView showGridLines="0" tabSelected="1" workbookViewId="0">
      <selection activeCell="D3" sqref="D3"/>
    </sheetView>
  </sheetViews>
  <sheetFormatPr defaultColWidth="9.140625" defaultRowHeight="11.25"/>
  <cols>
    <col min="1" max="1" width="2.5703125" style="71" customWidth="1"/>
    <col min="2" max="2" width="5.140625" style="71" customWidth="1"/>
    <col min="3" max="3" width="41.28515625" style="71" bestFit="1" customWidth="1"/>
    <col min="4" max="4" width="9.140625" style="71"/>
    <col min="5" max="5" width="10.28515625" style="71" customWidth="1"/>
    <col min="6" max="8" width="9.140625" style="71"/>
    <col min="9" max="9" width="0" style="71" hidden="1" customWidth="1"/>
    <col min="10" max="16384" width="9.140625" style="71"/>
  </cols>
  <sheetData>
    <row r="1" spans="2:9" ht="5.0999999999999996" customHeight="1"/>
    <row r="2" spans="2:9">
      <c r="B2" s="444" t="str">
        <f>IF($E$4="ENG","VERSION: 56.00.23","ВЕРСІЯ: 56.00.23")</f>
        <v>ВЕРСІЯ: 56.00.23</v>
      </c>
      <c r="C2" s="444"/>
      <c r="D2" s="82" t="str">
        <f>IF($E$4="ENG","valid from: 3 july 2024","діє з: 03 липня 2024 р.")</f>
        <v>діє з: 03 липня 2024 р.</v>
      </c>
      <c r="I2" s="203" t="s">
        <v>67</v>
      </c>
    </row>
    <row r="3" spans="2:9">
      <c r="I3" s="203" t="s">
        <v>6</v>
      </c>
    </row>
    <row r="4" spans="2:9">
      <c r="D4" s="202" t="str">
        <f>IF(E4="ENG","choose language:","оберіть мову:")</f>
        <v>оберіть мову:</v>
      </c>
      <c r="E4" s="205" t="s">
        <v>67</v>
      </c>
    </row>
    <row r="6" spans="2:9" ht="5.0999999999999996" customHeight="1"/>
    <row r="7" spans="2:9" ht="12.75">
      <c r="B7" s="72" t="str">
        <f>IF($E$4="ENG","INTERIOR DOOR LEAFS","ДВЕРІ МІЖКІМНАТНІ ЛАМІНОВАНІ")</f>
        <v>ДВЕРІ МІЖКІМНАТНІ ЛАМІНОВАНІ</v>
      </c>
    </row>
    <row r="8" spans="2:9">
      <c r="C8" s="73" t="str">
        <f>IF($E$4="ENG","Door leafs: STANDARD","Полотна каркасно-щитові: СТАНДАРТ")</f>
        <v>Полотна каркасно-щитові: СТАНДАРТ</v>
      </c>
      <c r="D8" s="74"/>
      <c r="E8" s="75"/>
    </row>
    <row r="9" spans="2:9">
      <c r="C9" s="76" t="str">
        <f>IF($E$4="ENG","Door leafs: KUPAVA","Полотна каркасно-щитові: КУПАВА")</f>
        <v>Полотна каркасно-щитові: КУПАВА</v>
      </c>
      <c r="D9" s="77"/>
      <c r="E9" s="78"/>
    </row>
    <row r="10" spans="2:9">
      <c r="C10" s="76" t="str">
        <f>IF($E$4="ENG","Door leafs: GEOMETRY","Полотна каркасно-щитові: ГЕОМЕТРІЯ")</f>
        <v>Полотна каркасно-щитові: ГЕОМЕТРІЯ</v>
      </c>
      <c r="D10" s="77"/>
      <c r="E10" s="78"/>
    </row>
    <row r="11" spans="2:9">
      <c r="C11" s="76" t="str">
        <f>IF($E$4="ENG","Door leafs: IDEA","Полотна каркасно-щитові: ІДЕЯ")</f>
        <v>Полотна каркасно-щитові: ІДЕЯ</v>
      </c>
      <c r="D11" s="110"/>
      <c r="E11" s="78"/>
    </row>
    <row r="12" spans="2:9">
      <c r="C12" s="76" t="str">
        <f>IF($E$4="ENG","Door leafs: IDEA-LOFT","Полотна каркасно-щитові: ІДЕЯ-ЛОФТ")</f>
        <v>Полотна каркасно-щитові: ІДЕЯ-ЛОФТ</v>
      </c>
      <c r="D12" s="110"/>
      <c r="E12" s="321"/>
    </row>
    <row r="13" spans="2:9">
      <c r="C13" s="76" t="str">
        <f>IF($E$4="ENG","Wooden Door leafs:Classic","Полотна збірні: КЛАСІК")</f>
        <v>Полотна збірні: КЛАСІК</v>
      </c>
      <c r="D13" s="110"/>
      <c r="E13" s="321"/>
    </row>
    <row r="14" spans="2:9">
      <c r="C14" s="76" t="str">
        <f>IF($E$4="ENG","Wooden Door leafs: LADA A","Полотна збірні: ЛАДА A")</f>
        <v>Полотна збірні: ЛАДА A</v>
      </c>
      <c r="D14" s="110"/>
      <c r="E14" s="321"/>
    </row>
    <row r="15" spans="2:9">
      <c r="C15" s="76" t="str">
        <f>IF($E$4="ENG","Wooden Door leafs: LADA B","Полотна збірні: ЛАДА B")</f>
        <v>Полотна збірні: ЛАДА B</v>
      </c>
      <c r="D15" s="110"/>
      <c r="E15" s="321"/>
    </row>
    <row r="16" spans="2:9">
      <c r="C16" s="76" t="str">
        <f>IF($E$4="ENG","Wooden Door leafs: LADA C","Полотна збірні: ЛАДА C")</f>
        <v>Полотна збірні: ЛАДА C</v>
      </c>
      <c r="D16" s="110"/>
      <c r="E16" s="321"/>
    </row>
    <row r="17" spans="1:9">
      <c r="C17" s="76" t="str">
        <f>IF($E$4="ENG","Wooden Door leafs: LADA D","Полотна збірні: ЛАДА D")</f>
        <v>Полотна збірні: ЛАДА D</v>
      </c>
      <c r="D17" s="110"/>
      <c r="E17" s="321"/>
    </row>
    <row r="18" spans="1:9">
      <c r="C18" s="76" t="str">
        <f>IF($E$4="ENG","Wooden Door leafs: NIKA","Полотна збірні: НІКА")</f>
        <v>Полотна збірні: НІКА</v>
      </c>
      <c r="D18" s="110"/>
      <c r="E18" s="321"/>
    </row>
    <row r="19" spans="1:9">
      <c r="C19" s="76" t="str">
        <f>IF($E$4="ENG","Wooden Door leafs: LISA","Полотна збірні: ЛІСА")</f>
        <v>Полотна збірні: ЛІСА</v>
      </c>
      <c r="D19" s="110"/>
      <c r="E19" s="321"/>
    </row>
    <row r="20" spans="1:9">
      <c r="C20" s="76" t="str">
        <f>IF($E$4="ENG","Wooden Door leafs: LADA-CONCEPT","Полотна збірні: ЛАДА-КОНЦЕПТ")</f>
        <v>Полотна збірні: ЛАДА-КОНЦЕПТ</v>
      </c>
      <c r="D20" s="110"/>
      <c r="E20" s="78"/>
    </row>
    <row r="21" spans="1:9">
      <c r="A21" s="79"/>
      <c r="B21" s="79"/>
      <c r="C21" s="76" t="str">
        <f>IF($E$4="ENG","Wooden Door leafs: LADA-NOVA","Полотна збірні: ЛАДА-НОВА")</f>
        <v>Полотна збірні: ЛАДА-НОВА</v>
      </c>
      <c r="D21" s="110"/>
      <c r="E21" s="78"/>
    </row>
    <row r="22" spans="1:9">
      <c r="C22" s="76" t="str">
        <f>IF($E$4="ENG","Wooden Door leafs: MIRA","Полотна збірні: МІРА")</f>
        <v>Полотна збірні: МІРА</v>
      </c>
      <c r="D22" s="110"/>
      <c r="E22" s="321"/>
    </row>
    <row r="23" spans="1:9">
      <c r="B23" s="112"/>
      <c r="C23" s="76" t="str">
        <f>IF($E$4="ENG","Wooden Door leafs: LADA-LOFT","Полотна збірні: ЛАДА-ЛОФТ")</f>
        <v>Полотна збірні: ЛАДА-ЛОФТ</v>
      </c>
      <c r="D23" s="110"/>
      <c r="E23" s="78"/>
    </row>
    <row r="24" spans="1:9">
      <c r="C24" s="76" t="str">
        <f>IF($E$4="ENG","Door Wooden Door leafs: LINDA","Полотна збірні: ЛІНДА")</f>
        <v>Полотна збірні: ЛІНДА</v>
      </c>
      <c r="D24" s="110"/>
      <c r="E24" s="321"/>
    </row>
    <row r="25" spans="1:9">
      <c r="C25" s="76" t="str">
        <f>IF($E$4="ENG","Wooden Door leafs: TIANA","Полотна збірні: ТІАНА")</f>
        <v>Полотна збірні: ТІАНА</v>
      </c>
      <c r="D25" s="110"/>
      <c r="E25" s="321"/>
    </row>
    <row r="26" spans="1:9">
      <c r="C26" s="76" t="str">
        <f>IF($E$4="ENG","Wooden Door leafs: EVA","Полотна збірні: ЄВА")</f>
        <v>Полотна збірні: ЄВА</v>
      </c>
      <c r="D26" s="110"/>
      <c r="E26" s="321"/>
    </row>
    <row r="27" spans="1:9">
      <c r="C27" s="76" t="str">
        <f>IF($E$4="ENG","Wooden Door leafs: TREND","Полотна збірні: ТРЕНД")</f>
        <v>Полотна збірні: ТРЕНД</v>
      </c>
      <c r="D27" s="110"/>
      <c r="E27" s="78"/>
    </row>
    <row r="28" spans="1:9">
      <c r="C28" s="76" t="str">
        <f>IF($E$4="ENG","Wooden Door leafs: MODERN","Полотна збірні: МОДЕРН")</f>
        <v>Полотна збірні: МОДЕРН</v>
      </c>
      <c r="D28" s="110"/>
      <c r="E28" s="78"/>
      <c r="I28" s="80"/>
    </row>
    <row r="29" spans="1:9">
      <c r="C29" s="76" t="str">
        <f>IF($E$4="ENG","Wooden Door leafs: POLLO","Полотна збірні: ПОЛО")</f>
        <v>Полотна збірні: ПОЛО</v>
      </c>
      <c r="D29" s="110"/>
      <c r="E29" s="78"/>
    </row>
    <row r="30" spans="1:9">
      <c r="C30" s="76" t="str">
        <f>IF($E$4="ENG","Glass Door leafs: LINEYA","Полотна скляні: ЛІНЕЯ")</f>
        <v>Полотна скляні: ЛІНЕЯ</v>
      </c>
      <c r="D30" s="77"/>
      <c r="E30" s="78"/>
    </row>
    <row r="31" spans="1:9">
      <c r="C31" s="76" t="str">
        <f>IF($E$4="ENG","Glass Door leafs: LINE","Полотна скляні: ЛАЙН")</f>
        <v>Полотна скляні: ЛАЙН</v>
      </c>
      <c r="D31" s="110"/>
      <c r="E31" s="78"/>
    </row>
    <row r="32" spans="1:9">
      <c r="C32" s="76" t="str">
        <f>IF($E$4="ENG","Glass Door leafs: ELEGANT","Полотна скляні: ЕЛЕГАНТ")</f>
        <v>Полотна скляні: ЕЛЕГАНТ</v>
      </c>
      <c r="D32" s="110"/>
      <c r="E32" s="78"/>
    </row>
    <row r="33" spans="2:7">
      <c r="C33" s="76" t="str">
        <f>IF($E$4="ENG","Glass Door leafs: GLASSFORD","Полотна скляні: ГЛАСФОРД")</f>
        <v>Полотна скляні: ГЛАСФОРД</v>
      </c>
      <c r="D33" s="77"/>
      <c r="E33" s="78"/>
      <c r="G33" s="204"/>
    </row>
    <row r="34" spans="2:7">
      <c r="C34" s="76" t="str">
        <f>IF($E$4="ENG","Side Panel LADA","Полотна: ДОБОР LADA")</f>
        <v>Полотна: ДОБОР LADA</v>
      </c>
      <c r="D34" s="77"/>
      <c r="E34" s="321"/>
    </row>
    <row r="35" spans="2:7">
      <c r="C35" s="76" t="str">
        <f>IF($E$4="ENG","Side Panels","Полотна: ДОБОРИ")</f>
        <v>Полотна: ДОБОРИ</v>
      </c>
      <c r="D35" s="77"/>
      <c r="E35" s="78"/>
    </row>
    <row r="37" spans="2:7" ht="12.75">
      <c r="B37" s="72" t="str">
        <f>IF($E$4="ENG","DOOR SLIDING SYSTEMS","РОЗСУВНІ СИСТЕМИ")</f>
        <v>РОЗСУВНІ СИСТЕМИ</v>
      </c>
      <c r="G37" s="204"/>
    </row>
    <row r="38" spans="2:7">
      <c r="C38" s="73" t="str">
        <f>IF($E$4="ENG","Sliding System Verto-SLIDE","Розсувна система Verto-SLIDE")</f>
        <v>Розсувна система Verto-SLIDE</v>
      </c>
      <c r="D38" s="111"/>
      <c r="E38" s="75"/>
    </row>
    <row r="40" spans="2:7" ht="12.75">
      <c r="B40" s="72" t="str">
        <f>IF($E$4="ENG","DOOR FRAMES, TRANSOMS AND PLINTHS","ДВЕРНІ КОРОБКИ, ФРАМУГИ ТА ПЛІНТУСИ")</f>
        <v>ДВЕРНІ КОРОБКИ, ФРАМУГИ ТА ПЛІНТУСИ</v>
      </c>
    </row>
    <row r="41" spans="2:7">
      <c r="C41" s="88" t="str">
        <f>IF($E$4="ENG","Door Frame: STANDART","Дверна коробка STANDARD")</f>
        <v>Дверна коробка STANDARD</v>
      </c>
      <c r="D41" s="111"/>
      <c r="E41" s="75"/>
    </row>
    <row r="42" spans="2:7">
      <c r="C42" s="76" t="str">
        <f>IF($E$4="ENG","Door Frame: Verto-FIT","Дверна коробка Verto-FIT")</f>
        <v>Дверна коробка Verto-FIT</v>
      </c>
      <c r="D42" s="111"/>
      <c r="E42" s="78"/>
    </row>
    <row r="43" spans="2:7">
      <c r="C43" s="76" t="str">
        <f>IF($E$4="ENG","Door Frame: Verto-FIT Plus","Дверна коробка Verto-FIT Plus")</f>
        <v>Дверна коробка Verto-FIT Plus</v>
      </c>
      <c r="D43" s="111"/>
      <c r="E43" s="78"/>
    </row>
    <row r="44" spans="2:7">
      <c r="C44" s="76" t="str">
        <f>IF($E$4="ENG","Door Frame: Verto-FIT Comfort","Дверна коробка Verto-FIT Comfort")</f>
        <v>Дверна коробка Verto-FIT Comfort</v>
      </c>
      <c r="D44" s="111"/>
      <c r="E44" s="78"/>
      <c r="G44" s="204"/>
    </row>
    <row r="45" spans="2:7">
      <c r="C45" s="76" t="str">
        <f>IF($E$4="ENG","Plinths","Плінтуси")</f>
        <v>Плінтуси</v>
      </c>
      <c r="D45" s="111"/>
      <c r="E45" s="78"/>
    </row>
    <row r="46" spans="2:7">
      <c r="C46" s="76" t="str">
        <f>IF($E$4="ENG","Transoms","Фрамуги")</f>
        <v>Фрамуги</v>
      </c>
      <c r="D46" s="111"/>
      <c r="E46" s="78"/>
    </row>
    <row r="48" spans="2:7" ht="12.75">
      <c r="B48" s="72" t="str">
        <f>IF($E$4="ENG","OTHER DOOR ACCESSORIES","ІНШІ АКСЕСУАРИ")</f>
        <v>ІНШІ АКСЕСУАРИ</v>
      </c>
    </row>
    <row r="49" spans="2:5" ht="12.75">
      <c r="B49" s="72"/>
      <c r="C49" s="182" t="str">
        <f>IF($E$4="ENG","Door handles","Дверні Ручки")</f>
        <v>Дверні Ручки</v>
      </c>
      <c r="D49" s="74"/>
      <c r="E49" s="75"/>
    </row>
    <row r="50" spans="2:5">
      <c r="B50" s="112"/>
      <c r="C50" s="88" t="str">
        <f>IF($E$4="ENG","Other door accessories","Інші Аксесуари")</f>
        <v>Інші Аксесуари</v>
      </c>
      <c r="D50" s="74"/>
      <c r="E50" s="75"/>
    </row>
    <row r="51" spans="2:5">
      <c r="C51" s="81"/>
    </row>
    <row r="52" spans="2:5">
      <c r="C52" s="81"/>
    </row>
  </sheetData>
  <sheetProtection password="D276" sheet="1" objects="1" scenarios="1"/>
  <mergeCells count="1">
    <mergeCell ref="B2:C2"/>
  </mergeCells>
  <phoneticPr fontId="5" type="noConversion"/>
  <dataValidations count="1">
    <dataValidation type="list" allowBlank="1" showInputMessage="1" showErrorMessage="1" sqref="E4">
      <formula1>$I$2:$I$3</formula1>
    </dataValidation>
  </dataValidations>
  <hyperlinks>
    <hyperlink ref="C8" location="Door_Standard" display="Полотна гладкие: СТАНДАРТ"/>
    <hyperlink ref="C9" location="Door_Kupava" display="Полотна гладкие: КУПАВА"/>
    <hyperlink ref="C10" location="Door_Geometry" display="Полотна гладкие: ГЕОМЕТРИЯ"/>
    <hyperlink ref="C11" location="Door_Idea" display="Полотна гладкие: ИДЕЯ"/>
    <hyperlink ref="C14" location="Door_LadaA" display="Door_LadaA"/>
    <hyperlink ref="C20" location="Door_LadaK" display="Полотна сборные: ЛАДА-КОНЦЕПТ"/>
    <hyperlink ref="C30" location="Door_Lineya" display="Полотна стеклянные: ЛИНЕЯ"/>
    <hyperlink ref="C31" location="Door_Line" display="Полотна стеклянные: ЛАЙН"/>
    <hyperlink ref="C32" location="Door_Elegant" display="Полотна стеклянные: ЭЛЕГАНТ"/>
    <hyperlink ref="C33" location="Door_Glasford" display="Полотна стеклянные: ГЛАСФОРД"/>
    <hyperlink ref="C41" location="Frame_Stand" display="Дверная коробка STANDART"/>
    <hyperlink ref="C42" location="Frame_VFit" display="Дверная коробка Verto-FIT"/>
    <hyperlink ref="C46" location="Framugi" display="Фрамуги"/>
    <hyperlink ref="C50" location="Furniture" display="Фурнитура"/>
    <hyperlink ref="C34" location="Door_Dobor_Lada" display="Door_Dobor_Lada"/>
    <hyperlink ref="C38" location="Verto_Slide" display="Раздвижная система Verto-SLIDE"/>
    <hyperlink ref="C49" location="DoorHandles" display="Дверные Ручки и Комплектующие"/>
    <hyperlink ref="C43" location="Frame_VFitPlus" display="Frame_VFitPlus"/>
    <hyperlink ref="C44" location="Frame_VFitComfort" display="Frame_VFitComfort"/>
    <hyperlink ref="C21" location="Door_LadaN" display="Полотна сборные: ЛАДА-НОВА"/>
    <hyperlink ref="C23" location="Door_LadaL" display="Door_LadaL"/>
    <hyperlink ref="C27" location="Door_Trend" display="Door_Trend"/>
    <hyperlink ref="C28" location="Door_Modern" display="Door_Modern"/>
    <hyperlink ref="C45" location="Plinths" display="Plinths"/>
    <hyperlink ref="C15:C17" location="Door_Lada" display="Полотна сборные: ЛАДА"/>
    <hyperlink ref="C18" location="Door_Nika" display="Door_Nika"/>
    <hyperlink ref="C19" location="Door_Lisa" display="Door_Lisa"/>
    <hyperlink ref="C22" location="Door_Mira" display="Door_Mira"/>
    <hyperlink ref="C29" location="Door_Pollo" display="Door_Pollo"/>
    <hyperlink ref="C24" location="Door_Linda" display="Door_Linda"/>
    <hyperlink ref="C25" location="Door_Tiana" display="Door_Tiana"/>
    <hyperlink ref="C26" location="Door_Eva" display="Door_Eva"/>
    <hyperlink ref="C15" location="Door_LadaB" display="Door_LadaB"/>
    <hyperlink ref="C16" location="Door_LadaC" display="Door_LadaC"/>
    <hyperlink ref="C17" location="Door_LadaD" display="Door_LadaD"/>
    <hyperlink ref="C35" location="Door_Dobor" display="Полотна: ДОБОРЫ"/>
    <hyperlink ref="C12" location="Door_IdeaLoft" display="Door_IdeaLoft"/>
    <hyperlink ref="C13" location="Полотна_збірні__КЛАСІК" display="Полотна_збірні__КЛАСІК"/>
  </hyperlinks>
  <pageMargins left="0.37" right="0.41" top="0.49" bottom="0.49" header="0.5" footer="0.5"/>
  <pageSetup paperSize="9" scale="12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>
    <tabColor indexed="13"/>
  </sheetPr>
  <dimension ref="A1:BF2601"/>
  <sheetViews>
    <sheetView showGridLines="0" topLeftCell="A2303" zoomScale="85" zoomScaleNormal="85" workbookViewId="0">
      <selection activeCell="K2344" sqref="K2344"/>
    </sheetView>
  </sheetViews>
  <sheetFormatPr defaultColWidth="9.140625" defaultRowHeight="12.75"/>
  <cols>
    <col min="1" max="1" width="1" style="1" customWidth="1"/>
    <col min="2" max="2" width="23.42578125" style="1" customWidth="1"/>
    <col min="3" max="3" width="11.7109375" style="246" customWidth="1"/>
    <col min="4" max="4" width="6.7109375" style="1" hidden="1" customWidth="1"/>
    <col min="5" max="5" width="15.7109375" style="1" customWidth="1"/>
    <col min="6" max="6" width="6.7109375" style="1" hidden="1" customWidth="1"/>
    <col min="7" max="7" width="15.7109375" style="1" customWidth="1"/>
    <col min="8" max="8" width="6.7109375" style="1" hidden="1" customWidth="1"/>
    <col min="9" max="9" width="15.7109375" style="1" customWidth="1"/>
    <col min="10" max="10" width="6.7109375" style="1" hidden="1" customWidth="1"/>
    <col min="11" max="11" width="15.7109375" style="1" customWidth="1"/>
    <col min="12" max="12" width="6.7109375" style="1" hidden="1" customWidth="1"/>
    <col min="13" max="13" width="15.7109375" style="1" customWidth="1"/>
    <col min="14" max="14" width="6.7109375" style="1" hidden="1" customWidth="1"/>
    <col min="15" max="15" width="15.7109375" style="1" customWidth="1"/>
    <col min="16" max="16" width="6.7109375" style="1" hidden="1" customWidth="1"/>
    <col min="17" max="17" width="15.7109375" style="1" customWidth="1"/>
    <col min="18" max="18" width="6.7109375" style="1" hidden="1" customWidth="1"/>
    <col min="19" max="19" width="15.7109375" style="1" customWidth="1"/>
    <col min="20" max="20" width="6.7109375" style="1" hidden="1" customWidth="1"/>
    <col min="21" max="21" width="15.7109375" style="1" customWidth="1"/>
    <col min="22" max="22" width="6.7109375" style="1" hidden="1" customWidth="1"/>
    <col min="23" max="23" width="15.7109375" style="1" customWidth="1"/>
    <col min="24" max="25" width="10.7109375" style="1" customWidth="1"/>
    <col min="26" max="28" width="10.7109375" style="1" hidden="1" customWidth="1"/>
    <col min="29" max="39" width="9.140625" style="1" hidden="1" customWidth="1"/>
    <col min="40" max="40" width="9.28515625" style="30" hidden="1" customWidth="1"/>
    <col min="41" max="46" width="9.140625" style="30" hidden="1" customWidth="1"/>
    <col min="47" max="50" width="9.140625" style="1" hidden="1" customWidth="1"/>
    <col min="51" max="73" width="9.140625" style="1" customWidth="1"/>
    <col min="74" max="16384" width="9.140625" style="1"/>
  </cols>
  <sheetData>
    <row r="1" spans="1:46" ht="12.75" customHeight="1">
      <c r="B1" s="113" t="str">
        <f>TITLE!B2</f>
        <v>ВЕРСІЯ: 56.00.23</v>
      </c>
      <c r="C1" s="245" t="str">
        <f>TITLE!E4</f>
        <v>UA</v>
      </c>
      <c r="E1" s="475" t="str">
        <f>IF($C$1="ENG","51400, Pavlograd town, 9 Teroshkina Str, tel. (0563) 20 93 80","51400, м. Павлоград, вул. Терьошкіна, 9, тел. (0563) 20 93 80")</f>
        <v>51400, м. Павлоград, вул. Терьошкіна, 9, тел. (0563) 20 93 80</v>
      </c>
      <c r="F1" s="475"/>
      <c r="G1" s="475"/>
      <c r="H1" s="475"/>
      <c r="I1" s="475"/>
      <c r="J1" s="475"/>
      <c r="K1" s="475"/>
      <c r="N1" s="91"/>
      <c r="O1" s="91"/>
      <c r="R1" s="91"/>
      <c r="S1" s="91"/>
      <c r="V1" s="89"/>
      <c r="W1" s="90"/>
      <c r="AC1" s="286"/>
    </row>
    <row r="2" spans="1:46">
      <c r="E2" s="476" t="str">
        <f>IF($C$1="ENG","e-mail: info@verto-doors.com, web-site: www.verto-doors.com","e-mail: info@verto-doors.com, web-site: www.verto-doors.com")</f>
        <v>e-mail: info@verto-doors.com, web-site: www.verto-doors.com</v>
      </c>
      <c r="F2" s="476"/>
      <c r="G2" s="476"/>
      <c r="H2" s="476"/>
      <c r="I2" s="476"/>
      <c r="J2" s="476"/>
      <c r="K2" s="476"/>
      <c r="U2" s="207" t="str">
        <f>IF($C$1="ENG","discount","знижка")</f>
        <v>знижка</v>
      </c>
      <c r="W2" s="70">
        <v>0</v>
      </c>
      <c r="AC2" s="287">
        <v>0.2</v>
      </c>
    </row>
    <row r="3" spans="1:46" ht="5.0999999999999996" customHeight="1">
      <c r="E3" s="8"/>
      <c r="H3" s="2"/>
      <c r="J3" s="3"/>
      <c r="K3" s="4"/>
      <c r="V3" s="89"/>
      <c r="AC3" s="288">
        <v>0</v>
      </c>
    </row>
    <row r="4" spans="1:46" ht="12.75" customHeight="1">
      <c r="E4" s="477" t="str">
        <f>IF($C$1="ENG","RETAIL PRICES FOR VERTO PRODUCTS","РОЗДРІБНІ ЦІНИ НА ПРОДУКЦІЮ ТМ VERTO")</f>
        <v>РОЗДРІБНІ ЦІНИ НА ПРОДУКЦІЮ ТМ VERTO</v>
      </c>
      <c r="F4" s="477"/>
      <c r="G4" s="477"/>
      <c r="H4" s="477"/>
      <c r="I4" s="477"/>
      <c r="U4" s="207" t="str">
        <f>IF($C$1="ENG","exchange rate (for 1 UAH)","курс валют (за 1 грн.)")</f>
        <v>курс валют (за 1 грн.)</v>
      </c>
      <c r="W4" s="208">
        <v>1</v>
      </c>
      <c r="AC4" s="286"/>
    </row>
    <row r="5" spans="1:46">
      <c r="C5" s="245"/>
      <c r="D5" s="5"/>
      <c r="E5" s="206" t="str">
        <f>TITLE!D2</f>
        <v>діє з: 03 липня 2024 р.</v>
      </c>
      <c r="F5" s="5"/>
      <c r="G5" s="5"/>
      <c r="U5" s="209" t="str">
        <f>IF($C$1="ENG","VAT","ПДВ")</f>
        <v>ПДВ</v>
      </c>
      <c r="V5" s="210"/>
      <c r="W5" s="211">
        <v>0.2</v>
      </c>
      <c r="AC5" s="286"/>
    </row>
    <row r="6" spans="1:46" ht="5.0999999999999996" customHeight="1">
      <c r="C6" s="245"/>
      <c r="D6" s="5"/>
      <c r="E6" s="5"/>
      <c r="F6" s="5"/>
      <c r="G6" s="5"/>
      <c r="AC6" s="286"/>
    </row>
    <row r="7" spans="1:46" ht="12.75" customHeight="1">
      <c r="B7" s="482" t="str">
        <f>IF($C$1="ENG","TO MAIN PAGE","НА ГОЛОВНУ")</f>
        <v>НА ГОЛОВНУ</v>
      </c>
      <c r="C7" s="483"/>
      <c r="D7" s="478" t="str">
        <f>IF($C$1="ENG","Price","Ціна")</f>
        <v>Ціна</v>
      </c>
      <c r="E7" s="479"/>
      <c r="F7" s="478" t="str">
        <f>IF($C$1="ENG","Price","Ціна")</f>
        <v>Ціна</v>
      </c>
      <c r="G7" s="479"/>
      <c r="H7" s="478" t="str">
        <f>IF($C$1="ENG","Price","Ціна")</f>
        <v>Ціна</v>
      </c>
      <c r="I7" s="479"/>
      <c r="J7" s="478" t="str">
        <f>IF($C$1="ENG","Price","Ціна")</f>
        <v>Ціна</v>
      </c>
      <c r="K7" s="479"/>
      <c r="L7" s="478" t="str">
        <f>IF($C$1="ENG","Price","Ціна")</f>
        <v>Ціна</v>
      </c>
      <c r="M7" s="479"/>
      <c r="N7" s="478" t="str">
        <f>IF($C$1="ENG","Price","Ціна")</f>
        <v>Ціна</v>
      </c>
      <c r="O7" s="479"/>
      <c r="P7" s="478" t="str">
        <f>IF($C$1="ENG","Price","Ціна")</f>
        <v>Ціна</v>
      </c>
      <c r="Q7" s="479"/>
      <c r="R7" s="478" t="str">
        <f>IF($C$1="ENG","Price","Ціна")</f>
        <v>Ціна</v>
      </c>
      <c r="S7" s="479"/>
      <c r="T7" s="478" t="str">
        <f>IF($C$1="ENG","Price","Ціна")</f>
        <v>Ціна</v>
      </c>
      <c r="U7" s="479"/>
      <c r="V7" s="478" t="str">
        <f>IF($C$1="ENG","Price","Ціна")</f>
        <v>Ціна</v>
      </c>
      <c r="W7" s="479"/>
      <c r="AC7" s="286" t="s">
        <v>58</v>
      </c>
      <c r="AD7" s="286" t="s">
        <v>59</v>
      </c>
      <c r="AE7" s="286" t="s">
        <v>60</v>
      </c>
      <c r="AF7" s="286" t="s">
        <v>61</v>
      </c>
      <c r="AG7" s="286" t="s">
        <v>62</v>
      </c>
      <c r="AH7" s="286" t="s">
        <v>63</v>
      </c>
      <c r="AI7" s="286" t="s">
        <v>64</v>
      </c>
      <c r="AJ7" s="286" t="s">
        <v>65</v>
      </c>
      <c r="AK7" s="286" t="s">
        <v>69</v>
      </c>
      <c r="AL7" s="286" t="s">
        <v>70</v>
      </c>
    </row>
    <row r="8" spans="1:46">
      <c r="B8" s="480" t="str">
        <f>IF($C$1="ENG","Products","Асортимент")</f>
        <v>Асортимент</v>
      </c>
      <c r="C8" s="481"/>
      <c r="D8" s="6" t="s">
        <v>66</v>
      </c>
      <c r="E8" s="7" t="str">
        <f>IF($C$1="ENG",IF($W$5=0.2,"with VAT","no VAT"),IF($W$5=0.2,"з ПДВ","без ПДВ"))</f>
        <v>з ПДВ</v>
      </c>
      <c r="F8" s="6" t="s">
        <v>66</v>
      </c>
      <c r="G8" s="7" t="str">
        <f>IF($C$1="ENG",IF($W$5=0.2,"with VAT","no VAT"),IF($W$5=0.2,"з ПДВ","без ПДВ"))</f>
        <v>з ПДВ</v>
      </c>
      <c r="H8" s="6" t="s">
        <v>66</v>
      </c>
      <c r="I8" s="7" t="str">
        <f>IF($C$1="ENG",IF($W$5=0.2,"with VAT","no VAT"),IF($W$5=0.2,"з ПДВ","без ПДВ"))</f>
        <v>з ПДВ</v>
      </c>
      <c r="J8" s="6" t="s">
        <v>66</v>
      </c>
      <c r="K8" s="7" t="str">
        <f>IF($C$1="ENG",IF($W$5=0.2,"with VAT","no VAT"),IF($W$5=0.2,"з ПДВ","без ПДВ"))</f>
        <v>з ПДВ</v>
      </c>
      <c r="L8" s="6" t="s">
        <v>66</v>
      </c>
      <c r="M8" s="7" t="str">
        <f>IF($C$1="ENG",IF($W$5=0.2,"with VAT","no VAT"),IF($W$5=0.2,"з ПДВ","без ПДВ"))</f>
        <v>з ПДВ</v>
      </c>
      <c r="N8" s="6" t="s">
        <v>66</v>
      </c>
      <c r="O8" s="7" t="str">
        <f>IF($C$1="ENG",IF($W$5=0.2,"with VAT","no VAT"),IF($W$5=0.2,"з ПДВ","без ПДВ"))</f>
        <v>з ПДВ</v>
      </c>
      <c r="P8" s="6" t="s">
        <v>66</v>
      </c>
      <c r="Q8" s="7" t="str">
        <f>IF($C$1="ENG",IF($W$5=0.2,"with VAT","no VAT"),IF($W$5=0.2,"з ПДВ","без ПДВ"))</f>
        <v>з ПДВ</v>
      </c>
      <c r="R8" s="6" t="s">
        <v>66</v>
      </c>
      <c r="S8" s="7" t="str">
        <f>IF($C$1="ENG",IF($W$5=0.2,"with VAT","no VAT"),IF($W$5=0.2,"з ПДВ","без ПДВ"))</f>
        <v>з ПДВ</v>
      </c>
      <c r="T8" s="6" t="s">
        <v>66</v>
      </c>
      <c r="U8" s="7" t="str">
        <f>IF($C$1="ENG",IF($W$5=0.2,"with VAT","no VAT"),IF($W$5=0.2,"з ПДВ","без ПДВ"))</f>
        <v>з ПДВ</v>
      </c>
      <c r="V8" s="6" t="s">
        <v>66</v>
      </c>
      <c r="W8" s="7" t="str">
        <f>IF($C$1="ENG",IF($W$5=0.2,"with VAT","no VAT"),IF($W$5=0.2,"з ПДВ","без ПДВ"))</f>
        <v>з ПДВ</v>
      </c>
      <c r="AC8" s="286"/>
      <c r="AD8" s="286"/>
      <c r="AE8" s="286"/>
      <c r="AF8" s="286"/>
      <c r="AG8" s="286"/>
      <c r="AH8" s="286"/>
      <c r="AI8" s="286"/>
      <c r="AJ8" s="286"/>
      <c r="AK8" s="286"/>
      <c r="AL8" s="286"/>
    </row>
    <row r="10" spans="1:46" s="8" customFormat="1">
      <c r="B10" s="451" t="str">
        <f>TITLE!$C$8</f>
        <v>Полотна каркасно-щитові: СТАНДАРТ</v>
      </c>
      <c r="C10" s="451"/>
      <c r="D10" s="463"/>
      <c r="E10" s="463"/>
      <c r="F10" s="118"/>
      <c r="G10" s="118"/>
      <c r="H10" s="118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AN10" s="280"/>
      <c r="AO10" s="280"/>
      <c r="AP10" s="280"/>
      <c r="AQ10" s="280"/>
      <c r="AR10" s="280"/>
      <c r="AS10" s="280"/>
      <c r="AT10" s="280"/>
    </row>
    <row r="11" spans="1:46" s="8" customFormat="1" ht="5.0999999999999996" customHeight="1">
      <c r="B11" s="117"/>
      <c r="C11" s="420"/>
      <c r="D11" s="10"/>
      <c r="E11" s="10"/>
      <c r="F11" s="10"/>
      <c r="G11" s="10"/>
      <c r="H11" s="10"/>
      <c r="AN11" s="280"/>
      <c r="AO11" s="280"/>
      <c r="AP11" s="280"/>
      <c r="AQ11" s="280"/>
      <c r="AR11" s="280"/>
      <c r="AS11" s="280"/>
      <c r="AT11" s="280"/>
    </row>
    <row r="12" spans="1:46" s="8" customFormat="1" ht="14.25" customHeight="1">
      <c r="B12" s="452" t="str">
        <f>IF($C$1="ENG","model","модель")</f>
        <v>модель</v>
      </c>
      <c r="C12" s="122" t="str">
        <f>IF($C$1="ENG","cover:","покриття:")</f>
        <v>покриття:</v>
      </c>
      <c r="D12" s="458" t="str">
        <f>IF($C$1="ENG","SIMPL / V-CELL","SIMPL / V-CELL")</f>
        <v>SIMPL / V-CELL</v>
      </c>
      <c r="E12" s="459"/>
      <c r="F12" s="458" t="str">
        <f>IF($C$1="ENG","UNI-MAT","UNI-MAT")</f>
        <v>UNI-MAT</v>
      </c>
      <c r="G12" s="459"/>
      <c r="H12" s="46"/>
      <c r="I12" s="46"/>
      <c r="J12" s="46"/>
      <c r="K12" s="46"/>
      <c r="AN12" s="280"/>
      <c r="AO12" s="280"/>
      <c r="AP12" s="280"/>
      <c r="AQ12" s="280"/>
      <c r="AR12" s="280"/>
      <c r="AS12" s="280"/>
      <c r="AT12" s="280"/>
    </row>
    <row r="13" spans="1:46" ht="12.75" customHeight="1">
      <c r="A13" s="8"/>
      <c r="B13" s="453"/>
      <c r="C13" s="123" t="str">
        <f>IF($C$1="ENG","filling:","заповнення:")</f>
        <v>заповнення:</v>
      </c>
      <c r="D13" s="460" t="str">
        <f>IF($C$1="ENG","honeycomb core ","сотове заповнення")</f>
        <v>сотове заповнення</v>
      </c>
      <c r="E13" s="461"/>
      <c r="F13" s="460" t="str">
        <f>IF($C$1="ENG","honeycomb core ","сотове заповнення")</f>
        <v>сотове заповнення</v>
      </c>
      <c r="G13" s="461"/>
      <c r="H13" s="47"/>
      <c r="I13" s="47"/>
      <c r="J13" s="47"/>
      <c r="K13" s="131"/>
      <c r="L13" s="11"/>
      <c r="M13" s="11"/>
      <c r="P13" s="11"/>
      <c r="Q13" s="11"/>
    </row>
    <row r="14" spans="1:46" ht="12.75" customHeight="1">
      <c r="A14" s="8"/>
      <c r="B14" s="454"/>
      <c r="C14" s="124" t="str">
        <f>IF($C$1="ENG","glazing:","скління:")</f>
        <v>скління:</v>
      </c>
      <c r="D14" s="449" t="str">
        <f>IF($C$1="ENG","Krizet","Кризет")</f>
        <v>Кризет</v>
      </c>
      <c r="E14" s="450"/>
      <c r="F14" s="449" t="str">
        <f>IF($C$1="ENG","Krizet","Кризет")</f>
        <v>Кризет</v>
      </c>
      <c r="G14" s="450"/>
      <c r="H14" s="47"/>
      <c r="I14" s="47"/>
      <c r="J14" s="47"/>
      <c r="K14" s="396"/>
      <c r="L14" s="397"/>
      <c r="M14" s="397"/>
      <c r="N14" s="396"/>
      <c r="O14" s="397"/>
      <c r="P14" s="397"/>
      <c r="Q14" s="396"/>
      <c r="AC14" s="335" t="str">
        <f>D12</f>
        <v>SIMPL / V-CELL</v>
      </c>
      <c r="AD14" s="335" t="str">
        <f>F12</f>
        <v>UNI-MAT</v>
      </c>
    </row>
    <row r="15" spans="1:46" ht="35.1" customHeight="1">
      <c r="A15" s="8"/>
      <c r="B15" s="13" t="s">
        <v>0</v>
      </c>
      <c r="C15" s="14"/>
      <c r="D15" s="101">
        <f>IF(AC15="","",(1-$W$2)*(AC15/1.2))</f>
        <v>4425</v>
      </c>
      <c r="E15" s="64">
        <f t="shared" ref="E15:E20" si="0">IF($W$5=0.2,D15*1.2,D15)/$W$4</f>
        <v>5310</v>
      </c>
      <c r="F15" s="101">
        <f t="shared" ref="F15:F20" si="1">IF(AD15="","",(1-$W$2)*(AD15/1.2))</f>
        <v>5050</v>
      </c>
      <c r="G15" s="64">
        <f t="shared" ref="G15:G20" si="2">IF($W$5=0.2,F15*1.2,F15)/$W$4</f>
        <v>6060</v>
      </c>
      <c r="H15" s="28"/>
      <c r="I15" s="59"/>
      <c r="J15" s="28"/>
      <c r="K15" s="59"/>
      <c r="L15" s="11"/>
      <c r="M15" s="83"/>
      <c r="O15" s="20"/>
      <c r="P15" s="11"/>
      <c r="Q15" s="83"/>
      <c r="S15" s="20"/>
      <c r="U15" s="20"/>
      <c r="W15" s="20"/>
      <c r="AC15" s="332">
        <v>5310</v>
      </c>
      <c r="AD15" s="332">
        <v>6060</v>
      </c>
      <c r="AE15" s="289"/>
      <c r="AF15" s="289"/>
      <c r="AG15" s="398">
        <f>AE15/AC15-1</f>
        <v>-1</v>
      </c>
      <c r="AH15" s="398">
        <f>AF15/AD15-1</f>
        <v>-1</v>
      </c>
      <c r="AI15" s="289"/>
      <c r="AJ15" s="289"/>
      <c r="AK15" s="289"/>
      <c r="AL15" s="289"/>
    </row>
    <row r="16" spans="1:46" ht="35.1" customHeight="1">
      <c r="A16" s="8"/>
      <c r="B16" s="16" t="s">
        <v>2</v>
      </c>
      <c r="C16" s="17"/>
      <c r="D16" s="102">
        <f t="shared" ref="D16:D20" si="3">IF(AC16="","",(1-$W$2)*(AC16/1.2))</f>
        <v>4683.3333333333339</v>
      </c>
      <c r="E16" s="66">
        <f t="shared" si="0"/>
        <v>5620.0000000000009</v>
      </c>
      <c r="F16" s="102">
        <f t="shared" si="1"/>
        <v>5366.666666666667</v>
      </c>
      <c r="G16" s="66">
        <f t="shared" si="2"/>
        <v>6440</v>
      </c>
      <c r="H16" s="28"/>
      <c r="I16" s="59"/>
      <c r="J16" s="28"/>
      <c r="K16" s="59"/>
      <c r="L16" s="19"/>
      <c r="M16" s="83"/>
      <c r="O16" s="20"/>
      <c r="P16" s="19"/>
      <c r="Q16" s="83"/>
      <c r="S16" s="20"/>
      <c r="U16" s="20"/>
      <c r="W16" s="20"/>
      <c r="AC16" s="332">
        <v>5620</v>
      </c>
      <c r="AD16" s="332">
        <v>6440</v>
      </c>
      <c r="AE16" s="289"/>
      <c r="AF16" s="289"/>
      <c r="AG16" s="398">
        <f t="shared" ref="AG16:AH20" si="4">AE16/AC16-1</f>
        <v>-1</v>
      </c>
      <c r="AH16" s="398">
        <f t="shared" si="4"/>
        <v>-1</v>
      </c>
      <c r="AI16" s="289"/>
      <c r="AJ16" s="289"/>
      <c r="AK16" s="289"/>
      <c r="AL16" s="289"/>
    </row>
    <row r="17" spans="1:38" ht="35.1" customHeight="1">
      <c r="A17" s="8"/>
      <c r="B17" s="16" t="s">
        <v>1</v>
      </c>
      <c r="C17" s="17"/>
      <c r="D17" s="102">
        <f t="shared" si="3"/>
        <v>4425</v>
      </c>
      <c r="E17" s="66">
        <f t="shared" si="0"/>
        <v>5310</v>
      </c>
      <c r="F17" s="102">
        <f t="shared" si="1"/>
        <v>5050</v>
      </c>
      <c r="G17" s="66">
        <f t="shared" si="2"/>
        <v>6060</v>
      </c>
      <c r="H17" s="28"/>
      <c r="I17" s="59"/>
      <c r="J17" s="28"/>
      <c r="K17" s="59"/>
      <c r="L17" s="11"/>
      <c r="M17" s="83"/>
      <c r="N17" s="21"/>
      <c r="O17" s="20"/>
      <c r="P17" s="11"/>
      <c r="Q17" s="83"/>
      <c r="R17" s="21"/>
      <c r="S17" s="20"/>
      <c r="U17" s="20"/>
      <c r="W17" s="20"/>
      <c r="AC17" s="332">
        <v>5310</v>
      </c>
      <c r="AD17" s="332">
        <v>6060</v>
      </c>
      <c r="AE17" s="289"/>
      <c r="AF17" s="289"/>
      <c r="AG17" s="398">
        <f t="shared" si="4"/>
        <v>-1</v>
      </c>
      <c r="AH17" s="398">
        <f t="shared" si="4"/>
        <v>-1</v>
      </c>
      <c r="AI17" s="289"/>
      <c r="AJ17" s="289"/>
      <c r="AK17" s="289"/>
      <c r="AL17" s="289"/>
    </row>
    <row r="18" spans="1:38" ht="35.1" customHeight="1">
      <c r="A18" s="8"/>
      <c r="B18" s="16" t="s">
        <v>3</v>
      </c>
      <c r="C18" s="17"/>
      <c r="D18" s="102">
        <f t="shared" si="3"/>
        <v>4683.3333333333339</v>
      </c>
      <c r="E18" s="66">
        <f t="shared" si="0"/>
        <v>5620.0000000000009</v>
      </c>
      <c r="F18" s="102">
        <f t="shared" si="1"/>
        <v>5366.666666666667</v>
      </c>
      <c r="G18" s="66">
        <f t="shared" si="2"/>
        <v>6440</v>
      </c>
      <c r="H18" s="28"/>
      <c r="I18" s="59"/>
      <c r="J18" s="28"/>
      <c r="K18" s="59"/>
      <c r="L18" s="19"/>
      <c r="M18" s="83"/>
      <c r="N18" s="21"/>
      <c r="O18" s="20"/>
      <c r="P18" s="19"/>
      <c r="Q18" s="83"/>
      <c r="R18" s="21"/>
      <c r="S18" s="20"/>
      <c r="U18" s="20"/>
      <c r="W18" s="20"/>
      <c r="AC18" s="332">
        <v>5620</v>
      </c>
      <c r="AD18" s="332">
        <v>6440</v>
      </c>
      <c r="AE18" s="289"/>
      <c r="AF18" s="289"/>
      <c r="AG18" s="398">
        <f t="shared" si="4"/>
        <v>-1</v>
      </c>
      <c r="AH18" s="398">
        <f t="shared" si="4"/>
        <v>-1</v>
      </c>
      <c r="AI18" s="289"/>
      <c r="AJ18" s="289"/>
      <c r="AK18" s="289"/>
      <c r="AL18" s="289"/>
    </row>
    <row r="19" spans="1:38" ht="35.1" customHeight="1">
      <c r="A19" s="8"/>
      <c r="B19" s="16" t="s">
        <v>17</v>
      </c>
      <c r="C19" s="17"/>
      <c r="D19" s="102">
        <f t="shared" si="3"/>
        <v>4158.3333333333339</v>
      </c>
      <c r="E19" s="66">
        <f t="shared" si="0"/>
        <v>4990.0000000000009</v>
      </c>
      <c r="F19" s="102">
        <f t="shared" si="1"/>
        <v>4766.666666666667</v>
      </c>
      <c r="G19" s="66">
        <f t="shared" si="2"/>
        <v>5720</v>
      </c>
      <c r="H19" s="28"/>
      <c r="I19" s="59"/>
      <c r="J19" s="28"/>
      <c r="K19" s="59"/>
      <c r="L19" s="11"/>
      <c r="M19" s="83"/>
      <c r="N19" s="21"/>
      <c r="O19" s="20"/>
      <c r="P19" s="11"/>
      <c r="Q19" s="83"/>
      <c r="R19" s="21"/>
      <c r="S19" s="20"/>
      <c r="U19" s="20"/>
      <c r="W19" s="20"/>
      <c r="AC19" s="332">
        <v>4990</v>
      </c>
      <c r="AD19" s="332">
        <v>5720</v>
      </c>
      <c r="AE19" s="289"/>
      <c r="AF19" s="289"/>
      <c r="AG19" s="398">
        <f t="shared" si="4"/>
        <v>-1</v>
      </c>
      <c r="AH19" s="398">
        <f t="shared" si="4"/>
        <v>-1</v>
      </c>
      <c r="AI19" s="289"/>
      <c r="AJ19" s="289"/>
      <c r="AK19" s="289"/>
      <c r="AL19" s="289"/>
    </row>
    <row r="20" spans="1:38" ht="35.1" customHeight="1">
      <c r="A20" s="8"/>
      <c r="B20" s="23" t="s">
        <v>18</v>
      </c>
      <c r="C20" s="24"/>
      <c r="D20" s="103">
        <f t="shared" si="3"/>
        <v>4158.3333333333339</v>
      </c>
      <c r="E20" s="69">
        <f t="shared" si="0"/>
        <v>4990.0000000000009</v>
      </c>
      <c r="F20" s="103">
        <f t="shared" si="1"/>
        <v>4766.666666666667</v>
      </c>
      <c r="G20" s="69">
        <f t="shared" si="2"/>
        <v>5720</v>
      </c>
      <c r="H20" s="28"/>
      <c r="I20" s="59"/>
      <c r="J20" s="28"/>
      <c r="K20" s="59"/>
      <c r="L20" s="19"/>
      <c r="M20" s="83"/>
      <c r="N20" s="21"/>
      <c r="O20" s="20"/>
      <c r="P20" s="19"/>
      <c r="Q20" s="83"/>
      <c r="R20" s="21"/>
      <c r="S20" s="20"/>
      <c r="U20" s="20"/>
      <c r="W20" s="20"/>
      <c r="AC20" s="332">
        <v>4990</v>
      </c>
      <c r="AD20" s="332">
        <v>5720</v>
      </c>
      <c r="AE20" s="289"/>
      <c r="AF20" s="289"/>
      <c r="AG20" s="398">
        <f t="shared" si="4"/>
        <v>-1</v>
      </c>
      <c r="AH20" s="398">
        <f t="shared" si="4"/>
        <v>-1</v>
      </c>
      <c r="AI20" s="289"/>
      <c r="AJ20" s="289"/>
      <c r="AK20" s="289"/>
      <c r="AL20" s="289"/>
    </row>
    <row r="21" spans="1:38">
      <c r="C21" s="245"/>
      <c r="D21" s="26"/>
      <c r="E21" s="26"/>
      <c r="F21" s="325"/>
      <c r="G21" s="325"/>
      <c r="H21" s="10"/>
      <c r="I21" s="48"/>
      <c r="J21" s="48"/>
      <c r="K21" s="48"/>
    </row>
    <row r="22" spans="1:38">
      <c r="B22" s="212" t="str">
        <f>IF($C$1="ENG","For additonal charge:","Послуги за додаткову плату:")</f>
        <v>Послуги за додаткову плату:</v>
      </c>
      <c r="C22" s="421"/>
      <c r="D22" s="213"/>
      <c r="E22" s="214"/>
      <c r="F22" s="26"/>
      <c r="G22" s="26"/>
      <c r="H22" s="10"/>
      <c r="I22" s="48"/>
      <c r="J22" s="48"/>
      <c r="K22" s="48"/>
    </row>
    <row r="23" spans="1:38" ht="5.0999999999999996" customHeight="1">
      <c r="B23" s="27"/>
      <c r="C23" s="245"/>
      <c r="D23" s="39"/>
      <c r="E23" s="26"/>
      <c r="F23" s="26"/>
      <c r="G23" s="26"/>
      <c r="H23" s="10"/>
      <c r="I23" s="8"/>
    </row>
    <row r="24" spans="1:38">
      <c r="B24" s="447" t="str">
        <f>IF($C$1="ENG","Ventilation sleeves (1 row)","вентиляційні віддушини (1ряд)")</f>
        <v>вентиляційні віддушини (1ряд)</v>
      </c>
      <c r="C24" s="448"/>
      <c r="D24" s="132">
        <f t="shared" ref="D24:D39" si="5">IF(AC24="","",(1-$W$2)*(AC24/1.2))</f>
        <v>208.33333333333334</v>
      </c>
      <c r="E24" s="64">
        <f t="shared" ref="E24:E29" si="6">IF($W$5=0.2,D24*1.2,D24)/$W$4</f>
        <v>250</v>
      </c>
      <c r="F24" s="26"/>
      <c r="G24" s="26"/>
      <c r="I24" s="59"/>
      <c r="J24" s="28"/>
      <c r="AC24" s="298">
        <v>250</v>
      </c>
      <c r="AD24" s="289">
        <v>250</v>
      </c>
      <c r="AE24" s="289">
        <f>AD24/AC24-1</f>
        <v>0</v>
      </c>
      <c r="AF24" s="289"/>
      <c r="AG24" s="289"/>
      <c r="AH24" s="289"/>
      <c r="AI24" s="289"/>
      <c r="AJ24" s="289"/>
      <c r="AK24" s="289"/>
      <c r="AL24" s="289"/>
    </row>
    <row r="25" spans="1:38">
      <c r="B25" s="447" t="str">
        <f>IF($C$1="ENG","Ventilation cut","вентиляційний підріз")</f>
        <v>вентиляційний підріз</v>
      </c>
      <c r="C25" s="448"/>
      <c r="D25" s="133">
        <f>IF(AC25="","",(1-$W$2)*(AC25/1.2))</f>
        <v>141.66666666666669</v>
      </c>
      <c r="E25" s="66">
        <f t="shared" si="6"/>
        <v>170.00000000000003</v>
      </c>
      <c r="F25" s="26"/>
      <c r="G25" s="26"/>
      <c r="I25" s="59"/>
      <c r="J25" s="28"/>
      <c r="AC25" s="298">
        <v>170</v>
      </c>
      <c r="AD25" s="289">
        <v>170</v>
      </c>
      <c r="AE25" s="289">
        <f t="shared" ref="AE25:AE39" si="7">AD25/AC25-1</f>
        <v>0</v>
      </c>
      <c r="AF25" s="289"/>
      <c r="AG25" s="289"/>
      <c r="AH25" s="289"/>
      <c r="AI25" s="289"/>
      <c r="AJ25" s="289"/>
      <c r="AK25" s="289"/>
      <c r="AL25" s="289"/>
    </row>
    <row r="26" spans="1:38">
      <c r="B26" s="447" t="str">
        <f>IF($C$1="ENG","third door hindge","третя завіса")</f>
        <v>третя завіса</v>
      </c>
      <c r="C26" s="448"/>
      <c r="D26" s="133">
        <f t="shared" si="5"/>
        <v>66.666666666666671</v>
      </c>
      <c r="E26" s="66">
        <f t="shared" si="6"/>
        <v>80</v>
      </c>
      <c r="F26" s="26"/>
      <c r="G26" s="26"/>
      <c r="I26" s="59"/>
      <c r="J26" s="28"/>
      <c r="AC26" s="298">
        <v>80</v>
      </c>
      <c r="AD26" s="289">
        <v>80</v>
      </c>
      <c r="AE26" s="289">
        <f t="shared" si="7"/>
        <v>0</v>
      </c>
      <c r="AF26" s="289"/>
      <c r="AG26" s="289"/>
      <c r="AH26" s="289"/>
      <c r="AI26" s="289"/>
      <c r="AJ26" s="289"/>
      <c r="AK26" s="289"/>
      <c r="AL26" s="289"/>
    </row>
    <row r="27" spans="1:38">
      <c r="B27" s="445" t="str">
        <f>IF($C$1="ENG","glazing Satin (mod.1А,1Б)","скло Сатин (мод.1А,1Б)")</f>
        <v>скло Сатин (мод.1А,1Б)</v>
      </c>
      <c r="C27" s="446"/>
      <c r="D27" s="133">
        <f>IF(AC27="","",(1-$W$2)*(AC27/1.2))</f>
        <v>283.33333333333337</v>
      </c>
      <c r="E27" s="66">
        <f t="shared" si="6"/>
        <v>340.00000000000006</v>
      </c>
      <c r="F27" s="141"/>
      <c r="G27" s="141"/>
      <c r="AC27" s="298">
        <v>340</v>
      </c>
      <c r="AD27" s="289">
        <v>340</v>
      </c>
      <c r="AE27" s="289">
        <f t="shared" si="7"/>
        <v>0</v>
      </c>
      <c r="AF27" s="289"/>
      <c r="AG27" s="289"/>
      <c r="AH27" s="289"/>
      <c r="AI27" s="289"/>
      <c r="AJ27" s="289"/>
      <c r="AK27" s="289"/>
      <c r="AL27" s="289"/>
    </row>
    <row r="28" spans="1:38">
      <c r="B28" s="445" t="str">
        <f>IF($C$1="ENG","glazing Satin (mod.2А,2Б,3,4)","скло Сатин (мод.2А,2Б,3,4)")</f>
        <v>скло Сатин (мод.2А,2Б,3,4)</v>
      </c>
      <c r="C28" s="446"/>
      <c r="D28" s="133">
        <f>IF(AC28="","",(1-$W$2)*(AC28/1.2))</f>
        <v>350</v>
      </c>
      <c r="E28" s="66">
        <f t="shared" si="6"/>
        <v>420</v>
      </c>
      <c r="F28" s="141"/>
      <c r="G28" s="141"/>
      <c r="AC28" s="298">
        <v>420</v>
      </c>
      <c r="AD28" s="289">
        <v>420</v>
      </c>
      <c r="AE28" s="289">
        <f t="shared" si="7"/>
        <v>0</v>
      </c>
      <c r="AF28" s="289"/>
      <c r="AG28" s="289"/>
      <c r="AH28" s="289"/>
      <c r="AI28" s="289"/>
      <c r="AJ28" s="289"/>
      <c r="AK28" s="289"/>
      <c r="AL28" s="289"/>
    </row>
    <row r="29" spans="1:38">
      <c r="B29" s="445" t="str">
        <f>IF($C$1="ENG","glazing Graphite / Bronze","скло Графіт / Бронза")</f>
        <v>скло Графіт / Бронза</v>
      </c>
      <c r="C29" s="446"/>
      <c r="D29" s="133">
        <f>IF(AC29="","",(1-$W$2)*(AC29/1.2))</f>
        <v>458.33333333333337</v>
      </c>
      <c r="E29" s="66">
        <f t="shared" si="6"/>
        <v>550</v>
      </c>
      <c r="F29" s="141"/>
      <c r="G29" s="141"/>
      <c r="AC29" s="298">
        <v>550</v>
      </c>
      <c r="AD29" s="289">
        <v>550</v>
      </c>
      <c r="AE29" s="289">
        <f t="shared" si="7"/>
        <v>0</v>
      </c>
      <c r="AF29" s="289"/>
      <c r="AG29" s="289"/>
      <c r="AH29" s="289"/>
      <c r="AI29" s="289"/>
      <c r="AJ29" s="289"/>
      <c r="AK29" s="289"/>
      <c r="AL29" s="289"/>
    </row>
    <row r="30" spans="1:38">
      <c r="B30" s="445" t="str">
        <f>IF($C$1="ENG","door lock Soft","замок Soft")</f>
        <v>замок Soft</v>
      </c>
      <c r="C30" s="446"/>
      <c r="D30" s="274">
        <f t="shared" si="5"/>
        <v>458.33333333333337</v>
      </c>
      <c r="E30" s="66">
        <f t="shared" ref="E30:E37" si="8">IF($W$5=0.2,D30*1.2,D30)/$W$4</f>
        <v>550</v>
      </c>
      <c r="F30" s="26"/>
      <c r="G30" s="26"/>
      <c r="H30" s="43"/>
      <c r="I30" s="280"/>
      <c r="J30" s="8"/>
      <c r="K30" s="280"/>
      <c r="L30" s="8"/>
      <c r="M30" s="280"/>
      <c r="P30" s="8"/>
      <c r="Q30" s="280"/>
      <c r="U30" s="293"/>
      <c r="AC30" s="298">
        <v>550</v>
      </c>
      <c r="AD30" s="289">
        <v>550</v>
      </c>
      <c r="AE30" s="289">
        <f t="shared" si="7"/>
        <v>0</v>
      </c>
      <c r="AF30" s="289"/>
      <c r="AG30" s="289"/>
      <c r="AH30" s="289"/>
      <c r="AI30" s="289"/>
      <c r="AJ30" s="289"/>
      <c r="AK30" s="289"/>
      <c r="AL30" s="289"/>
    </row>
    <row r="31" spans="1:38">
      <c r="B31" s="445" t="str">
        <f>IF($C$1="ENG","door lock Soft black","замок Soft чорн.")</f>
        <v>замок Soft чорн.</v>
      </c>
      <c r="C31" s="446"/>
      <c r="D31" s="274">
        <f t="shared" si="5"/>
        <v>566.66666666666674</v>
      </c>
      <c r="E31" s="66">
        <f t="shared" ref="E31" si="9">IF($W$5=0.2,D31*1.2,D31)/$W$4</f>
        <v>680.00000000000011</v>
      </c>
      <c r="F31" s="26"/>
      <c r="G31" s="26"/>
      <c r="H31" s="43"/>
      <c r="I31" s="280"/>
      <c r="J31" s="8"/>
      <c r="K31" s="280"/>
      <c r="L31" s="8"/>
      <c r="M31" s="280"/>
      <c r="P31" s="8"/>
      <c r="Q31" s="280"/>
      <c r="U31" s="293"/>
      <c r="AC31" s="298">
        <v>680</v>
      </c>
      <c r="AD31" s="289"/>
      <c r="AE31" s="289"/>
      <c r="AF31" s="289"/>
      <c r="AG31" s="289"/>
      <c r="AH31" s="289"/>
      <c r="AI31" s="289"/>
      <c r="AJ31" s="289"/>
      <c r="AK31" s="289"/>
      <c r="AL31" s="289"/>
    </row>
    <row r="32" spans="1:38">
      <c r="B32" s="445" t="str">
        <f>IF($C$1="ENG","door lock Magnet","замок Magnet")</f>
        <v>замок Magnet</v>
      </c>
      <c r="C32" s="446"/>
      <c r="D32" s="274">
        <f t="shared" si="5"/>
        <v>666.66666666666674</v>
      </c>
      <c r="E32" s="66">
        <f t="shared" si="8"/>
        <v>800.00000000000011</v>
      </c>
      <c r="F32" s="26"/>
      <c r="G32" s="26"/>
      <c r="H32" s="43"/>
      <c r="I32" s="280"/>
      <c r="J32" s="8"/>
      <c r="K32" s="280"/>
      <c r="L32" s="8"/>
      <c r="M32" s="280"/>
      <c r="P32" s="8"/>
      <c r="Q32" s="280"/>
      <c r="U32" s="293"/>
      <c r="AC32" s="298">
        <v>800</v>
      </c>
      <c r="AD32" s="289">
        <v>800</v>
      </c>
      <c r="AE32" s="289">
        <f t="shared" si="7"/>
        <v>0</v>
      </c>
      <c r="AF32" s="289"/>
      <c r="AG32" s="289"/>
      <c r="AH32" s="289"/>
      <c r="AI32" s="289"/>
      <c r="AJ32" s="289"/>
      <c r="AK32" s="289"/>
      <c r="AL32" s="289"/>
    </row>
    <row r="33" spans="2:38">
      <c r="B33" s="445" t="str">
        <f>IF($C$1="ENG","door lock Magnet black","замок Magnet чорн.")</f>
        <v>замок Magnet чорн.</v>
      </c>
      <c r="C33" s="446"/>
      <c r="D33" s="274">
        <f t="shared" ref="D33" si="10">IF(AC33="","",(1-$W$2)*(AC33/1.2))</f>
        <v>833.33333333333337</v>
      </c>
      <c r="E33" s="66">
        <f t="shared" si="8"/>
        <v>1000</v>
      </c>
      <c r="F33" s="26"/>
      <c r="G33" s="26"/>
      <c r="H33" s="43"/>
      <c r="I33" s="280"/>
      <c r="J33" s="8"/>
      <c r="K33" s="280"/>
      <c r="L33" s="8"/>
      <c r="M33" s="280"/>
      <c r="P33" s="8"/>
      <c r="Q33" s="280"/>
      <c r="U33" s="293"/>
      <c r="AC33" s="298">
        <v>1000</v>
      </c>
      <c r="AD33" s="289">
        <v>800</v>
      </c>
      <c r="AE33" s="289">
        <f t="shared" ref="AE33" si="11">AD33/AC33-1</f>
        <v>-0.19999999999999996</v>
      </c>
      <c r="AF33" s="289"/>
      <c r="AG33" s="289"/>
      <c r="AH33" s="289"/>
      <c r="AI33" s="289"/>
      <c r="AJ33" s="289"/>
      <c r="AK33" s="289"/>
      <c r="AL33" s="289"/>
    </row>
    <row r="34" spans="2:38">
      <c r="B34" s="445" t="str">
        <f>IF($C$1="ENG","door handle-lock (for sliding doors)","ручка-замок (для дверей купе)")</f>
        <v>ручка-замок (для дверей купе)</v>
      </c>
      <c r="C34" s="446"/>
      <c r="D34" s="133">
        <f t="shared" si="5"/>
        <v>466.66666666666669</v>
      </c>
      <c r="E34" s="66">
        <f t="shared" si="8"/>
        <v>560</v>
      </c>
      <c r="F34" s="26"/>
      <c r="G34" s="26"/>
      <c r="I34" s="30"/>
      <c r="K34" s="30"/>
      <c r="AC34" s="298">
        <v>560</v>
      </c>
      <c r="AD34" s="289">
        <v>560</v>
      </c>
      <c r="AE34" s="289">
        <f t="shared" si="7"/>
        <v>0</v>
      </c>
      <c r="AF34" s="289"/>
      <c r="AG34" s="289"/>
      <c r="AH34" s="289"/>
      <c r="AI34" s="289"/>
      <c r="AJ34" s="289"/>
      <c r="AK34" s="289"/>
      <c r="AL34" s="289"/>
    </row>
    <row r="35" spans="2:38">
      <c r="B35" s="445" t="str">
        <f>IF($C$1="ENG","cylinder incert","циліндр несиметричний")</f>
        <v>циліндр несиметричний</v>
      </c>
      <c r="C35" s="446"/>
      <c r="D35" s="133">
        <f t="shared" si="5"/>
        <v>325</v>
      </c>
      <c r="E35" s="66">
        <f t="shared" si="8"/>
        <v>390</v>
      </c>
      <c r="F35" s="26"/>
      <c r="G35" s="26"/>
      <c r="I35" s="59"/>
      <c r="J35" s="28"/>
      <c r="AC35" s="298">
        <v>390</v>
      </c>
      <c r="AD35" s="289">
        <v>390</v>
      </c>
      <c r="AE35" s="289">
        <f t="shared" si="7"/>
        <v>0</v>
      </c>
      <c r="AF35" s="289"/>
      <c r="AG35" s="289"/>
      <c r="AH35" s="289"/>
      <c r="AI35" s="289"/>
      <c r="AJ35" s="289"/>
      <c r="AK35" s="289"/>
      <c r="AL35" s="289"/>
    </row>
    <row r="36" spans="2:38">
      <c r="B36" s="445" t="str">
        <f>IF($C$1="ENG","door hindge Prestige (1 unit)","завіса Prestige (1 шт)")</f>
        <v>завіса Prestige (1 шт)</v>
      </c>
      <c r="C36" s="446"/>
      <c r="D36" s="135">
        <f t="shared" si="5"/>
        <v>216.66666666666669</v>
      </c>
      <c r="E36" s="66">
        <f t="shared" si="8"/>
        <v>260</v>
      </c>
      <c r="F36" s="26"/>
      <c r="G36" s="26"/>
      <c r="I36" s="59"/>
      <c r="J36" s="28"/>
      <c r="AC36" s="298">
        <v>260</v>
      </c>
      <c r="AD36" s="289">
        <v>260</v>
      </c>
      <c r="AE36" s="289">
        <f t="shared" si="7"/>
        <v>0</v>
      </c>
      <c r="AF36" s="289"/>
      <c r="AG36" s="289"/>
      <c r="AH36" s="289"/>
      <c r="AI36" s="289"/>
      <c r="AJ36" s="289"/>
      <c r="AK36" s="289"/>
      <c r="AL36" s="289"/>
    </row>
    <row r="37" spans="2:38">
      <c r="B37" s="445" t="str">
        <f>IF($C$1="ENG","door hinge caps (1 set)","накладка на завіси (1 к-т)")</f>
        <v>накладка на завіси (1 к-т)</v>
      </c>
      <c r="C37" s="446"/>
      <c r="D37" s="135">
        <f t="shared" si="5"/>
        <v>66.666666666666671</v>
      </c>
      <c r="E37" s="66">
        <f t="shared" si="8"/>
        <v>80</v>
      </c>
      <c r="F37" s="26"/>
      <c r="G37" s="26"/>
      <c r="H37" s="26"/>
      <c r="I37" s="59"/>
      <c r="J37" s="28"/>
      <c r="AC37" s="298">
        <v>80</v>
      </c>
      <c r="AD37" s="289">
        <v>80</v>
      </c>
      <c r="AE37" s="289">
        <f t="shared" si="7"/>
        <v>0</v>
      </c>
      <c r="AF37" s="289"/>
      <c r="AG37" s="289"/>
      <c r="AH37" s="289"/>
      <c r="AI37" s="289"/>
      <c r="AJ37" s="289"/>
      <c r="AK37" s="289"/>
      <c r="AL37" s="289"/>
    </row>
    <row r="38" spans="2:38">
      <c r="B38" s="445" t="str">
        <f>IF($C$1="ENG","door handle","дверна ручка")</f>
        <v>дверна ручка</v>
      </c>
      <c r="C38" s="446"/>
      <c r="D38" s="133">
        <f t="shared" si="5"/>
        <v>0</v>
      </c>
      <c r="E38" s="136" t="str">
        <f>IF($C$1="ENG","see Handles Price","див. Таблицю Ручки")</f>
        <v>див. Таблицю Ручки</v>
      </c>
      <c r="F38" s="141"/>
      <c r="G38" s="26"/>
      <c r="AC38" s="298">
        <v>0</v>
      </c>
      <c r="AD38" s="289">
        <f t="shared" ref="AD38" si="12">AC38/100*13+AC38</f>
        <v>0</v>
      </c>
      <c r="AE38" s="289" t="e">
        <f t="shared" si="7"/>
        <v>#DIV/0!</v>
      </c>
      <c r="AF38" s="289"/>
      <c r="AG38" s="289"/>
      <c r="AH38" s="289"/>
      <c r="AI38" s="289"/>
      <c r="AJ38" s="289"/>
      <c r="AK38" s="289"/>
      <c r="AL38" s="289"/>
    </row>
    <row r="39" spans="2:38">
      <c r="B39" s="445" t="str">
        <f>IF($C$1="ENG","perforated chipboard","ДСП трубчасте")</f>
        <v>ДСП трубчасте</v>
      </c>
      <c r="C39" s="446"/>
      <c r="D39" s="134">
        <f t="shared" si="5"/>
        <v>1083.3333333333335</v>
      </c>
      <c r="E39" s="69">
        <f>IF($W$5=0.2,D39*1.2,D39)/$W$4</f>
        <v>1300.0000000000002</v>
      </c>
      <c r="F39" s="26"/>
      <c r="G39" s="26"/>
      <c r="I39" s="59"/>
      <c r="J39" s="28"/>
      <c r="AC39" s="298">
        <v>1300</v>
      </c>
      <c r="AD39" s="289">
        <v>1300</v>
      </c>
      <c r="AE39" s="289">
        <f t="shared" si="7"/>
        <v>0</v>
      </c>
      <c r="AF39" s="289"/>
      <c r="AG39" s="289"/>
      <c r="AH39" s="289"/>
      <c r="AI39" s="289"/>
      <c r="AJ39" s="289"/>
      <c r="AK39" s="289"/>
      <c r="AL39" s="289"/>
    </row>
    <row r="40" spans="2:38" ht="14.25" customHeight="1">
      <c r="C40" s="245"/>
      <c r="D40" s="26"/>
      <c r="E40" s="26"/>
      <c r="F40" s="26"/>
      <c r="G40" s="26"/>
      <c r="H40" s="10"/>
      <c r="I40" s="8"/>
      <c r="S40" s="465" t="str">
        <f>IF($C$1="ENG",CONCATENATE("down to: ",B90),CONCATENATE("вниз до: ",B90))</f>
        <v>вниз до: Полотна каркасно-щитові: КУПАВА</v>
      </c>
      <c r="T40" s="484"/>
      <c r="U40" s="484"/>
      <c r="V40" s="484"/>
      <c r="W40" s="484"/>
    </row>
    <row r="41" spans="2:38" ht="14.25" customHeight="1">
      <c r="C41" s="245"/>
      <c r="D41" s="26"/>
      <c r="E41" s="26"/>
      <c r="F41" s="26"/>
      <c r="G41" s="26"/>
      <c r="H41" s="10"/>
      <c r="I41" s="8"/>
    </row>
    <row r="42" spans="2:38" ht="14.25" customHeight="1">
      <c r="C42" s="245"/>
      <c r="D42" s="26"/>
      <c r="E42" s="26"/>
      <c r="F42" s="26"/>
      <c r="G42" s="26"/>
      <c r="H42" s="10"/>
      <c r="I42" s="8"/>
    </row>
    <row r="43" spans="2:38" ht="14.25" customHeight="1">
      <c r="C43" s="245"/>
      <c r="D43" s="26"/>
      <c r="E43" s="26"/>
      <c r="F43" s="26"/>
      <c r="G43" s="26"/>
      <c r="H43" s="10"/>
      <c r="I43" s="8"/>
    </row>
    <row r="44" spans="2:38" ht="14.25" customHeight="1">
      <c r="C44" s="245"/>
      <c r="D44" s="26"/>
      <c r="E44" s="26"/>
      <c r="F44" s="26"/>
      <c r="G44" s="26"/>
      <c r="H44" s="10"/>
      <c r="I44" s="8"/>
    </row>
    <row r="45" spans="2:38" ht="14.25" customHeight="1">
      <c r="C45" s="245"/>
      <c r="D45" s="26"/>
      <c r="E45" s="26"/>
      <c r="F45" s="26"/>
      <c r="G45" s="26"/>
      <c r="H45" s="10"/>
      <c r="I45" s="8"/>
    </row>
    <row r="46" spans="2:38" ht="14.25" customHeight="1">
      <c r="C46" s="245"/>
      <c r="D46" s="26"/>
      <c r="E46" s="26"/>
      <c r="F46" s="26"/>
      <c r="G46" s="26"/>
      <c r="H46" s="10"/>
      <c r="I46" s="8"/>
    </row>
    <row r="47" spans="2:38" ht="14.25" customHeight="1">
      <c r="C47" s="245"/>
      <c r="D47" s="26"/>
      <c r="E47" s="26"/>
      <c r="F47" s="26"/>
      <c r="G47" s="26"/>
      <c r="H47" s="10"/>
      <c r="I47" s="8"/>
    </row>
    <row r="48" spans="2:38" ht="14.25" customHeight="1">
      <c r="C48" s="245"/>
      <c r="D48" s="26"/>
      <c r="E48" s="26"/>
      <c r="F48" s="26"/>
      <c r="G48" s="26"/>
      <c r="H48" s="10"/>
      <c r="I48" s="8"/>
    </row>
    <row r="49" spans="3:9" ht="14.25" customHeight="1">
      <c r="C49" s="245"/>
      <c r="D49" s="26"/>
      <c r="E49" s="26"/>
      <c r="F49" s="26"/>
      <c r="G49" s="26"/>
      <c r="H49" s="10"/>
      <c r="I49" s="8"/>
    </row>
    <row r="50" spans="3:9" ht="14.25" customHeight="1">
      <c r="C50" s="245"/>
      <c r="D50" s="26"/>
      <c r="E50" s="26"/>
      <c r="F50" s="26"/>
      <c r="G50" s="26"/>
      <c r="H50" s="10"/>
      <c r="I50" s="8"/>
    </row>
    <row r="51" spans="3:9" ht="14.25" customHeight="1">
      <c r="C51" s="245"/>
      <c r="D51" s="26"/>
      <c r="E51" s="26"/>
      <c r="F51" s="26"/>
      <c r="G51" s="26"/>
      <c r="H51" s="10"/>
      <c r="I51" s="8"/>
    </row>
    <row r="52" spans="3:9" ht="14.25" customHeight="1">
      <c r="C52" s="245"/>
      <c r="D52" s="26"/>
      <c r="E52" s="26"/>
      <c r="F52" s="26"/>
      <c r="G52" s="26"/>
      <c r="H52" s="10"/>
      <c r="I52" s="8"/>
    </row>
    <row r="53" spans="3:9" ht="14.25" customHeight="1">
      <c r="C53" s="245"/>
      <c r="D53" s="26"/>
      <c r="E53" s="26"/>
      <c r="F53" s="26"/>
      <c r="G53" s="26"/>
      <c r="H53" s="10"/>
      <c r="I53" s="8"/>
    </row>
    <row r="54" spans="3:9" ht="14.25" customHeight="1">
      <c r="C54" s="245"/>
      <c r="D54" s="26"/>
      <c r="E54" s="26"/>
      <c r="F54" s="26"/>
      <c r="G54" s="26"/>
      <c r="H54" s="10"/>
      <c r="I54" s="8"/>
    </row>
    <row r="55" spans="3:9" ht="14.25" customHeight="1">
      <c r="C55" s="245"/>
      <c r="D55" s="26"/>
      <c r="E55" s="26"/>
      <c r="F55" s="26"/>
      <c r="G55" s="26"/>
      <c r="H55" s="10"/>
      <c r="I55" s="8"/>
    </row>
    <row r="56" spans="3:9" ht="14.25" customHeight="1">
      <c r="C56" s="245"/>
      <c r="D56" s="26"/>
      <c r="E56" s="26"/>
      <c r="F56" s="26"/>
      <c r="G56" s="26"/>
      <c r="H56" s="10"/>
      <c r="I56" s="8"/>
    </row>
    <row r="57" spans="3:9" ht="14.25" customHeight="1">
      <c r="C57" s="245"/>
      <c r="D57" s="26"/>
      <c r="E57" s="26"/>
      <c r="F57" s="26"/>
      <c r="G57" s="26"/>
      <c r="H57" s="10"/>
      <c r="I57" s="8"/>
    </row>
    <row r="58" spans="3:9" ht="14.25" customHeight="1">
      <c r="C58" s="245"/>
      <c r="D58" s="26"/>
      <c r="E58" s="26"/>
      <c r="F58" s="26"/>
      <c r="G58" s="26"/>
      <c r="H58" s="10"/>
      <c r="I58" s="8"/>
    </row>
    <row r="59" spans="3:9" ht="14.25" customHeight="1">
      <c r="C59" s="245"/>
      <c r="D59" s="26"/>
      <c r="E59" s="26"/>
      <c r="F59" s="26"/>
      <c r="G59" s="26"/>
      <c r="H59" s="10"/>
      <c r="I59" s="8"/>
    </row>
    <row r="60" spans="3:9" ht="14.25" customHeight="1">
      <c r="C60" s="245"/>
      <c r="D60" s="26"/>
      <c r="E60" s="26"/>
      <c r="F60" s="26"/>
      <c r="G60" s="26"/>
      <c r="H60" s="10"/>
      <c r="I60" s="8"/>
    </row>
    <row r="61" spans="3:9" ht="14.25" customHeight="1">
      <c r="C61" s="245"/>
      <c r="D61" s="26"/>
      <c r="E61" s="26"/>
      <c r="F61" s="26"/>
      <c r="G61" s="26"/>
      <c r="H61" s="10"/>
      <c r="I61" s="8"/>
    </row>
    <row r="62" spans="3:9" ht="14.25" customHeight="1">
      <c r="C62" s="245"/>
      <c r="D62" s="26"/>
      <c r="E62" s="26"/>
      <c r="F62" s="26"/>
      <c r="G62" s="26"/>
      <c r="H62" s="10"/>
      <c r="I62" s="8"/>
    </row>
    <row r="63" spans="3:9" ht="14.25" customHeight="1">
      <c r="C63" s="245"/>
      <c r="D63" s="26"/>
      <c r="E63" s="26"/>
      <c r="F63" s="26"/>
      <c r="G63" s="26"/>
      <c r="H63" s="10"/>
      <c r="I63" s="8"/>
    </row>
    <row r="64" spans="3:9" ht="14.25" customHeight="1">
      <c r="C64" s="245"/>
      <c r="D64" s="26"/>
      <c r="E64" s="26"/>
      <c r="F64" s="26"/>
      <c r="G64" s="26"/>
      <c r="H64" s="10"/>
      <c r="I64" s="8"/>
    </row>
    <row r="65" spans="3:9" ht="14.25" customHeight="1">
      <c r="C65" s="245"/>
      <c r="D65" s="26"/>
      <c r="E65" s="26"/>
      <c r="F65" s="26"/>
      <c r="G65" s="26"/>
      <c r="H65" s="10"/>
      <c r="I65" s="8"/>
    </row>
    <row r="66" spans="3:9" ht="14.25" customHeight="1">
      <c r="C66" s="245"/>
      <c r="D66" s="26"/>
      <c r="E66" s="26"/>
      <c r="F66" s="26"/>
      <c r="G66" s="26"/>
      <c r="H66" s="10"/>
      <c r="I66" s="8"/>
    </row>
    <row r="67" spans="3:9" ht="14.25" customHeight="1">
      <c r="C67" s="245"/>
      <c r="D67" s="26"/>
      <c r="E67" s="26"/>
      <c r="F67" s="26"/>
      <c r="G67" s="26"/>
      <c r="H67" s="10"/>
      <c r="I67" s="8"/>
    </row>
    <row r="68" spans="3:9" ht="14.25" customHeight="1">
      <c r="C68" s="245"/>
      <c r="D68" s="26"/>
      <c r="E68" s="26"/>
      <c r="F68" s="26"/>
      <c r="G68" s="26"/>
      <c r="H68" s="10"/>
      <c r="I68" s="8"/>
    </row>
    <row r="69" spans="3:9" ht="14.25" customHeight="1">
      <c r="C69" s="245"/>
      <c r="D69" s="26"/>
      <c r="E69" s="26"/>
      <c r="F69" s="26"/>
      <c r="G69" s="26"/>
      <c r="H69" s="10"/>
      <c r="I69" s="8"/>
    </row>
    <row r="70" spans="3:9" ht="14.25" customHeight="1">
      <c r="C70" s="245"/>
      <c r="D70" s="26"/>
      <c r="E70" s="26"/>
      <c r="F70" s="26"/>
      <c r="G70" s="26"/>
      <c r="H70" s="10"/>
      <c r="I70" s="8"/>
    </row>
    <row r="71" spans="3:9" ht="14.25" customHeight="1">
      <c r="C71" s="245"/>
      <c r="D71" s="26"/>
      <c r="E71" s="26"/>
      <c r="F71" s="26"/>
      <c r="G71" s="26"/>
      <c r="H71" s="10"/>
      <c r="I71" s="8"/>
    </row>
    <row r="72" spans="3:9" ht="14.25" customHeight="1">
      <c r="C72" s="245"/>
      <c r="D72" s="26"/>
      <c r="E72" s="26"/>
      <c r="F72" s="26"/>
      <c r="G72" s="26"/>
      <c r="H72" s="10"/>
      <c r="I72" s="8"/>
    </row>
    <row r="73" spans="3:9" ht="14.25" customHeight="1">
      <c r="C73" s="245"/>
      <c r="D73" s="26"/>
      <c r="E73" s="26"/>
      <c r="F73" s="26"/>
      <c r="G73" s="26"/>
      <c r="H73" s="10"/>
      <c r="I73" s="8"/>
    </row>
    <row r="74" spans="3:9" ht="14.25" customHeight="1">
      <c r="C74" s="245"/>
      <c r="D74" s="26"/>
      <c r="E74" s="26"/>
      <c r="F74" s="26"/>
      <c r="G74" s="26"/>
      <c r="H74" s="10"/>
      <c r="I74" s="8"/>
    </row>
    <row r="75" spans="3:9" ht="14.25" customHeight="1">
      <c r="C75" s="245"/>
      <c r="D75" s="26"/>
      <c r="E75" s="26"/>
      <c r="F75" s="26"/>
      <c r="G75" s="26"/>
      <c r="H75" s="10"/>
      <c r="I75" s="8"/>
    </row>
    <row r="76" spans="3:9" ht="14.25" customHeight="1">
      <c r="C76" s="245"/>
      <c r="D76" s="26"/>
      <c r="E76" s="26"/>
      <c r="F76" s="26"/>
      <c r="G76" s="26"/>
      <c r="H76" s="10"/>
      <c r="I76" s="8"/>
    </row>
    <row r="77" spans="3:9" ht="14.25" customHeight="1">
      <c r="C77" s="245"/>
      <c r="D77" s="26"/>
      <c r="E77" s="26"/>
      <c r="F77" s="26"/>
      <c r="G77" s="26"/>
      <c r="H77" s="10"/>
      <c r="I77" s="8"/>
    </row>
    <row r="78" spans="3:9" ht="14.25" customHeight="1">
      <c r="C78" s="245"/>
      <c r="D78" s="26"/>
      <c r="E78" s="26"/>
      <c r="F78" s="26"/>
      <c r="G78" s="26"/>
      <c r="H78" s="10"/>
      <c r="I78" s="8"/>
    </row>
    <row r="79" spans="3:9" ht="14.25" customHeight="1">
      <c r="C79" s="245"/>
      <c r="D79" s="26"/>
      <c r="E79" s="26"/>
      <c r="F79" s="26"/>
      <c r="G79" s="26"/>
      <c r="H79" s="10"/>
      <c r="I79" s="8"/>
    </row>
    <row r="80" spans="3:9" ht="14.25" customHeight="1">
      <c r="C80" s="245"/>
      <c r="D80" s="26"/>
      <c r="E80" s="26"/>
      <c r="F80" s="26"/>
      <c r="G80" s="26"/>
      <c r="H80" s="10"/>
      <c r="I80" s="8"/>
    </row>
    <row r="81" spans="1:46" ht="14.25" customHeight="1">
      <c r="C81" s="245"/>
      <c r="D81" s="26"/>
      <c r="E81" s="26"/>
      <c r="F81" s="26"/>
      <c r="G81" s="26"/>
      <c r="H81" s="10"/>
      <c r="I81" s="8"/>
    </row>
    <row r="82" spans="1:46" ht="14.25" customHeight="1">
      <c r="C82" s="245"/>
      <c r="D82" s="26"/>
      <c r="E82" s="26"/>
      <c r="F82" s="26"/>
      <c r="G82" s="26"/>
      <c r="H82" s="10"/>
      <c r="I82" s="8"/>
    </row>
    <row r="83" spans="1:46" ht="14.25" customHeight="1">
      <c r="C83" s="245"/>
      <c r="D83" s="26"/>
      <c r="E83" s="26"/>
      <c r="F83" s="26"/>
      <c r="G83" s="26"/>
      <c r="H83" s="10"/>
      <c r="I83" s="8"/>
    </row>
    <row r="84" spans="1:46" ht="14.25" customHeight="1">
      <c r="C84" s="245"/>
      <c r="D84" s="26"/>
      <c r="E84" s="26"/>
      <c r="F84" s="26"/>
      <c r="G84" s="26"/>
      <c r="H84" s="10"/>
      <c r="I84" s="8"/>
    </row>
    <row r="85" spans="1:46" ht="14.25" customHeight="1">
      <c r="C85" s="245"/>
      <c r="D85" s="26"/>
      <c r="E85" s="26"/>
      <c r="F85" s="26"/>
      <c r="G85" s="26"/>
      <c r="H85" s="10"/>
      <c r="I85" s="8"/>
    </row>
    <row r="86" spans="1:46" ht="14.25" customHeight="1">
      <c r="C86" s="245"/>
      <c r="D86" s="26"/>
      <c r="E86" s="26"/>
      <c r="F86" s="26"/>
      <c r="G86" s="26"/>
      <c r="H86" s="10"/>
      <c r="I86" s="8"/>
    </row>
    <row r="87" spans="1:46" ht="14.25" customHeight="1">
      <c r="C87" s="245"/>
      <c r="D87" s="26"/>
      <c r="E87" s="26"/>
      <c r="F87" s="26"/>
      <c r="G87" s="26"/>
      <c r="H87" s="10"/>
      <c r="I87" s="8"/>
    </row>
    <row r="88" spans="1:46" ht="14.25" customHeight="1">
      <c r="C88" s="245"/>
      <c r="D88" s="26"/>
      <c r="E88" s="26"/>
      <c r="F88" s="26"/>
      <c r="G88" s="26"/>
      <c r="H88" s="10"/>
      <c r="I88" s="8"/>
    </row>
    <row r="89" spans="1:46" ht="14.25" customHeight="1">
      <c r="C89" s="245"/>
      <c r="D89" s="26"/>
      <c r="E89" s="26"/>
      <c r="F89" s="26"/>
      <c r="G89" s="26"/>
      <c r="H89" s="10"/>
      <c r="I89" s="8"/>
    </row>
    <row r="90" spans="1:46" s="8" customFormat="1">
      <c r="B90" s="451" t="str">
        <f>TITLE!$C$9</f>
        <v>Полотна каркасно-щитові: КУПАВА</v>
      </c>
      <c r="C90" s="451"/>
      <c r="D90" s="118"/>
      <c r="E90" s="118"/>
      <c r="F90" s="118"/>
      <c r="G90" s="118"/>
      <c r="H90" s="118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462" t="str">
        <f>IF($C$1="ENG",CONCATENATE("up to: ",B10),CONCATENATE("вгору до: ",B10))</f>
        <v>вгору до: Полотна каркасно-щитові: СТАНДАРТ</v>
      </c>
      <c r="T90" s="457"/>
      <c r="U90" s="457"/>
      <c r="V90" s="457"/>
      <c r="W90" s="457"/>
      <c r="AN90" s="280"/>
      <c r="AO90" s="280"/>
      <c r="AP90" s="280"/>
      <c r="AQ90" s="280"/>
      <c r="AR90" s="280"/>
      <c r="AS90" s="280"/>
      <c r="AT90" s="280"/>
    </row>
    <row r="91" spans="1:46" s="8" customFormat="1" ht="5.0999999999999996" customHeight="1">
      <c r="B91" s="117"/>
      <c r="C91" s="420"/>
      <c r="D91" s="9"/>
      <c r="E91" s="9"/>
      <c r="F91" s="10"/>
      <c r="G91" s="10"/>
      <c r="H91" s="10"/>
      <c r="T91" s="115"/>
      <c r="U91" s="115"/>
      <c r="V91" s="115"/>
      <c r="W91" s="115"/>
      <c r="AN91" s="280"/>
      <c r="AO91" s="280"/>
      <c r="AP91" s="280"/>
      <c r="AQ91" s="280"/>
      <c r="AR91" s="280"/>
      <c r="AS91" s="280"/>
      <c r="AT91" s="280"/>
    </row>
    <row r="92" spans="1:46" s="8" customFormat="1" ht="12.75" customHeight="1">
      <c r="B92" s="452" t="str">
        <f>IF($C$1="ENG","model","модель")</f>
        <v>модель</v>
      </c>
      <c r="C92" s="122" t="str">
        <f>IF($C$1="ENG","cover:","покриття:")</f>
        <v>покриття:</v>
      </c>
      <c r="D92" s="458" t="str">
        <f>IF($C$1="ENG","SIMPL / V-CELL","SIMPL / V-CELL")</f>
        <v>SIMPL / V-CELL</v>
      </c>
      <c r="E92" s="459"/>
      <c r="F92" s="458" t="str">
        <f>IF($C$1="ENG","UNI-MAT","UNI-MAT")</f>
        <v>UNI-MAT</v>
      </c>
      <c r="G92" s="459"/>
      <c r="H92" s="46"/>
      <c r="I92" s="46"/>
      <c r="J92" s="46"/>
      <c r="K92" s="46"/>
      <c r="T92" s="115"/>
      <c r="U92" s="115"/>
      <c r="V92" s="115"/>
      <c r="W92" s="115"/>
      <c r="AN92" s="280"/>
      <c r="AO92" s="280"/>
      <c r="AP92" s="280"/>
      <c r="AQ92" s="280"/>
      <c r="AR92" s="280"/>
      <c r="AS92" s="280"/>
      <c r="AT92" s="280"/>
    </row>
    <row r="93" spans="1:46" ht="12.75" customHeight="1">
      <c r="A93" s="8"/>
      <c r="B93" s="453"/>
      <c r="C93" s="123" t="str">
        <f>IF($C$1="ENG","filling:","заповнення:")</f>
        <v>заповнення:</v>
      </c>
      <c r="D93" s="460" t="str">
        <f>IF($C$1="ENG","honeycomb core ","сотове заповнення")</f>
        <v>сотове заповнення</v>
      </c>
      <c r="E93" s="461"/>
      <c r="F93" s="460" t="str">
        <f>IF($C$1="ENG","honeycomb core ","сотове заповнення")</f>
        <v>сотове заповнення</v>
      </c>
      <c r="G93" s="461"/>
      <c r="H93" s="46"/>
      <c r="I93" s="46"/>
      <c r="J93" s="46"/>
      <c r="K93" s="46"/>
      <c r="L93" s="11"/>
      <c r="M93" s="11"/>
      <c r="P93" s="11"/>
      <c r="Q93" s="11"/>
    </row>
    <row r="94" spans="1:46" ht="12.75" customHeight="1">
      <c r="A94" s="8"/>
      <c r="B94" s="454"/>
      <c r="C94" s="124" t="str">
        <f>IF($C$1="ENG","glazing:","скління:")</f>
        <v>скління:</v>
      </c>
      <c r="D94" s="449" t="str">
        <f>IF($C$1="ENG","Krizet","Кризет")</f>
        <v>Кризет</v>
      </c>
      <c r="E94" s="450"/>
      <c r="F94" s="449" t="str">
        <f>IF($C$1="ENG","Krizet","Кризет")</f>
        <v>Кризет</v>
      </c>
      <c r="G94" s="450"/>
      <c r="H94" s="47"/>
      <c r="I94" s="47"/>
      <c r="J94" s="47"/>
      <c r="K94" s="131"/>
      <c r="L94" s="11"/>
      <c r="M94" s="11"/>
      <c r="P94" s="11"/>
      <c r="Q94" s="11"/>
      <c r="AC94" s="1" t="str">
        <f>D92</f>
        <v>SIMPL / V-CELL</v>
      </c>
      <c r="AD94" s="1" t="str">
        <f>F92</f>
        <v>UNI-MAT</v>
      </c>
    </row>
    <row r="95" spans="1:46" ht="35.1" customHeight="1">
      <c r="A95" s="8"/>
      <c r="B95" s="16" t="s">
        <v>17</v>
      </c>
      <c r="C95" s="17"/>
      <c r="D95" s="18">
        <f>IF(AC95="","",(1-$W$2)*(AC95/1.2))</f>
        <v>2975</v>
      </c>
      <c r="E95" s="66">
        <f>IF($W$5=0.2,D95*1.2,D95)/$W$4</f>
        <v>3570</v>
      </c>
      <c r="F95" s="18">
        <f>IF(AD95="","",(1-$W$2)*(AD95/1.2))</f>
        <v>3425</v>
      </c>
      <c r="G95" s="66">
        <f>IF($W$5=0.2,F95*1.2,F95)/$W$4</f>
        <v>4110</v>
      </c>
      <c r="H95" s="28"/>
      <c r="I95" s="59"/>
      <c r="J95" s="28"/>
      <c r="K95" s="59"/>
      <c r="L95" s="104"/>
      <c r="M95" s="59"/>
      <c r="N95" s="104"/>
      <c r="O95" s="59"/>
      <c r="P95" s="104"/>
      <c r="Q95" s="59"/>
      <c r="R95" s="104"/>
      <c r="S95" s="59"/>
      <c r="T95" s="104"/>
      <c r="U95" s="20"/>
      <c r="V95" s="104"/>
      <c r="W95" s="20"/>
      <c r="AC95" s="332">
        <v>3570</v>
      </c>
      <c r="AD95" s="332">
        <v>4110</v>
      </c>
      <c r="AE95" s="289">
        <v>3570</v>
      </c>
      <c r="AF95" s="289">
        <v>4110</v>
      </c>
      <c r="AG95" s="289">
        <f>AE95/AC95-1</f>
        <v>0</v>
      </c>
      <c r="AH95" s="289">
        <f>AF95/AD95-1</f>
        <v>0</v>
      </c>
      <c r="AI95" s="289"/>
      <c r="AJ95" s="289"/>
      <c r="AK95" s="289"/>
      <c r="AL95" s="289"/>
    </row>
    <row r="96" spans="1:46" ht="35.1" customHeight="1">
      <c r="A96" s="8"/>
      <c r="B96" s="23" t="s">
        <v>20</v>
      </c>
      <c r="C96" s="24"/>
      <c r="D96" s="25">
        <f>IF(AC96="","",(1-$W$2)*(AC96/1.2))</f>
        <v>3383.3333333333335</v>
      </c>
      <c r="E96" s="69">
        <f>IF($W$5=0.2,D96*1.2,D96)/$W$4</f>
        <v>4060</v>
      </c>
      <c r="F96" s="25">
        <f>IF(AD96="","",(1-$W$2)*(AD96/1.2))</f>
        <v>3883.3333333333335</v>
      </c>
      <c r="G96" s="69">
        <f>IF($W$5=0.2,F96*1.2,F96)/$W$4</f>
        <v>4660</v>
      </c>
      <c r="H96" s="28"/>
      <c r="I96" s="59"/>
      <c r="J96" s="28"/>
      <c r="K96" s="59"/>
      <c r="L96" s="104"/>
      <c r="M96" s="59"/>
      <c r="N96" s="104"/>
      <c r="O96" s="59"/>
      <c r="P96" s="104"/>
      <c r="Q96" s="59"/>
      <c r="R96" s="104"/>
      <c r="S96" s="59"/>
      <c r="T96" s="104"/>
      <c r="U96" s="20"/>
      <c r="V96" s="104"/>
      <c r="W96" s="20"/>
      <c r="AC96" s="332">
        <v>4060</v>
      </c>
      <c r="AD96" s="332">
        <v>4660</v>
      </c>
      <c r="AE96" s="289">
        <v>4060</v>
      </c>
      <c r="AF96" s="289">
        <v>4660</v>
      </c>
      <c r="AG96" s="289">
        <f>AE96/AC96-1</f>
        <v>0</v>
      </c>
      <c r="AH96" s="289">
        <f>AF96/AD96-1</f>
        <v>0</v>
      </c>
      <c r="AI96" s="289"/>
      <c r="AJ96" s="289"/>
      <c r="AK96" s="289"/>
      <c r="AL96" s="289"/>
    </row>
    <row r="97" spans="2:38">
      <c r="C97" s="245"/>
      <c r="D97" s="26"/>
      <c r="E97" s="26"/>
      <c r="F97" s="26"/>
      <c r="G97" s="26"/>
      <c r="H97" s="60"/>
      <c r="I97" s="48"/>
      <c r="J97" s="48"/>
      <c r="K97" s="48"/>
    </row>
    <row r="98" spans="2:38">
      <c r="B98" s="212" t="str">
        <f>IF($C$1="ENG","For additonal charge:","Послуги за додаткову плату:")</f>
        <v>Послуги за додаткову плату:</v>
      </c>
      <c r="C98" s="421"/>
      <c r="D98" s="213"/>
      <c r="E98" s="214"/>
      <c r="F98" s="26"/>
      <c r="G98" s="26"/>
      <c r="H98" s="60"/>
      <c r="I98" s="48"/>
      <c r="J98" s="48"/>
      <c r="K98" s="48"/>
    </row>
    <row r="99" spans="2:38" ht="5.0999999999999996" customHeight="1">
      <c r="B99" s="27"/>
      <c r="C99" s="245"/>
      <c r="D99" s="127"/>
      <c r="E99" s="26"/>
      <c r="F99" s="26"/>
      <c r="G99" s="26"/>
      <c r="H99" s="5"/>
    </row>
    <row r="100" spans="2:38">
      <c r="B100" s="447" t="str">
        <f>IF($C$1="ENG","Ventilation cut","вентиляційний підріз")</f>
        <v>вентиляційний підріз</v>
      </c>
      <c r="C100" s="448"/>
      <c r="D100" s="405">
        <f>IF(AC100="","",(1-$W$2)*(AC100/1.2))</f>
        <v>141.66666666666669</v>
      </c>
      <c r="E100" s="92">
        <f>IF($W$5=0.2,D100*1.2,D100)/$W$4</f>
        <v>170.00000000000003</v>
      </c>
      <c r="F100" s="26"/>
      <c r="G100" s="26"/>
      <c r="I100" s="59"/>
      <c r="J100" s="28"/>
      <c r="AC100" s="298">
        <v>170</v>
      </c>
      <c r="AD100" s="289">
        <v>170</v>
      </c>
      <c r="AE100" s="289">
        <f>AD100/AC100-1</f>
        <v>0</v>
      </c>
      <c r="AF100" s="289"/>
      <c r="AG100" s="289"/>
      <c r="AH100" s="289"/>
      <c r="AI100" s="289"/>
      <c r="AJ100" s="289"/>
      <c r="AK100" s="289"/>
      <c r="AL100" s="289"/>
    </row>
    <row r="101" spans="2:38">
      <c r="B101" s="445" t="str">
        <f>IF($C$1="ENG","third door hindge","третя завіса")</f>
        <v>третя завіса</v>
      </c>
      <c r="C101" s="446"/>
      <c r="D101" s="406">
        <f t="shared" ref="D101:D113" si="13">IF(AC101="","",(1-$W$2)*(AC101/1.2))</f>
        <v>66.666666666666671</v>
      </c>
      <c r="E101" s="93">
        <f>IF($W$5=0.2,D101*1.2,D101)/$W$4</f>
        <v>80</v>
      </c>
      <c r="F101" s="26"/>
      <c r="G101" s="26"/>
      <c r="H101" s="5"/>
      <c r="I101" s="390"/>
      <c r="AC101" s="298">
        <v>80</v>
      </c>
      <c r="AD101" s="289">
        <v>80</v>
      </c>
      <c r="AE101" s="289">
        <f t="shared" ref="AE101:AE113" si="14">AD101/AC101-1</f>
        <v>0</v>
      </c>
      <c r="AF101" s="289"/>
      <c r="AG101" s="289"/>
      <c r="AH101" s="289"/>
      <c r="AI101" s="289"/>
      <c r="AJ101" s="289"/>
      <c r="AK101" s="289"/>
      <c r="AL101" s="289"/>
    </row>
    <row r="102" spans="2:38">
      <c r="B102" s="445" t="str">
        <f>IF($C$1="ENG","glazing Satin","скло Сатин")</f>
        <v>скло Сатин</v>
      </c>
      <c r="C102" s="446"/>
      <c r="D102" s="405">
        <f t="shared" si="13"/>
        <v>283.33333333333337</v>
      </c>
      <c r="E102" s="93">
        <f t="shared" ref="E102:E111" si="15">IF($W$5=0.2,D102*1.2,D102)/$W$4</f>
        <v>340.00000000000006</v>
      </c>
      <c r="F102" s="141"/>
      <c r="G102" s="141"/>
      <c r="AC102" s="298">
        <v>340</v>
      </c>
      <c r="AD102" s="289">
        <v>340</v>
      </c>
      <c r="AE102" s="289">
        <f t="shared" si="14"/>
        <v>0</v>
      </c>
      <c r="AF102" s="289"/>
      <c r="AG102" s="289"/>
      <c r="AH102" s="289"/>
      <c r="AI102" s="289"/>
      <c r="AJ102" s="289"/>
      <c r="AK102" s="289"/>
      <c r="AL102" s="289"/>
    </row>
    <row r="103" spans="2:38">
      <c r="B103" s="445" t="str">
        <f>IF($C$1="ENG","glazing Graphite / Bronze","скло Графіт / Бронза")</f>
        <v>скло Графіт / Бронза</v>
      </c>
      <c r="C103" s="446"/>
      <c r="D103" s="405">
        <f>IF(AC103="","",(1-$W$2)*(AC103/1.2))</f>
        <v>458.33333333333337</v>
      </c>
      <c r="E103" s="93">
        <f t="shared" si="15"/>
        <v>550</v>
      </c>
      <c r="F103" s="141"/>
      <c r="G103" s="141"/>
      <c r="AC103" s="298">
        <v>550</v>
      </c>
      <c r="AD103" s="289">
        <v>550</v>
      </c>
      <c r="AE103" s="289">
        <f t="shared" si="14"/>
        <v>0</v>
      </c>
      <c r="AF103" s="289"/>
      <c r="AG103" s="289"/>
      <c r="AH103" s="289"/>
      <c r="AI103" s="289"/>
      <c r="AJ103" s="289"/>
      <c r="AK103" s="289"/>
      <c r="AL103" s="289"/>
    </row>
    <row r="104" spans="2:38">
      <c r="B104" s="445" t="str">
        <f>IF($C$1="ENG","door lock Soft","замок Soft")</f>
        <v>замок Soft</v>
      </c>
      <c r="C104" s="446"/>
      <c r="D104" s="407">
        <f t="shared" si="13"/>
        <v>458.33333333333337</v>
      </c>
      <c r="E104" s="93">
        <f t="shared" si="15"/>
        <v>550</v>
      </c>
      <c r="F104" s="26"/>
      <c r="G104" s="26"/>
      <c r="H104" s="5"/>
      <c r="AC104" s="298">
        <v>550</v>
      </c>
      <c r="AD104" s="289">
        <v>550</v>
      </c>
      <c r="AE104" s="289">
        <f t="shared" si="14"/>
        <v>0</v>
      </c>
      <c r="AF104" s="289"/>
      <c r="AG104" s="289"/>
      <c r="AH104" s="289"/>
      <c r="AI104" s="289"/>
      <c r="AJ104" s="289"/>
      <c r="AK104" s="289"/>
      <c r="AL104" s="289"/>
    </row>
    <row r="105" spans="2:38">
      <c r="B105" s="445" t="str">
        <f>IF($C$1="ENG","door lock Soft black","замок Soft чорн.")</f>
        <v>замок Soft чорн.</v>
      </c>
      <c r="C105" s="446"/>
      <c r="D105" s="407">
        <f t="shared" ref="D105" si="16">IF(AC105="","",(1-$W$2)*(AC105/1.2))</f>
        <v>566.66666666666674</v>
      </c>
      <c r="E105" s="93">
        <f t="shared" ref="E105" si="17">IF($W$5=0.2,D105*1.2,D105)/$W$4</f>
        <v>680.00000000000011</v>
      </c>
      <c r="F105" s="26"/>
      <c r="G105" s="26"/>
      <c r="H105" s="5"/>
      <c r="AC105" s="298">
        <v>680</v>
      </c>
      <c r="AD105" s="289"/>
      <c r="AE105" s="289"/>
      <c r="AF105" s="289"/>
      <c r="AG105" s="289"/>
      <c r="AH105" s="289"/>
      <c r="AI105" s="289"/>
      <c r="AJ105" s="289"/>
      <c r="AK105" s="289"/>
      <c r="AL105" s="289"/>
    </row>
    <row r="106" spans="2:38">
      <c r="B106" s="445" t="str">
        <f>IF($C$1="ENG","door lock Magnet","замок Magnet")</f>
        <v>замок Magnet</v>
      </c>
      <c r="C106" s="446"/>
      <c r="D106" s="407">
        <f t="shared" si="13"/>
        <v>666.66666666666674</v>
      </c>
      <c r="E106" s="93">
        <f t="shared" si="15"/>
        <v>800.00000000000011</v>
      </c>
      <c r="F106" s="26"/>
      <c r="G106" s="26"/>
      <c r="H106" s="5"/>
      <c r="AC106" s="298">
        <v>800</v>
      </c>
      <c r="AD106" s="289">
        <v>800</v>
      </c>
      <c r="AE106" s="289">
        <f t="shared" si="14"/>
        <v>0</v>
      </c>
      <c r="AF106" s="289"/>
      <c r="AG106" s="289"/>
      <c r="AH106" s="289"/>
      <c r="AI106" s="289"/>
      <c r="AJ106" s="289"/>
      <c r="AK106" s="289"/>
      <c r="AL106" s="289"/>
    </row>
    <row r="107" spans="2:38">
      <c r="B107" s="411"/>
      <c r="C107" s="411" t="str">
        <f>IF($C$1="ENG","door lock Magnet black","замок Magnet чорн.")</f>
        <v>замок Magnet чорн.</v>
      </c>
      <c r="D107" s="416">
        <f t="shared" si="13"/>
        <v>833.33333333333337</v>
      </c>
      <c r="E107" s="93">
        <f t="shared" si="15"/>
        <v>1000</v>
      </c>
      <c r="F107" s="26"/>
      <c r="G107" s="26"/>
      <c r="H107" s="5"/>
      <c r="AC107" s="298">
        <v>1000</v>
      </c>
      <c r="AD107" s="289"/>
      <c r="AE107" s="289"/>
      <c r="AF107" s="289"/>
      <c r="AG107" s="289"/>
      <c r="AH107" s="289"/>
      <c r="AI107" s="289"/>
      <c r="AJ107" s="289"/>
      <c r="AK107" s="289"/>
      <c r="AL107" s="289"/>
    </row>
    <row r="108" spans="2:38">
      <c r="B108" s="445" t="str">
        <f>IF($C$1="ENG","door handle-lock (for sliding doors)","ручка-замок (для дверей купе)")</f>
        <v>ручка-замок (для дверей купе)</v>
      </c>
      <c r="C108" s="446"/>
      <c r="D108" s="407">
        <f t="shared" si="13"/>
        <v>466.66666666666669</v>
      </c>
      <c r="E108" s="93">
        <f t="shared" si="15"/>
        <v>560</v>
      </c>
      <c r="F108" s="26"/>
      <c r="G108" s="26"/>
      <c r="H108" s="5"/>
      <c r="AC108" s="298">
        <v>560</v>
      </c>
      <c r="AD108" s="289">
        <v>560</v>
      </c>
      <c r="AE108" s="289">
        <f t="shared" si="14"/>
        <v>0</v>
      </c>
      <c r="AF108" s="289"/>
      <c r="AG108" s="289"/>
      <c r="AH108" s="289"/>
      <c r="AI108" s="289"/>
      <c r="AJ108" s="289"/>
      <c r="AK108" s="289"/>
      <c r="AL108" s="289"/>
    </row>
    <row r="109" spans="2:38">
      <c r="B109" s="445" t="str">
        <f>IF($C$1="ENG","cylinder incert","циліндр несиметричний")</f>
        <v>циліндр несиметричний</v>
      </c>
      <c r="C109" s="446"/>
      <c r="D109" s="405">
        <f t="shared" si="13"/>
        <v>325</v>
      </c>
      <c r="E109" s="93">
        <f t="shared" si="15"/>
        <v>390</v>
      </c>
      <c r="F109" s="26"/>
      <c r="G109" s="26"/>
      <c r="AC109" s="298">
        <v>390</v>
      </c>
      <c r="AD109" s="289">
        <v>390</v>
      </c>
      <c r="AE109" s="289">
        <f t="shared" si="14"/>
        <v>0</v>
      </c>
      <c r="AF109" s="289"/>
      <c r="AG109" s="289"/>
      <c r="AH109" s="289"/>
      <c r="AI109" s="289"/>
      <c r="AJ109" s="289"/>
      <c r="AK109" s="289"/>
      <c r="AL109" s="289"/>
    </row>
    <row r="110" spans="2:38">
      <c r="B110" s="445" t="str">
        <f>IF($C$1="ENG","door hindge Prestige (1 unit)","завіса Prestige (1 шт)")</f>
        <v>завіса Prestige (1 шт)</v>
      </c>
      <c r="C110" s="446"/>
      <c r="D110" s="408">
        <f t="shared" si="13"/>
        <v>216.66666666666669</v>
      </c>
      <c r="E110" s="93">
        <f t="shared" si="15"/>
        <v>260</v>
      </c>
      <c r="F110" s="26"/>
      <c r="G110" s="26"/>
      <c r="AC110" s="298">
        <v>260</v>
      </c>
      <c r="AD110" s="289">
        <v>260</v>
      </c>
      <c r="AE110" s="289">
        <f t="shared" si="14"/>
        <v>0</v>
      </c>
      <c r="AF110" s="289"/>
      <c r="AG110" s="289"/>
      <c r="AH110" s="289"/>
      <c r="AI110" s="289"/>
      <c r="AJ110" s="289"/>
      <c r="AK110" s="289"/>
      <c r="AL110" s="289"/>
    </row>
    <row r="111" spans="2:38">
      <c r="B111" s="445" t="str">
        <f>IF($C$1="ENG","door hinge caps (1 set)","накладка на завіси (1 к-т)")</f>
        <v>накладка на завіси (1 к-т)</v>
      </c>
      <c r="C111" s="446"/>
      <c r="D111" s="408">
        <f t="shared" si="13"/>
        <v>66.666666666666671</v>
      </c>
      <c r="E111" s="93">
        <f t="shared" si="15"/>
        <v>80</v>
      </c>
      <c r="F111" s="26"/>
      <c r="G111" s="26"/>
      <c r="AC111" s="298">
        <v>80</v>
      </c>
      <c r="AD111" s="289">
        <v>80</v>
      </c>
      <c r="AE111" s="289">
        <f t="shared" si="14"/>
        <v>0</v>
      </c>
      <c r="AF111" s="289"/>
      <c r="AG111" s="289"/>
      <c r="AH111" s="289"/>
      <c r="AI111" s="289"/>
      <c r="AJ111" s="289"/>
      <c r="AK111" s="289"/>
      <c r="AL111" s="289"/>
    </row>
    <row r="112" spans="2:38">
      <c r="B112" s="445" t="str">
        <f>IF($C$1="ENG","door handle","дверна ручка")</f>
        <v>дверна ручка</v>
      </c>
      <c r="C112" s="446"/>
      <c r="D112" s="405">
        <f t="shared" si="13"/>
        <v>0</v>
      </c>
      <c r="E112" s="296" t="str">
        <f>IF($C$1="ENG","see Handles Price","див. Таблицю Ручки")</f>
        <v>див. Таблицю Ручки</v>
      </c>
      <c r="F112" s="26"/>
      <c r="G112" s="26"/>
      <c r="AC112" s="298">
        <f t="shared" ref="AC112:AD112" si="18">AB112/100*13+AB112</f>
        <v>0</v>
      </c>
      <c r="AD112" s="289">
        <f t="shared" si="18"/>
        <v>0</v>
      </c>
      <c r="AE112" s="289" t="e">
        <f t="shared" si="14"/>
        <v>#DIV/0!</v>
      </c>
      <c r="AF112" s="289"/>
      <c r="AG112" s="289"/>
      <c r="AH112" s="289"/>
      <c r="AI112" s="289"/>
      <c r="AJ112" s="289"/>
      <c r="AK112" s="289"/>
      <c r="AL112" s="289"/>
    </row>
    <row r="113" spans="2:38">
      <c r="B113" s="445" t="str">
        <f>IF($C$1="ENG","perforated chipboard","ДСП трубчасте")</f>
        <v>ДСП трубчасте</v>
      </c>
      <c r="C113" s="446"/>
      <c r="D113" s="409">
        <f t="shared" si="13"/>
        <v>1083.3333333333335</v>
      </c>
      <c r="E113" s="94">
        <f>IF($W$5=0.2,D113*1.2,D113)/$W$4</f>
        <v>1300.0000000000002</v>
      </c>
      <c r="F113" s="26"/>
      <c r="G113" s="26"/>
      <c r="AC113" s="298">
        <v>1300</v>
      </c>
      <c r="AD113" s="289">
        <v>1300</v>
      </c>
      <c r="AE113" s="289">
        <f t="shared" si="14"/>
        <v>0</v>
      </c>
      <c r="AF113" s="289"/>
      <c r="AG113" s="289"/>
      <c r="AH113" s="289"/>
      <c r="AI113" s="289"/>
      <c r="AJ113" s="289"/>
      <c r="AK113" s="289"/>
      <c r="AL113" s="289"/>
    </row>
    <row r="114" spans="2:38" ht="14.25" customHeight="1">
      <c r="C114" s="245"/>
      <c r="D114" s="26"/>
      <c r="E114" s="26"/>
      <c r="F114" s="26"/>
      <c r="G114" s="26"/>
      <c r="H114" s="5"/>
      <c r="S114" s="465" t="str">
        <f>IF($C$1="ENG",CONCATENATE("down to: B209",),CONCATENATE("вниз до: ",B164))</f>
        <v>вниз до: Полотна каркасно-щитові: ГЕОМЕТРІЯ</v>
      </c>
      <c r="T114" s="484"/>
      <c r="U114" s="484"/>
      <c r="V114" s="484"/>
      <c r="W114" s="484"/>
    </row>
    <row r="115" spans="2:38" ht="14.25" customHeight="1">
      <c r="C115" s="245"/>
      <c r="D115" s="26"/>
      <c r="E115" s="26"/>
      <c r="F115" s="26"/>
      <c r="G115" s="26"/>
      <c r="H115" s="5"/>
    </row>
    <row r="116" spans="2:38" ht="14.25" customHeight="1">
      <c r="C116" s="245"/>
      <c r="D116" s="26"/>
      <c r="F116" s="26"/>
      <c r="G116" s="26"/>
      <c r="H116" s="5"/>
    </row>
    <row r="117" spans="2:38" ht="14.25" customHeight="1">
      <c r="C117" s="245"/>
      <c r="D117" s="26"/>
      <c r="E117" s="26"/>
      <c r="F117" s="26"/>
      <c r="G117" s="26"/>
      <c r="H117" s="5"/>
    </row>
    <row r="118" spans="2:38" ht="14.25" customHeight="1">
      <c r="C118" s="245"/>
      <c r="D118" s="26"/>
      <c r="E118" s="26"/>
      <c r="F118" s="26"/>
      <c r="G118" s="26"/>
      <c r="H118" s="5"/>
    </row>
    <row r="119" spans="2:38" ht="14.25" customHeight="1">
      <c r="C119" s="245"/>
      <c r="D119" s="26"/>
      <c r="E119" s="26"/>
      <c r="F119" s="26"/>
      <c r="G119" s="26"/>
      <c r="H119" s="5"/>
    </row>
    <row r="120" spans="2:38" ht="14.25" customHeight="1">
      <c r="C120" s="245"/>
      <c r="D120" s="26"/>
      <c r="E120" s="26"/>
      <c r="F120" s="26"/>
      <c r="G120" s="26"/>
      <c r="H120" s="5"/>
    </row>
    <row r="121" spans="2:38" ht="14.25" customHeight="1">
      <c r="C121" s="245"/>
      <c r="D121" s="26"/>
      <c r="E121" s="26"/>
      <c r="F121" s="26"/>
      <c r="G121" s="26"/>
      <c r="H121" s="5"/>
    </row>
    <row r="122" spans="2:38" ht="14.25" customHeight="1">
      <c r="C122" s="245"/>
      <c r="D122" s="26"/>
      <c r="E122" s="26"/>
      <c r="F122" s="26"/>
      <c r="G122" s="26"/>
      <c r="H122" s="5"/>
    </row>
    <row r="123" spans="2:38" ht="14.25" customHeight="1">
      <c r="C123" s="245"/>
      <c r="D123" s="26"/>
      <c r="E123" s="26"/>
      <c r="F123" s="26"/>
      <c r="G123" s="26"/>
      <c r="H123" s="5"/>
    </row>
    <row r="124" spans="2:38" ht="14.25" customHeight="1">
      <c r="C124" s="245"/>
      <c r="D124" s="26"/>
      <c r="E124" s="26"/>
      <c r="F124" s="26"/>
      <c r="G124" s="26"/>
      <c r="H124" s="5"/>
    </row>
    <row r="125" spans="2:38" ht="14.25" customHeight="1">
      <c r="C125" s="245"/>
      <c r="D125" s="26"/>
      <c r="E125" s="26"/>
      <c r="F125" s="26"/>
      <c r="G125" s="26"/>
      <c r="H125" s="5"/>
    </row>
    <row r="126" spans="2:38" ht="14.25" customHeight="1">
      <c r="C126" s="245"/>
      <c r="D126" s="26"/>
      <c r="E126" s="26"/>
      <c r="F126" s="26"/>
      <c r="G126" s="26"/>
      <c r="H126" s="5"/>
    </row>
    <row r="127" spans="2:38" ht="14.25" customHeight="1">
      <c r="C127" s="245"/>
      <c r="D127" s="26"/>
      <c r="E127" s="26"/>
      <c r="F127" s="26"/>
      <c r="G127" s="26"/>
      <c r="H127" s="5"/>
    </row>
    <row r="128" spans="2:38" ht="14.25" customHeight="1">
      <c r="C128" s="245"/>
      <c r="D128" s="26"/>
      <c r="E128" s="26"/>
      <c r="F128" s="26"/>
      <c r="G128" s="26"/>
      <c r="H128" s="5"/>
    </row>
    <row r="129" spans="3:8" ht="14.25" customHeight="1">
      <c r="C129" s="245"/>
      <c r="D129" s="26"/>
      <c r="E129" s="26"/>
      <c r="F129" s="26"/>
      <c r="G129" s="26"/>
      <c r="H129" s="5"/>
    </row>
    <row r="130" spans="3:8" ht="14.25" customHeight="1">
      <c r="C130" s="245"/>
      <c r="D130" s="26"/>
      <c r="E130" s="26"/>
      <c r="F130" s="26"/>
      <c r="G130" s="26"/>
      <c r="H130" s="5"/>
    </row>
    <row r="131" spans="3:8" ht="14.25" customHeight="1">
      <c r="C131" s="245"/>
      <c r="D131" s="26"/>
      <c r="E131" s="26"/>
      <c r="F131" s="26"/>
      <c r="G131" s="26"/>
      <c r="H131" s="5"/>
    </row>
    <row r="132" spans="3:8" ht="14.25" customHeight="1">
      <c r="C132" s="245"/>
      <c r="D132" s="26"/>
      <c r="E132" s="26"/>
      <c r="F132" s="26"/>
      <c r="G132" s="26"/>
      <c r="H132" s="5"/>
    </row>
    <row r="133" spans="3:8" ht="14.25" customHeight="1">
      <c r="C133" s="245"/>
      <c r="D133" s="26"/>
      <c r="E133" s="26"/>
      <c r="F133" s="26"/>
      <c r="G133" s="26"/>
      <c r="H133" s="5"/>
    </row>
    <row r="134" spans="3:8" ht="14.25" customHeight="1">
      <c r="C134" s="245"/>
      <c r="D134" s="26"/>
      <c r="E134" s="26"/>
      <c r="F134" s="26"/>
      <c r="G134" s="26"/>
      <c r="H134" s="5"/>
    </row>
    <row r="135" spans="3:8" ht="14.25" customHeight="1">
      <c r="C135" s="245"/>
      <c r="D135" s="26"/>
      <c r="E135" s="26"/>
      <c r="F135" s="26"/>
      <c r="G135" s="26"/>
      <c r="H135" s="5"/>
    </row>
    <row r="136" spans="3:8" ht="14.25" customHeight="1">
      <c r="C136" s="245"/>
      <c r="D136" s="26"/>
      <c r="E136" s="26"/>
      <c r="F136" s="26"/>
      <c r="G136" s="26"/>
      <c r="H136" s="5"/>
    </row>
    <row r="137" spans="3:8" ht="14.25" customHeight="1">
      <c r="C137" s="245"/>
      <c r="D137" s="26"/>
      <c r="E137" s="26"/>
      <c r="F137" s="26"/>
      <c r="G137" s="26"/>
      <c r="H137" s="5"/>
    </row>
    <row r="138" spans="3:8" ht="14.25" customHeight="1">
      <c r="C138" s="245"/>
      <c r="D138" s="26"/>
      <c r="E138" s="26"/>
      <c r="F138" s="26"/>
      <c r="G138" s="26"/>
      <c r="H138" s="5"/>
    </row>
    <row r="139" spans="3:8" ht="14.25" customHeight="1">
      <c r="C139" s="245"/>
      <c r="D139" s="26"/>
      <c r="E139" s="26"/>
      <c r="F139" s="26"/>
      <c r="G139" s="26"/>
      <c r="H139" s="5"/>
    </row>
    <row r="140" spans="3:8" ht="14.25" customHeight="1">
      <c r="C140" s="245"/>
      <c r="D140" s="26"/>
      <c r="E140" s="26"/>
      <c r="F140" s="26"/>
      <c r="G140" s="26"/>
      <c r="H140" s="5"/>
    </row>
    <row r="141" spans="3:8" ht="14.25" customHeight="1">
      <c r="C141" s="245"/>
      <c r="D141" s="26"/>
      <c r="E141" s="26"/>
      <c r="F141" s="26"/>
      <c r="G141" s="26"/>
      <c r="H141" s="5"/>
    </row>
    <row r="142" spans="3:8" ht="14.25" customHeight="1">
      <c r="C142" s="245"/>
      <c r="D142" s="26"/>
      <c r="E142" s="26"/>
      <c r="F142" s="26"/>
      <c r="G142" s="26"/>
      <c r="H142" s="5"/>
    </row>
    <row r="143" spans="3:8" ht="14.25" customHeight="1">
      <c r="C143" s="245"/>
      <c r="D143" s="26"/>
      <c r="E143" s="26"/>
      <c r="F143" s="26"/>
      <c r="G143" s="26"/>
      <c r="H143" s="5"/>
    </row>
    <row r="144" spans="3:8" ht="14.25" customHeight="1">
      <c r="C144" s="245"/>
      <c r="D144" s="26"/>
      <c r="E144" s="26"/>
      <c r="F144" s="26"/>
      <c r="G144" s="26"/>
      <c r="H144" s="5"/>
    </row>
    <row r="145" spans="3:8" ht="14.25" customHeight="1">
      <c r="C145" s="245"/>
      <c r="D145" s="26"/>
      <c r="E145" s="26"/>
      <c r="F145" s="26"/>
      <c r="G145" s="26"/>
      <c r="H145" s="5"/>
    </row>
    <row r="146" spans="3:8" ht="14.25" customHeight="1">
      <c r="C146" s="245"/>
      <c r="D146" s="26"/>
      <c r="E146" s="26"/>
      <c r="F146" s="26"/>
      <c r="G146" s="26"/>
      <c r="H146" s="5"/>
    </row>
    <row r="147" spans="3:8" ht="14.25" customHeight="1">
      <c r="C147" s="245"/>
      <c r="D147" s="26"/>
      <c r="E147" s="26"/>
      <c r="F147" s="26"/>
      <c r="G147" s="26"/>
      <c r="H147" s="5"/>
    </row>
    <row r="148" spans="3:8" ht="14.25" customHeight="1">
      <c r="C148" s="245"/>
      <c r="D148" s="26"/>
      <c r="E148" s="26"/>
      <c r="F148" s="26"/>
      <c r="G148" s="26"/>
      <c r="H148" s="5"/>
    </row>
    <row r="149" spans="3:8" ht="14.25" customHeight="1">
      <c r="C149" s="245"/>
      <c r="D149" s="26"/>
      <c r="E149" s="26"/>
      <c r="F149" s="26"/>
      <c r="G149" s="26"/>
      <c r="H149" s="5"/>
    </row>
    <row r="150" spans="3:8" ht="14.25" customHeight="1">
      <c r="C150" s="245"/>
      <c r="D150" s="26"/>
      <c r="E150" s="26"/>
      <c r="F150" s="26"/>
      <c r="G150" s="26"/>
      <c r="H150" s="5"/>
    </row>
    <row r="151" spans="3:8" ht="14.25" customHeight="1">
      <c r="C151" s="245"/>
      <c r="D151" s="26"/>
      <c r="E151" s="26"/>
      <c r="F151" s="26"/>
      <c r="G151" s="26"/>
      <c r="H151" s="5"/>
    </row>
    <row r="152" spans="3:8" ht="14.25" customHeight="1">
      <c r="C152" s="245"/>
      <c r="D152" s="26"/>
      <c r="E152" s="26"/>
      <c r="F152" s="26"/>
      <c r="G152" s="26"/>
      <c r="H152" s="5"/>
    </row>
    <row r="153" spans="3:8" ht="14.25" customHeight="1">
      <c r="C153" s="245"/>
      <c r="D153" s="26"/>
      <c r="E153" s="26"/>
      <c r="F153" s="26"/>
      <c r="G153" s="26"/>
      <c r="H153" s="5"/>
    </row>
    <row r="154" spans="3:8" ht="14.25" customHeight="1">
      <c r="C154" s="245"/>
      <c r="D154" s="26"/>
      <c r="E154" s="26"/>
      <c r="F154" s="26"/>
      <c r="G154" s="26"/>
      <c r="H154" s="5"/>
    </row>
    <row r="155" spans="3:8" ht="14.25" customHeight="1">
      <c r="C155" s="245"/>
      <c r="D155" s="26"/>
      <c r="E155" s="26"/>
      <c r="F155" s="26"/>
      <c r="G155" s="26"/>
      <c r="H155" s="5"/>
    </row>
    <row r="156" spans="3:8" ht="14.25" customHeight="1">
      <c r="C156" s="245"/>
      <c r="D156" s="26"/>
      <c r="E156" s="26"/>
      <c r="F156" s="26"/>
      <c r="G156" s="26"/>
      <c r="H156" s="5"/>
    </row>
    <row r="157" spans="3:8" ht="14.25" customHeight="1">
      <c r="C157" s="245"/>
      <c r="D157" s="26"/>
      <c r="E157" s="26"/>
      <c r="F157" s="26"/>
      <c r="G157" s="26"/>
      <c r="H157" s="5"/>
    </row>
    <row r="158" spans="3:8" ht="14.25" customHeight="1">
      <c r="C158" s="245"/>
      <c r="D158" s="26"/>
      <c r="E158" s="26"/>
      <c r="F158" s="26"/>
      <c r="G158" s="26"/>
      <c r="H158" s="5"/>
    </row>
    <row r="159" spans="3:8" ht="14.25" customHeight="1">
      <c r="C159" s="245"/>
      <c r="D159" s="26"/>
      <c r="E159" s="26"/>
      <c r="F159" s="26"/>
      <c r="G159" s="26"/>
      <c r="H159" s="5"/>
    </row>
    <row r="160" spans="3:8" ht="14.25" customHeight="1">
      <c r="C160" s="245"/>
      <c r="D160" s="26"/>
      <c r="E160" s="26"/>
      <c r="F160" s="26"/>
      <c r="G160" s="26"/>
      <c r="H160" s="5"/>
    </row>
    <row r="161" spans="1:46" ht="14.25" customHeight="1">
      <c r="C161" s="245"/>
      <c r="D161" s="26"/>
      <c r="E161" s="26"/>
      <c r="F161" s="26"/>
      <c r="G161" s="26"/>
      <c r="H161" s="5"/>
    </row>
    <row r="162" spans="1:46" ht="14.25" customHeight="1">
      <c r="C162" s="245"/>
      <c r="D162" s="26"/>
      <c r="E162" s="26"/>
      <c r="F162" s="26"/>
      <c r="G162" s="26"/>
      <c r="H162" s="5"/>
    </row>
    <row r="163" spans="1:46" ht="14.25" customHeight="1">
      <c r="C163" s="245"/>
      <c r="D163" s="26"/>
      <c r="E163" s="26"/>
      <c r="F163" s="26"/>
      <c r="G163" s="26"/>
      <c r="H163" s="5"/>
    </row>
    <row r="164" spans="1:46" s="8" customFormat="1">
      <c r="B164" s="451" t="str">
        <f>TITLE!$C$10</f>
        <v>Полотна каркасно-щитові: ГЕОМЕТРІЯ</v>
      </c>
      <c r="C164" s="451"/>
      <c r="D164" s="463"/>
      <c r="E164" s="463"/>
      <c r="F164" s="118"/>
      <c r="G164" s="118"/>
      <c r="H164" s="118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462" t="str">
        <f>IF($C$1="ENG",CONCATENATE("up to: ",B90),CONCATENATE("вгору до: ",B90))</f>
        <v>вгору до: Полотна каркасно-щитові: КУПАВА</v>
      </c>
      <c r="T164" s="457"/>
      <c r="U164" s="457"/>
      <c r="V164" s="457"/>
      <c r="W164" s="457"/>
      <c r="AN164" s="280"/>
      <c r="AO164" s="280"/>
      <c r="AP164" s="280"/>
      <c r="AQ164" s="280"/>
      <c r="AR164" s="280"/>
      <c r="AS164" s="280"/>
      <c r="AT164" s="280"/>
    </row>
    <row r="165" spans="1:46" s="8" customFormat="1" ht="5.0999999999999996" customHeight="1">
      <c r="B165" s="117"/>
      <c r="C165" s="420"/>
      <c r="D165" s="9"/>
      <c r="E165" s="9"/>
      <c r="F165" s="9"/>
      <c r="G165" s="9"/>
      <c r="H165" s="10"/>
      <c r="T165" s="144"/>
      <c r="U165" s="144"/>
      <c r="V165" s="144"/>
      <c r="W165" s="144"/>
      <c r="AN165" s="280"/>
      <c r="AO165" s="280"/>
      <c r="AP165" s="280"/>
      <c r="AQ165" s="280"/>
      <c r="AR165" s="280"/>
      <c r="AS165" s="280"/>
      <c r="AT165" s="280"/>
    </row>
    <row r="166" spans="1:46" ht="12.75" customHeight="1">
      <c r="A166" s="8"/>
      <c r="B166" s="452" t="str">
        <f>IF($C$1="ENG","model","модель")</f>
        <v>модель</v>
      </c>
      <c r="C166" s="122" t="str">
        <f>IF($C$1="ENG","cover:","покриття:")</f>
        <v>покриття:</v>
      </c>
      <c r="D166" s="458" t="str">
        <f>IF($C$1="ENG","SIMPL / V-CELL","SIMPL / V-CELL")</f>
        <v>SIMPL / V-CELL</v>
      </c>
      <c r="E166" s="459"/>
      <c r="F166" s="458" t="str">
        <f>IF($C$1="ENG","UNI-MAT","UNI-MAT")</f>
        <v>UNI-MAT</v>
      </c>
      <c r="G166" s="459"/>
      <c r="H166" s="458" t="str">
        <f>IF($C$1="ENG","RESIST","RESIST")</f>
        <v>RESIST</v>
      </c>
      <c r="I166" s="459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</row>
    <row r="167" spans="1:46" ht="12.75" customHeight="1">
      <c r="A167" s="8"/>
      <c r="B167" s="453"/>
      <c r="C167" s="123" t="str">
        <f>IF($C$1="ENG","filling:","заповнення:")</f>
        <v>заповнення:</v>
      </c>
      <c r="D167" s="460" t="str">
        <f>IF($C$1="ENG","honeycomb core ","сотове заповнення")</f>
        <v>сотове заповнення</v>
      </c>
      <c r="E167" s="461"/>
      <c r="F167" s="460" t="str">
        <f>IF($C$1="ENG","honeycomb core ","сотове заповнення")</f>
        <v>сотове заповнення</v>
      </c>
      <c r="G167" s="461"/>
      <c r="H167" s="460" t="str">
        <f>IF($C$1="ENG","honeycomb core ","сотове заповнення")</f>
        <v>сотове заповнення</v>
      </c>
      <c r="I167" s="461"/>
      <c r="J167" s="47"/>
      <c r="K167" s="47"/>
      <c r="L167" s="48"/>
      <c r="M167" s="48"/>
      <c r="N167" s="48"/>
      <c r="O167" s="48"/>
      <c r="P167" s="48"/>
      <c r="Q167" s="48"/>
      <c r="R167" s="48"/>
      <c r="S167" s="48"/>
      <c r="T167" s="47"/>
      <c r="U167" s="47"/>
      <c r="V167" s="47"/>
      <c r="W167" s="47"/>
    </row>
    <row r="168" spans="1:46" ht="12.75" customHeight="1">
      <c r="A168" s="8"/>
      <c r="B168" s="454"/>
      <c r="C168" s="124" t="str">
        <f>IF($C$1="ENG","glazing:","скління:")</f>
        <v>скління:</v>
      </c>
      <c r="D168" s="449" t="str">
        <f>IF($C$1="ENG","Krizet","Кризет")</f>
        <v>Кризет</v>
      </c>
      <c r="E168" s="450"/>
      <c r="F168" s="449" t="str">
        <f>IF($C$1="ENG","Krizet","Кризет")</f>
        <v>Кризет</v>
      </c>
      <c r="G168" s="464"/>
      <c r="H168" s="449" t="str">
        <f>IF($C$1="ENG","Krizet","Кризет")</f>
        <v>Кризет</v>
      </c>
      <c r="I168" s="464"/>
      <c r="J168" s="47"/>
      <c r="K168" s="131"/>
      <c r="L168" s="48"/>
      <c r="M168" s="48"/>
      <c r="N168" s="48"/>
      <c r="O168" s="48"/>
      <c r="P168" s="48"/>
      <c r="Q168" s="48"/>
      <c r="R168" s="48"/>
      <c r="S168" s="48"/>
      <c r="T168" s="47"/>
      <c r="U168" s="47"/>
      <c r="V168" s="47"/>
      <c r="W168" s="131"/>
      <c r="AC168" s="1" t="str">
        <f>D166</f>
        <v>SIMPL / V-CELL</v>
      </c>
      <c r="AD168" s="1" t="str">
        <f>F166</f>
        <v>UNI-MAT</v>
      </c>
      <c r="AE168" s="1" t="str">
        <f>H166</f>
        <v>RESIST</v>
      </c>
    </row>
    <row r="169" spans="1:46" ht="35.1" customHeight="1">
      <c r="A169" s="8"/>
      <c r="B169" s="13" t="s">
        <v>19</v>
      </c>
      <c r="C169" s="14"/>
      <c r="D169" s="101">
        <f>IF(AC169="","",(1-$W$2)*(AC169/1.2))</f>
        <v>2958.3333333333335</v>
      </c>
      <c r="E169" s="64">
        <f>IF($W$5=0.2,D169*1.2,D169)/$W$4</f>
        <v>3550</v>
      </c>
      <c r="F169" s="101">
        <f>IF(AD169="","",(1-$W$2)*(AD169/1.2))</f>
        <v>3400</v>
      </c>
      <c r="G169" s="64">
        <f>IF($W$5=0.2,F169*1.2,F169)/$W$4</f>
        <v>4080</v>
      </c>
      <c r="H169" s="101">
        <f>IF(AE169="","",(1-$W$2)*(AE169/1.2))</f>
        <v>3633.3333333333335</v>
      </c>
      <c r="I169" s="64">
        <f>IF($W$5=0.2,H169*1.2,H169)/$W$4</f>
        <v>4360</v>
      </c>
      <c r="J169" s="28"/>
      <c r="K169" s="59"/>
      <c r="L169" s="254"/>
      <c r="M169" s="143"/>
      <c r="N169" s="254"/>
      <c r="O169" s="278"/>
      <c r="P169" s="254"/>
      <c r="Q169" s="143"/>
      <c r="R169" s="254"/>
      <c r="S169" s="278"/>
      <c r="T169" s="28"/>
      <c r="U169" s="59"/>
      <c r="V169" s="28"/>
      <c r="W169" s="59"/>
      <c r="X169" s="59"/>
      <c r="Y169" s="59"/>
      <c r="Z169" s="59"/>
      <c r="AA169" s="59"/>
      <c r="AB169" s="59"/>
      <c r="AC169" s="332">
        <v>3550</v>
      </c>
      <c r="AD169" s="332">
        <v>4080</v>
      </c>
      <c r="AE169" s="332">
        <v>4360</v>
      </c>
      <c r="AF169" s="289">
        <v>3550</v>
      </c>
      <c r="AG169" s="289">
        <f>AF169/AC169-1</f>
        <v>0</v>
      </c>
      <c r="AH169" s="289">
        <v>4080</v>
      </c>
      <c r="AI169" s="289">
        <f>AH169/AD169-1</f>
        <v>0</v>
      </c>
      <c r="AJ169" s="289">
        <v>4360</v>
      </c>
      <c r="AK169" s="289">
        <f>AJ169/AE169-1</f>
        <v>0</v>
      </c>
      <c r="AL169" s="289"/>
      <c r="AM169" s="334"/>
      <c r="AN169" s="310"/>
      <c r="AO169" s="334"/>
    </row>
    <row r="170" spans="1:46" ht="35.1" customHeight="1">
      <c r="A170" s="8"/>
      <c r="B170" s="16" t="s">
        <v>22</v>
      </c>
      <c r="C170" s="17"/>
      <c r="D170" s="102">
        <f>IF(AC170="","",(1-$W$2)*(AC170/1.2))</f>
        <v>3208.3333333333335</v>
      </c>
      <c r="E170" s="66">
        <f>IF($W$5=0.2,D170*1.2,D170)/$W$4</f>
        <v>3850</v>
      </c>
      <c r="F170" s="102">
        <f>IF(AD170="","",(1-$W$2)*(AD170/1.2))</f>
        <v>3700</v>
      </c>
      <c r="G170" s="66">
        <f>IF($W$5=0.2,F170*1.2,F170)/$W$4</f>
        <v>4440</v>
      </c>
      <c r="H170" s="102">
        <f>IF(AE170="","",(1-$W$2)*(AE170/1.2))</f>
        <v>3850</v>
      </c>
      <c r="I170" s="66">
        <f>IF($W$5=0.2,H170*1.2,H170)/$W$4</f>
        <v>4620</v>
      </c>
      <c r="J170" s="28"/>
      <c r="K170" s="59"/>
      <c r="L170" s="254"/>
      <c r="M170" s="143"/>
      <c r="N170" s="254"/>
      <c r="O170" s="278"/>
      <c r="P170" s="254"/>
      <c r="Q170" s="143"/>
      <c r="R170" s="254"/>
      <c r="S170" s="278"/>
      <c r="T170" s="28"/>
      <c r="U170" s="59"/>
      <c r="V170" s="28"/>
      <c r="W170" s="59"/>
      <c r="AC170" s="332">
        <v>3850</v>
      </c>
      <c r="AD170" s="332">
        <v>4440</v>
      </c>
      <c r="AE170" s="332">
        <v>4620</v>
      </c>
      <c r="AF170" s="289">
        <v>3850</v>
      </c>
      <c r="AG170" s="289">
        <f t="shared" ref="AG170:AG173" si="19">AF170/AC170-1</f>
        <v>0</v>
      </c>
      <c r="AH170" s="289">
        <v>4440</v>
      </c>
      <c r="AI170" s="289">
        <f t="shared" ref="AI170:AI173" si="20">AH170/AD170-1</f>
        <v>0</v>
      </c>
      <c r="AJ170" s="289">
        <v>4620</v>
      </c>
      <c r="AK170" s="289">
        <f t="shared" ref="AK170:AK173" si="21">AJ170/AE170-1</f>
        <v>0</v>
      </c>
      <c r="AL170" s="289"/>
      <c r="AM170" s="334"/>
      <c r="AN170" s="310"/>
      <c r="AO170" s="334"/>
    </row>
    <row r="171" spans="1:46" ht="35.1" customHeight="1">
      <c r="A171" s="8"/>
      <c r="B171" s="16" t="s">
        <v>23</v>
      </c>
      <c r="C171" s="17"/>
      <c r="D171" s="102">
        <f>IF(AC171="","",(1-$W$2)*(AC171/1.2))</f>
        <v>3208.3333333333335</v>
      </c>
      <c r="E171" s="66">
        <f>IF($W$5=0.2,D171*1.2,D171)/$W$4</f>
        <v>3850</v>
      </c>
      <c r="F171" s="102">
        <f>IF(AD171="","",(1-$W$2)*(AD171/1.2))</f>
        <v>3700</v>
      </c>
      <c r="G171" s="66">
        <f>IF($W$5=0.2,F171*1.2,F171)/$W$4</f>
        <v>4440</v>
      </c>
      <c r="H171" s="102">
        <f>IF(AE171="","",(1-$W$2)*(AE171/1.2))</f>
        <v>3850</v>
      </c>
      <c r="I171" s="66">
        <f>IF($W$5=0.2,H171*1.2,H171)/$W$4</f>
        <v>4620</v>
      </c>
      <c r="J171" s="28"/>
      <c r="K171" s="59"/>
      <c r="L171" s="254"/>
      <c r="M171" s="143"/>
      <c r="N171" s="254"/>
      <c r="O171" s="278"/>
      <c r="P171" s="254"/>
      <c r="Q171" s="143"/>
      <c r="R171" s="254"/>
      <c r="S171" s="278"/>
      <c r="T171" s="28"/>
      <c r="U171" s="59"/>
      <c r="V171" s="28"/>
      <c r="W171" s="59"/>
      <c r="AC171" s="332">
        <v>3850</v>
      </c>
      <c r="AD171" s="332">
        <v>4440</v>
      </c>
      <c r="AE171" s="332">
        <v>4620</v>
      </c>
      <c r="AF171" s="289">
        <v>3850</v>
      </c>
      <c r="AG171" s="289">
        <f t="shared" si="19"/>
        <v>0</v>
      </c>
      <c r="AH171" s="289">
        <v>4440</v>
      </c>
      <c r="AI171" s="289">
        <f t="shared" si="20"/>
        <v>0</v>
      </c>
      <c r="AJ171" s="289">
        <v>4620</v>
      </c>
      <c r="AK171" s="289">
        <f t="shared" si="21"/>
        <v>0</v>
      </c>
      <c r="AL171" s="289"/>
      <c r="AM171" s="334"/>
      <c r="AN171" s="310"/>
      <c r="AO171" s="334"/>
    </row>
    <row r="172" spans="1:46" ht="35.1" customHeight="1">
      <c r="A172" s="8"/>
      <c r="B172" s="16" t="s">
        <v>24</v>
      </c>
      <c r="C172" s="17"/>
      <c r="D172" s="102">
        <f>IF(AC172="","",(1-$W$2)*(AC172/1.2))</f>
        <v>3208.3333333333335</v>
      </c>
      <c r="E172" s="66">
        <f>IF($W$5=0.2,D172*1.2,D172)/$W$4</f>
        <v>3850</v>
      </c>
      <c r="F172" s="102">
        <f>IF(AD172="","",(1-$W$2)*(AD172/1.2))</f>
        <v>3700</v>
      </c>
      <c r="G172" s="66">
        <f>IF($W$5=0.2,F172*1.2,F172)/$W$4</f>
        <v>4440</v>
      </c>
      <c r="H172" s="102">
        <f>IF(AE172="","",(1-$W$2)*(AE172/1.2))</f>
        <v>3850</v>
      </c>
      <c r="I172" s="66">
        <f>IF($W$5=0.2,H172*1.2,H172)/$W$4</f>
        <v>4620</v>
      </c>
      <c r="J172" s="28"/>
      <c r="K172" s="59"/>
      <c r="L172" s="254"/>
      <c r="M172" s="143"/>
      <c r="N172" s="254"/>
      <c r="O172" s="278"/>
      <c r="P172" s="254"/>
      <c r="Q172" s="143"/>
      <c r="R172" s="254"/>
      <c r="S172" s="278"/>
      <c r="T172" s="28"/>
      <c r="U172" s="59"/>
      <c r="V172" s="28"/>
      <c r="W172" s="59"/>
      <c r="AC172" s="332">
        <v>3850</v>
      </c>
      <c r="AD172" s="332">
        <v>4440</v>
      </c>
      <c r="AE172" s="332">
        <v>4620</v>
      </c>
      <c r="AF172" s="289">
        <v>3850</v>
      </c>
      <c r="AG172" s="289">
        <f t="shared" si="19"/>
        <v>0</v>
      </c>
      <c r="AH172" s="289">
        <v>4440</v>
      </c>
      <c r="AI172" s="289">
        <f t="shared" si="20"/>
        <v>0</v>
      </c>
      <c r="AJ172" s="289">
        <v>4620</v>
      </c>
      <c r="AK172" s="289">
        <f t="shared" si="21"/>
        <v>0</v>
      </c>
      <c r="AL172" s="289"/>
      <c r="AM172" s="334"/>
      <c r="AN172" s="310"/>
      <c r="AO172" s="334"/>
    </row>
    <row r="173" spans="1:46" ht="35.1" customHeight="1">
      <c r="A173" s="8"/>
      <c r="B173" s="23" t="s">
        <v>25</v>
      </c>
      <c r="C173" s="24"/>
      <c r="D173" s="103">
        <f>IF(AC173="","",(1-$W$2)*(AC173/1.2))</f>
        <v>3208.3333333333335</v>
      </c>
      <c r="E173" s="69">
        <f>IF($W$5=0.2,D173*1.2,D173)/$W$4</f>
        <v>3850</v>
      </c>
      <c r="F173" s="103">
        <f>IF(AD173="","",(1-$W$2)*(AD173/1.2))</f>
        <v>3700</v>
      </c>
      <c r="G173" s="69">
        <f>IF($W$5=0.2,F173*1.2,F173)/$W$4</f>
        <v>4440</v>
      </c>
      <c r="H173" s="103">
        <f>IF(AE173="","",(1-$W$2)*(AE173/1.2))</f>
        <v>3850</v>
      </c>
      <c r="I173" s="69">
        <f>IF($W$5=0.2,H173*1.2,H173)/$W$4</f>
        <v>4620</v>
      </c>
      <c r="J173" s="28"/>
      <c r="K173" s="59"/>
      <c r="L173" s="254"/>
      <c r="M173" s="143"/>
      <c r="N173" s="254"/>
      <c r="O173" s="278"/>
      <c r="P173" s="254"/>
      <c r="Q173" s="143"/>
      <c r="R173" s="254"/>
      <c r="S173" s="278"/>
      <c r="T173" s="28"/>
      <c r="U173" s="59"/>
      <c r="V173" s="28"/>
      <c r="W173" s="59"/>
      <c r="AC173" s="332">
        <v>3850</v>
      </c>
      <c r="AD173" s="332">
        <v>4440</v>
      </c>
      <c r="AE173" s="332">
        <v>4620</v>
      </c>
      <c r="AF173" s="289">
        <v>3850</v>
      </c>
      <c r="AG173" s="289">
        <f t="shared" si="19"/>
        <v>0</v>
      </c>
      <c r="AH173" s="289">
        <v>4440</v>
      </c>
      <c r="AI173" s="289">
        <f t="shared" si="20"/>
        <v>0</v>
      </c>
      <c r="AJ173" s="289">
        <v>4620</v>
      </c>
      <c r="AK173" s="289">
        <f t="shared" si="21"/>
        <v>0</v>
      </c>
      <c r="AL173" s="289"/>
      <c r="AM173" s="334"/>
      <c r="AN173" s="310"/>
      <c r="AO173" s="334"/>
    </row>
    <row r="174" spans="1:46">
      <c r="C174" s="245"/>
      <c r="D174" s="26"/>
      <c r="E174" s="26"/>
      <c r="F174" s="26"/>
      <c r="G174" s="26"/>
      <c r="H174" s="60"/>
      <c r="I174" s="48"/>
      <c r="J174" s="48"/>
      <c r="K174" s="143"/>
      <c r="L174" s="48"/>
      <c r="M174" s="48"/>
      <c r="N174" s="48"/>
      <c r="O174" s="143"/>
      <c r="P174" s="48"/>
      <c r="Q174" s="48"/>
      <c r="R174" s="48"/>
      <c r="S174" s="143"/>
      <c r="T174" s="48"/>
      <c r="U174" s="59"/>
      <c r="V174" s="48"/>
      <c r="W174" s="48"/>
    </row>
    <row r="175" spans="1:46">
      <c r="B175" s="212" t="str">
        <f>IF($C$1="ENG","For additonal charge:","Послуги за додаткову плату:")</f>
        <v>Послуги за додаткову плату:</v>
      </c>
      <c r="C175" s="421"/>
      <c r="D175" s="213"/>
      <c r="E175" s="214"/>
      <c r="F175" s="26"/>
      <c r="G175" s="26"/>
      <c r="H175" s="10"/>
      <c r="I175" s="8"/>
    </row>
    <row r="176" spans="1:46" ht="5.0999999999999996" customHeight="1">
      <c r="B176" s="27"/>
      <c r="C176" s="245"/>
      <c r="D176" s="26"/>
      <c r="E176" s="26"/>
      <c r="F176" s="26"/>
      <c r="G176" s="26"/>
      <c r="H176" s="10"/>
      <c r="I176" s="8"/>
    </row>
    <row r="177" spans="2:38">
      <c r="B177" s="447" t="str">
        <f>IF($C$1="ENG","Ventilation sleeves (1 row)","вентиляційні віддушини (1ряд)")</f>
        <v>вентиляційні віддушини (1ряд)</v>
      </c>
      <c r="C177" s="448"/>
      <c r="D177" s="417">
        <f t="shared" ref="D177:D191" si="22">IF(AC177="","",(1-$W$2)*(AC177/1.2))</f>
        <v>208.33333333333334</v>
      </c>
      <c r="E177" s="92">
        <f>IF($W$5=0.2,D177*1.2,D177)/$W$4</f>
        <v>250</v>
      </c>
      <c r="F177" s="26"/>
      <c r="G177" s="26"/>
      <c r="AC177" s="298">
        <v>250</v>
      </c>
      <c r="AD177" s="289">
        <v>250</v>
      </c>
      <c r="AE177" s="289">
        <f t="shared" ref="AE177:AE191" si="23">AD177/AC177-1</f>
        <v>0</v>
      </c>
      <c r="AF177" s="289"/>
      <c r="AG177" s="289"/>
      <c r="AH177" s="289"/>
      <c r="AI177" s="289"/>
      <c r="AJ177" s="289"/>
      <c r="AK177" s="289"/>
      <c r="AL177" s="289"/>
    </row>
    <row r="178" spans="2:38">
      <c r="B178" s="447" t="str">
        <f>IF($C$1="ENG","Ventilation cut","вентиляційний підріз")</f>
        <v>вентиляційний підріз</v>
      </c>
      <c r="C178" s="448"/>
      <c r="D178" s="406">
        <f t="shared" si="22"/>
        <v>141.66666666666669</v>
      </c>
      <c r="E178" s="93">
        <f>IF($W$5=0.2,D178*1.2,D178)/$W$4</f>
        <v>170.00000000000003</v>
      </c>
      <c r="F178" s="26"/>
      <c r="G178" s="26"/>
      <c r="I178" s="59"/>
      <c r="J178" s="28"/>
      <c r="AC178" s="298">
        <v>170</v>
      </c>
      <c r="AD178" s="289">
        <v>170</v>
      </c>
      <c r="AE178" s="289">
        <f t="shared" si="23"/>
        <v>0</v>
      </c>
      <c r="AF178" s="289"/>
      <c r="AG178" s="289"/>
      <c r="AH178" s="289"/>
      <c r="AI178" s="289"/>
      <c r="AJ178" s="289"/>
      <c r="AK178" s="289"/>
      <c r="AL178" s="289"/>
    </row>
    <row r="179" spans="2:38">
      <c r="B179" s="447" t="str">
        <f>IF($C$1="ENG","third door hindge","третя завіса")</f>
        <v>третя завіса</v>
      </c>
      <c r="C179" s="448"/>
      <c r="D179" s="406">
        <f t="shared" si="22"/>
        <v>66.666666666666671</v>
      </c>
      <c r="E179" s="93">
        <f>IF($W$5=0.2,D179*1.2,D179)/$W$4</f>
        <v>80</v>
      </c>
      <c r="F179" s="26"/>
      <c r="G179" s="26"/>
      <c r="AC179" s="298">
        <v>80</v>
      </c>
      <c r="AD179" s="289">
        <v>80</v>
      </c>
      <c r="AE179" s="289">
        <f t="shared" si="23"/>
        <v>0</v>
      </c>
      <c r="AF179" s="289"/>
      <c r="AG179" s="289"/>
      <c r="AH179" s="289"/>
      <c r="AI179" s="289"/>
      <c r="AJ179" s="289"/>
      <c r="AK179" s="289"/>
      <c r="AL179" s="289"/>
    </row>
    <row r="180" spans="2:38">
      <c r="B180" s="445" t="str">
        <f>IF($C$1="ENG","glazing Satin / Wave","скло Сатин / Жалюзі")</f>
        <v>скло Сатин / Жалюзі</v>
      </c>
      <c r="C180" s="446"/>
      <c r="D180" s="406">
        <f t="shared" si="22"/>
        <v>283.33333333333337</v>
      </c>
      <c r="E180" s="93">
        <f>IF($W$5=0.2,D180*1.2,D180)/$W$4</f>
        <v>340.00000000000006</v>
      </c>
      <c r="F180" s="141"/>
      <c r="G180" s="141"/>
      <c r="AC180" s="298">
        <v>340</v>
      </c>
      <c r="AD180" s="289">
        <v>340</v>
      </c>
      <c r="AE180" s="289">
        <f t="shared" si="23"/>
        <v>0</v>
      </c>
      <c r="AF180" s="289"/>
      <c r="AG180" s="289"/>
      <c r="AH180" s="289"/>
      <c r="AI180" s="289"/>
      <c r="AJ180" s="289"/>
      <c r="AK180" s="289"/>
      <c r="AL180" s="289"/>
    </row>
    <row r="181" spans="2:38">
      <c r="B181" s="445" t="str">
        <f>IF($C$1="ENG","glazing Graphite / Bronze","скло Графіт / Бронза")</f>
        <v>скло Графіт / Бронза</v>
      </c>
      <c r="C181" s="446"/>
      <c r="D181" s="406">
        <f>IF(AC181="","",(1-$W$2)*(AC181/1.2))</f>
        <v>458.33333333333337</v>
      </c>
      <c r="E181" s="93">
        <f>IF($W$5=0.2,D181*1.2,D181)/$W$4</f>
        <v>550</v>
      </c>
      <c r="F181" s="141"/>
      <c r="G181" s="141"/>
      <c r="AC181" s="298">
        <v>550</v>
      </c>
      <c r="AD181" s="289">
        <v>550</v>
      </c>
      <c r="AE181" s="289">
        <f t="shared" si="23"/>
        <v>0</v>
      </c>
      <c r="AF181" s="289"/>
      <c r="AG181" s="289"/>
      <c r="AH181" s="289"/>
      <c r="AI181" s="289"/>
      <c r="AJ181" s="289"/>
      <c r="AK181" s="289"/>
      <c r="AL181" s="289"/>
    </row>
    <row r="182" spans="2:38">
      <c r="B182" s="445" t="str">
        <f>IF($C$1="ENG","door lock Soft","замок Soft")</f>
        <v>замок Soft</v>
      </c>
      <c r="C182" s="446"/>
      <c r="D182" s="407">
        <f t="shared" si="22"/>
        <v>458.33333333333337</v>
      </c>
      <c r="E182" s="93">
        <f t="shared" ref="E182:E189" si="24">IF($W$5=0.2,D182*1.2,D182)/$W$4</f>
        <v>550</v>
      </c>
      <c r="F182" s="26"/>
      <c r="G182" s="26"/>
      <c r="H182" s="5"/>
      <c r="AC182" s="298">
        <v>550</v>
      </c>
      <c r="AD182" s="289">
        <v>550</v>
      </c>
      <c r="AE182" s="289">
        <f t="shared" si="23"/>
        <v>0</v>
      </c>
      <c r="AF182" s="289"/>
      <c r="AG182" s="289"/>
      <c r="AH182" s="289"/>
      <c r="AI182" s="289"/>
      <c r="AJ182" s="289"/>
      <c r="AK182" s="289"/>
      <c r="AL182" s="289"/>
    </row>
    <row r="183" spans="2:38">
      <c r="B183" s="445" t="str">
        <f>IF($C$1="ENG","door lock Soft black","замок Soft чорн.")</f>
        <v>замок Soft чорн.</v>
      </c>
      <c r="C183" s="446"/>
      <c r="D183" s="407">
        <f t="shared" si="22"/>
        <v>566.66666666666674</v>
      </c>
      <c r="E183" s="93">
        <f t="shared" si="24"/>
        <v>680.00000000000011</v>
      </c>
      <c r="F183" s="26"/>
      <c r="G183" s="26"/>
      <c r="H183" s="5"/>
      <c r="AC183" s="298">
        <v>680</v>
      </c>
      <c r="AD183" s="289"/>
      <c r="AE183" s="289"/>
      <c r="AF183" s="289"/>
      <c r="AG183" s="289"/>
      <c r="AH183" s="289"/>
      <c r="AI183" s="289"/>
      <c r="AJ183" s="289"/>
      <c r="AK183" s="289"/>
      <c r="AL183" s="289"/>
    </row>
    <row r="184" spans="2:38">
      <c r="B184" s="445" t="str">
        <f>IF($C$1="ENG","door lock Magnet","замок Magnet")</f>
        <v>замок Magnet</v>
      </c>
      <c r="C184" s="446"/>
      <c r="D184" s="407">
        <f>IF(AC184="","",(1-$W$2)*(AC184/1.2))</f>
        <v>666.66666666666674</v>
      </c>
      <c r="E184" s="93">
        <f t="shared" si="24"/>
        <v>800.00000000000011</v>
      </c>
      <c r="F184" s="26"/>
      <c r="G184" s="26"/>
      <c r="H184" s="5"/>
      <c r="AC184" s="298">
        <v>800</v>
      </c>
      <c r="AD184" s="289">
        <v>800</v>
      </c>
      <c r="AE184" s="289">
        <f t="shared" si="23"/>
        <v>0</v>
      </c>
      <c r="AF184" s="289"/>
      <c r="AG184" s="289"/>
      <c r="AH184" s="289"/>
      <c r="AI184" s="289"/>
      <c r="AJ184" s="289"/>
      <c r="AK184" s="289"/>
      <c r="AL184" s="289"/>
    </row>
    <row r="185" spans="2:38">
      <c r="B185" s="411"/>
      <c r="C185" s="411" t="str">
        <f>IF($C$1="ENG","door lock Magnet black","замок Magnet чорн.")</f>
        <v>замок Magnet чорн.</v>
      </c>
      <c r="D185" s="407">
        <f>IF(AC185="","",(1-$W$2)*(AC185/1.2))</f>
        <v>833.33333333333337</v>
      </c>
      <c r="E185" s="93">
        <f t="shared" si="24"/>
        <v>1000</v>
      </c>
      <c r="F185" s="26"/>
      <c r="G185" s="26"/>
      <c r="H185" s="5"/>
      <c r="AC185" s="298">
        <v>1000</v>
      </c>
      <c r="AD185" s="289"/>
      <c r="AE185" s="289"/>
      <c r="AF185" s="289"/>
      <c r="AG185" s="289"/>
      <c r="AH185" s="289"/>
      <c r="AI185" s="289"/>
      <c r="AJ185" s="289"/>
      <c r="AK185" s="289"/>
      <c r="AL185" s="289"/>
    </row>
    <row r="186" spans="2:38">
      <c r="B186" s="445" t="str">
        <f>IF($C$1="ENG","door handle-lock (for sliding doors)","ручка-замок (для дверей купе)")</f>
        <v>ручка-замок (для дверей купе)</v>
      </c>
      <c r="C186" s="446"/>
      <c r="D186" s="406">
        <f t="shared" si="22"/>
        <v>466.66666666666669</v>
      </c>
      <c r="E186" s="93">
        <f t="shared" si="24"/>
        <v>560</v>
      </c>
      <c r="F186" s="26"/>
      <c r="G186" s="26"/>
      <c r="I186" s="30"/>
      <c r="K186" s="30"/>
      <c r="AC186" s="298">
        <v>560</v>
      </c>
      <c r="AD186" s="289">
        <v>560</v>
      </c>
      <c r="AE186" s="289">
        <f t="shared" si="23"/>
        <v>0</v>
      </c>
      <c r="AF186" s="289"/>
      <c r="AG186" s="289"/>
      <c r="AH186" s="289"/>
      <c r="AI186" s="289"/>
      <c r="AJ186" s="289"/>
      <c r="AK186" s="289"/>
      <c r="AL186" s="289"/>
    </row>
    <row r="187" spans="2:38">
      <c r="B187" s="445" t="str">
        <f>IF($C$1="ENG","cylinder incert","циліндр несиметричний")</f>
        <v>циліндр несиметричний</v>
      </c>
      <c r="C187" s="446"/>
      <c r="D187" s="406">
        <f t="shared" si="22"/>
        <v>325</v>
      </c>
      <c r="E187" s="93">
        <f t="shared" si="24"/>
        <v>390</v>
      </c>
      <c r="F187" s="26"/>
      <c r="G187" s="26"/>
      <c r="AC187" s="298">
        <v>390</v>
      </c>
      <c r="AD187" s="289">
        <v>390</v>
      </c>
      <c r="AE187" s="289">
        <f t="shared" si="23"/>
        <v>0</v>
      </c>
      <c r="AF187" s="289"/>
      <c r="AG187" s="289"/>
      <c r="AH187" s="289"/>
      <c r="AI187" s="289"/>
      <c r="AJ187" s="289"/>
      <c r="AK187" s="289"/>
      <c r="AL187" s="289"/>
    </row>
    <row r="188" spans="2:38">
      <c r="B188" s="445" t="str">
        <f>IF($C$1="ENG","door hindge Prestige (1 unit)","завіса Prestige (1 шт)")</f>
        <v>завіса Prestige (1 шт)</v>
      </c>
      <c r="C188" s="446"/>
      <c r="D188" s="418">
        <f t="shared" si="22"/>
        <v>216.66666666666669</v>
      </c>
      <c r="E188" s="93">
        <f t="shared" si="24"/>
        <v>260</v>
      </c>
      <c r="F188" s="26"/>
      <c r="G188" s="26"/>
      <c r="AC188" s="298">
        <v>260</v>
      </c>
      <c r="AD188" s="289">
        <v>260</v>
      </c>
      <c r="AE188" s="289">
        <f t="shared" si="23"/>
        <v>0</v>
      </c>
      <c r="AF188" s="289"/>
      <c r="AG188" s="289"/>
      <c r="AH188" s="289"/>
      <c r="AI188" s="289"/>
      <c r="AJ188" s="289"/>
      <c r="AK188" s="289"/>
      <c r="AL188" s="289"/>
    </row>
    <row r="189" spans="2:38">
      <c r="B189" s="445" t="str">
        <f>IF($C$1="ENG","door hinge caps (1 set)","накладка на завіси (1 к-т)")</f>
        <v>накладка на завіси (1 к-т)</v>
      </c>
      <c r="C189" s="446"/>
      <c r="D189" s="418">
        <f t="shared" si="22"/>
        <v>66.666666666666671</v>
      </c>
      <c r="E189" s="93">
        <f t="shared" si="24"/>
        <v>80</v>
      </c>
      <c r="F189" s="26"/>
      <c r="G189" s="26"/>
      <c r="AC189" s="298">
        <v>80</v>
      </c>
      <c r="AD189" s="289">
        <v>80</v>
      </c>
      <c r="AE189" s="289">
        <f t="shared" si="23"/>
        <v>0</v>
      </c>
      <c r="AF189" s="289"/>
      <c r="AG189" s="289"/>
      <c r="AH189" s="289"/>
      <c r="AI189" s="289"/>
      <c r="AJ189" s="289"/>
      <c r="AK189" s="289"/>
      <c r="AL189" s="289"/>
    </row>
    <row r="190" spans="2:38">
      <c r="B190" s="445" t="str">
        <f>IF($C$1="ENG","door handle","дверна ручка")</f>
        <v>дверна ручка</v>
      </c>
      <c r="C190" s="446"/>
      <c r="D190" s="406">
        <f t="shared" si="22"/>
        <v>0</v>
      </c>
      <c r="E190" s="296" t="str">
        <f>IF($C$1="ENG","see Handles Price","див. Таблицю Ручки")</f>
        <v>див. Таблицю Ручки</v>
      </c>
      <c r="F190" s="26"/>
      <c r="G190" s="26"/>
      <c r="AC190" s="298">
        <v>0</v>
      </c>
      <c r="AD190" s="289">
        <f t="shared" ref="AD190" si="25">AC190/100*13+AC190</f>
        <v>0</v>
      </c>
      <c r="AE190" s="289" t="e">
        <f t="shared" si="23"/>
        <v>#DIV/0!</v>
      </c>
      <c r="AF190" s="289"/>
      <c r="AG190" s="289"/>
      <c r="AH190" s="289"/>
      <c r="AI190" s="289"/>
      <c r="AJ190" s="289"/>
      <c r="AK190" s="289"/>
      <c r="AL190" s="289"/>
    </row>
    <row r="191" spans="2:38">
      <c r="B191" s="445" t="str">
        <f>IF($C$1="ENG","perforated chipboard","ДСП трубчасте")</f>
        <v>ДСП трубчасте</v>
      </c>
      <c r="C191" s="446"/>
      <c r="D191" s="419">
        <f t="shared" si="22"/>
        <v>1083.3333333333335</v>
      </c>
      <c r="E191" s="94">
        <f>IF($W$5=0.2,D191*1.2,D191)/$W$4</f>
        <v>1300.0000000000002</v>
      </c>
      <c r="F191" s="26"/>
      <c r="G191" s="26"/>
      <c r="AC191" s="298">
        <v>1300</v>
      </c>
      <c r="AD191" s="289">
        <v>1300</v>
      </c>
      <c r="AE191" s="289">
        <f t="shared" si="23"/>
        <v>0</v>
      </c>
      <c r="AF191" s="289"/>
      <c r="AG191" s="289"/>
      <c r="AH191" s="289"/>
      <c r="AI191" s="289"/>
      <c r="AJ191" s="289"/>
      <c r="AK191" s="289"/>
      <c r="AL191" s="289"/>
    </row>
    <row r="192" spans="2:38" ht="14.25" customHeight="1">
      <c r="C192" s="245"/>
      <c r="D192" s="26"/>
      <c r="E192" s="26"/>
      <c r="F192" s="26"/>
      <c r="G192" s="26"/>
      <c r="H192" s="5"/>
      <c r="S192" s="390"/>
      <c r="T192" s="465" t="str">
        <f>IF($C$1="ENG",CONCATENATE("down to: ",B291),CONCATENATE("вниз до: ",B291))</f>
        <v>вниз до: Полотна каркасно-щитові: ІДЕЯ</v>
      </c>
      <c r="U192" s="465"/>
      <c r="V192" s="465"/>
      <c r="W192" s="465"/>
    </row>
    <row r="193" spans="3:23" ht="14.25" customHeight="1">
      <c r="C193" s="245"/>
      <c r="D193" s="26"/>
      <c r="E193" s="26"/>
      <c r="F193" s="26"/>
      <c r="G193" s="26"/>
      <c r="H193" s="5"/>
      <c r="L193" s="104"/>
      <c r="N193" s="104"/>
      <c r="O193" s="20"/>
      <c r="P193" s="104"/>
      <c r="R193" s="104"/>
      <c r="S193" s="20"/>
    </row>
    <row r="194" spans="3:23" ht="14.25" customHeight="1">
      <c r="C194" s="245"/>
      <c r="D194" s="26"/>
      <c r="E194" s="26"/>
      <c r="F194" s="26"/>
      <c r="G194" s="26"/>
      <c r="H194" s="5"/>
      <c r="L194" s="104"/>
      <c r="N194" s="104"/>
      <c r="O194" s="20"/>
      <c r="P194" s="104"/>
      <c r="R194" s="104"/>
      <c r="S194" s="20"/>
      <c r="T194" s="104"/>
      <c r="V194" s="104"/>
      <c r="W194" s="20"/>
    </row>
    <row r="195" spans="3:23" ht="14.25" customHeight="1">
      <c r="C195" s="245"/>
      <c r="D195" s="26"/>
      <c r="E195" s="26"/>
      <c r="F195" s="26"/>
      <c r="G195" s="26"/>
      <c r="H195" s="5"/>
      <c r="L195" s="104"/>
      <c r="N195" s="104"/>
      <c r="O195" s="20"/>
      <c r="P195" s="104"/>
      <c r="R195" s="104"/>
      <c r="S195" s="20"/>
      <c r="T195" s="104"/>
      <c r="V195" s="104"/>
      <c r="W195" s="20"/>
    </row>
    <row r="196" spans="3:23" ht="14.25" customHeight="1">
      <c r="C196" s="245"/>
      <c r="D196" s="26"/>
      <c r="E196" s="26"/>
      <c r="F196" s="26"/>
      <c r="G196" s="26"/>
      <c r="H196" s="5"/>
      <c r="L196" s="104"/>
      <c r="N196" s="104"/>
      <c r="O196" s="20"/>
      <c r="P196" s="104"/>
      <c r="R196" s="104"/>
      <c r="S196" s="20"/>
      <c r="T196" s="104"/>
      <c r="V196" s="104"/>
      <c r="W196" s="20"/>
    </row>
    <row r="197" spans="3:23" ht="14.25" customHeight="1">
      <c r="C197" s="245"/>
      <c r="D197" s="26"/>
      <c r="E197" s="26"/>
      <c r="F197" s="26"/>
      <c r="G197" s="26"/>
      <c r="H197" s="5"/>
      <c r="L197" s="104"/>
      <c r="N197" s="104"/>
      <c r="O197" s="20"/>
      <c r="P197" s="104"/>
      <c r="R197" s="104"/>
      <c r="S197" s="20"/>
      <c r="T197" s="104"/>
      <c r="V197" s="104"/>
      <c r="W197" s="20"/>
    </row>
    <row r="198" spans="3:23" ht="14.25" customHeight="1">
      <c r="C198" s="245"/>
      <c r="D198" s="26"/>
      <c r="E198" s="26"/>
      <c r="F198" s="26"/>
      <c r="G198" s="26"/>
      <c r="H198" s="5"/>
      <c r="L198" s="104"/>
      <c r="N198" s="104"/>
      <c r="O198" s="20"/>
      <c r="P198" s="104"/>
      <c r="R198" s="104"/>
      <c r="S198" s="20"/>
      <c r="T198" s="104"/>
      <c r="V198" s="104"/>
      <c r="W198" s="20"/>
    </row>
    <row r="199" spans="3:23" ht="14.25" customHeight="1">
      <c r="C199" s="245"/>
      <c r="D199" s="26"/>
      <c r="E199" s="26"/>
      <c r="F199" s="26"/>
      <c r="G199" s="26"/>
      <c r="H199" s="5"/>
      <c r="L199" s="104"/>
      <c r="N199" s="104"/>
      <c r="O199" s="20"/>
      <c r="P199" s="104"/>
      <c r="R199" s="104"/>
      <c r="S199" s="20"/>
      <c r="T199" s="104"/>
      <c r="V199" s="104"/>
      <c r="W199" s="20"/>
    </row>
    <row r="200" spans="3:23" ht="14.25" customHeight="1">
      <c r="C200" s="245"/>
      <c r="D200" s="26"/>
      <c r="E200" s="26"/>
      <c r="F200" s="26"/>
      <c r="G200" s="26"/>
      <c r="H200" s="5"/>
      <c r="L200" s="104"/>
      <c r="N200" s="104"/>
      <c r="O200" s="20"/>
      <c r="P200" s="104"/>
      <c r="R200" s="104"/>
      <c r="S200" s="20"/>
      <c r="T200" s="104"/>
      <c r="V200" s="104"/>
      <c r="W200" s="20"/>
    </row>
    <row r="201" spans="3:23" ht="14.25" customHeight="1">
      <c r="C201" s="245"/>
      <c r="D201" s="26"/>
      <c r="E201" s="26"/>
      <c r="F201" s="26"/>
      <c r="G201" s="26"/>
      <c r="H201" s="5"/>
    </row>
    <row r="202" spans="3:23" ht="14.25" customHeight="1">
      <c r="C202" s="245"/>
      <c r="D202" s="26"/>
      <c r="E202" s="26"/>
      <c r="F202" s="26"/>
      <c r="G202" s="26"/>
      <c r="H202" s="5"/>
    </row>
    <row r="203" spans="3:23" ht="14.25" customHeight="1">
      <c r="C203" s="245"/>
      <c r="D203" s="26"/>
      <c r="E203" s="26"/>
      <c r="F203" s="26"/>
      <c r="G203" s="26"/>
      <c r="H203" s="5"/>
    </row>
    <row r="204" spans="3:23" ht="14.25" customHeight="1">
      <c r="C204" s="245"/>
      <c r="D204" s="26"/>
      <c r="E204" s="26"/>
      <c r="F204" s="26"/>
      <c r="G204" s="26"/>
      <c r="H204" s="5"/>
    </row>
    <row r="205" spans="3:23" ht="14.25" customHeight="1">
      <c r="C205" s="245"/>
      <c r="D205" s="26"/>
      <c r="E205" s="26"/>
      <c r="F205" s="26"/>
      <c r="G205" s="26"/>
      <c r="H205" s="5"/>
    </row>
    <row r="206" spans="3:23" ht="14.25" customHeight="1">
      <c r="C206" s="245"/>
      <c r="D206" s="26"/>
      <c r="E206" s="26"/>
      <c r="F206" s="26"/>
      <c r="G206" s="26"/>
      <c r="H206" s="5"/>
    </row>
    <row r="207" spans="3:23" ht="14.25" customHeight="1">
      <c r="C207" s="245"/>
      <c r="D207" s="26"/>
      <c r="E207" s="26"/>
      <c r="F207" s="26"/>
      <c r="G207" s="26"/>
      <c r="H207" s="5"/>
    </row>
    <row r="208" spans="3:23" ht="14.25" customHeight="1">
      <c r="C208" s="245"/>
      <c r="D208" s="26"/>
      <c r="E208" s="26"/>
      <c r="F208" s="26"/>
      <c r="G208" s="26"/>
      <c r="H208" s="5"/>
    </row>
    <row r="209" spans="3:8" ht="14.25" customHeight="1">
      <c r="C209" s="245"/>
      <c r="D209" s="26"/>
      <c r="E209" s="26"/>
      <c r="F209" s="26"/>
      <c r="G209" s="26"/>
      <c r="H209" s="5"/>
    </row>
    <row r="210" spans="3:8" ht="14.25" customHeight="1">
      <c r="C210" s="245"/>
      <c r="D210" s="26"/>
      <c r="E210" s="26"/>
      <c r="F210" s="26"/>
      <c r="G210" s="26"/>
      <c r="H210" s="5"/>
    </row>
    <row r="211" spans="3:8" ht="14.25" customHeight="1">
      <c r="C211" s="245"/>
      <c r="D211" s="26"/>
      <c r="E211" s="26"/>
      <c r="F211" s="26"/>
      <c r="G211" s="26"/>
      <c r="H211" s="5"/>
    </row>
    <row r="212" spans="3:8" ht="14.25" customHeight="1">
      <c r="C212" s="245"/>
      <c r="D212" s="26"/>
      <c r="E212" s="26"/>
      <c r="F212" s="26"/>
      <c r="G212" s="26"/>
      <c r="H212" s="5"/>
    </row>
    <row r="213" spans="3:8" ht="14.25" customHeight="1">
      <c r="C213" s="245"/>
      <c r="D213" s="26"/>
      <c r="E213" s="26"/>
      <c r="F213" s="26"/>
      <c r="G213" s="26"/>
      <c r="H213" s="5"/>
    </row>
    <row r="214" spans="3:8" ht="14.25" customHeight="1">
      <c r="C214" s="245"/>
      <c r="D214" s="26"/>
      <c r="E214" s="26"/>
      <c r="F214" s="26"/>
      <c r="G214" s="26"/>
      <c r="H214" s="5"/>
    </row>
    <row r="215" spans="3:8" ht="14.25" customHeight="1">
      <c r="C215" s="245"/>
      <c r="D215" s="26"/>
      <c r="E215" s="26"/>
      <c r="F215" s="26"/>
      <c r="G215" s="26"/>
      <c r="H215" s="5"/>
    </row>
    <row r="216" spans="3:8" ht="14.25" customHeight="1">
      <c r="C216" s="245"/>
      <c r="D216" s="26"/>
      <c r="E216" s="26"/>
      <c r="F216" s="26"/>
      <c r="G216" s="26"/>
      <c r="H216" s="5"/>
    </row>
    <row r="217" spans="3:8" ht="14.25" customHeight="1">
      <c r="C217" s="245"/>
      <c r="D217" s="26"/>
      <c r="E217" s="26"/>
      <c r="F217" s="26"/>
      <c r="G217" s="26"/>
      <c r="H217" s="5"/>
    </row>
    <row r="218" spans="3:8" ht="14.25" customHeight="1">
      <c r="C218" s="245"/>
      <c r="D218" s="26"/>
      <c r="E218" s="26"/>
      <c r="F218" s="26"/>
      <c r="G218" s="26"/>
      <c r="H218" s="5"/>
    </row>
    <row r="219" spans="3:8" ht="14.25" customHeight="1">
      <c r="C219" s="245"/>
      <c r="D219" s="26"/>
      <c r="E219" s="26"/>
      <c r="F219" s="26"/>
      <c r="G219" s="26"/>
      <c r="H219" s="5"/>
    </row>
    <row r="220" spans="3:8" ht="14.25" customHeight="1">
      <c r="C220" s="245"/>
      <c r="D220" s="26"/>
      <c r="E220" s="26"/>
      <c r="F220" s="26"/>
      <c r="G220" s="26"/>
      <c r="H220" s="5"/>
    </row>
    <row r="221" spans="3:8" ht="14.25" customHeight="1">
      <c r="C221" s="245"/>
      <c r="D221" s="26"/>
      <c r="E221" s="26"/>
      <c r="F221" s="26"/>
      <c r="G221" s="26"/>
      <c r="H221" s="5"/>
    </row>
    <row r="222" spans="3:8" ht="14.25" customHeight="1">
      <c r="C222" s="245"/>
      <c r="D222" s="26"/>
      <c r="E222" s="26"/>
      <c r="F222" s="26"/>
      <c r="G222" s="26"/>
      <c r="H222" s="5"/>
    </row>
    <row r="223" spans="3:8" ht="14.25" customHeight="1">
      <c r="C223" s="245"/>
      <c r="D223" s="26"/>
      <c r="E223" s="26"/>
      <c r="F223" s="26"/>
      <c r="G223" s="26"/>
      <c r="H223" s="5"/>
    </row>
    <row r="224" spans="3:8" ht="14.25" customHeight="1">
      <c r="C224" s="245"/>
      <c r="D224" s="26"/>
      <c r="E224" s="26"/>
      <c r="F224" s="26"/>
      <c r="G224" s="26"/>
      <c r="H224" s="5"/>
    </row>
    <row r="225" spans="3:8" ht="14.25" customHeight="1">
      <c r="C225" s="245"/>
      <c r="D225" s="26"/>
      <c r="E225" s="26"/>
      <c r="F225" s="26"/>
      <c r="G225" s="26"/>
      <c r="H225" s="5"/>
    </row>
    <row r="226" spans="3:8" ht="14.25" customHeight="1">
      <c r="C226" s="245"/>
      <c r="D226" s="26"/>
      <c r="E226" s="26"/>
      <c r="F226" s="26"/>
      <c r="G226" s="26"/>
      <c r="H226" s="5"/>
    </row>
    <row r="227" spans="3:8" ht="14.25" customHeight="1">
      <c r="C227" s="245"/>
      <c r="D227" s="26"/>
      <c r="E227" s="26"/>
      <c r="F227" s="26"/>
      <c r="G227" s="26"/>
      <c r="H227" s="5"/>
    </row>
    <row r="228" spans="3:8" ht="14.25" customHeight="1">
      <c r="C228" s="245"/>
      <c r="D228" s="26"/>
      <c r="E228" s="26"/>
      <c r="F228" s="26"/>
      <c r="G228" s="26"/>
      <c r="H228" s="5"/>
    </row>
    <row r="229" spans="3:8" ht="14.25" customHeight="1">
      <c r="C229" s="245"/>
      <c r="D229" s="26"/>
      <c r="E229" s="26"/>
      <c r="F229" s="26"/>
      <c r="G229" s="26"/>
      <c r="H229" s="5"/>
    </row>
    <row r="230" spans="3:8" ht="14.25" customHeight="1">
      <c r="C230" s="245"/>
      <c r="D230" s="26"/>
      <c r="E230" s="26"/>
      <c r="F230" s="26"/>
      <c r="G230" s="26"/>
      <c r="H230" s="5"/>
    </row>
    <row r="231" spans="3:8" ht="14.25" customHeight="1">
      <c r="C231" s="245"/>
      <c r="D231" s="26"/>
      <c r="E231" s="26"/>
      <c r="F231" s="26"/>
      <c r="G231" s="26"/>
      <c r="H231" s="5"/>
    </row>
    <row r="232" spans="3:8" ht="14.25" customHeight="1">
      <c r="C232" s="245"/>
      <c r="D232" s="26"/>
      <c r="E232" s="26"/>
      <c r="F232" s="26"/>
      <c r="G232" s="26"/>
      <c r="H232" s="5"/>
    </row>
    <row r="233" spans="3:8" ht="14.25" customHeight="1">
      <c r="C233" s="245"/>
      <c r="D233" s="26"/>
      <c r="E233" s="26"/>
      <c r="F233" s="26"/>
      <c r="G233" s="26"/>
      <c r="H233" s="5"/>
    </row>
    <row r="234" spans="3:8" ht="14.25" customHeight="1">
      <c r="C234" s="245"/>
      <c r="D234" s="26"/>
      <c r="E234" s="26"/>
      <c r="F234" s="26"/>
      <c r="G234" s="26"/>
      <c r="H234" s="5"/>
    </row>
    <row r="235" spans="3:8" ht="14.25" customHeight="1">
      <c r="C235" s="245"/>
      <c r="D235" s="26"/>
      <c r="E235" s="26"/>
      <c r="F235" s="26"/>
      <c r="G235" s="26"/>
      <c r="H235" s="5"/>
    </row>
    <row r="236" spans="3:8" ht="14.25" customHeight="1">
      <c r="C236" s="245"/>
      <c r="D236" s="26"/>
      <c r="E236" s="26"/>
      <c r="F236" s="26"/>
      <c r="G236" s="26"/>
      <c r="H236" s="5"/>
    </row>
    <row r="237" spans="3:8" ht="14.25" customHeight="1">
      <c r="C237" s="245"/>
      <c r="D237" s="26"/>
      <c r="E237" s="26"/>
      <c r="F237" s="26"/>
      <c r="G237" s="26"/>
      <c r="H237" s="5"/>
    </row>
    <row r="238" spans="3:8" ht="14.25" customHeight="1">
      <c r="C238" s="245"/>
      <c r="D238" s="26"/>
      <c r="E238" s="26"/>
      <c r="F238" s="26"/>
      <c r="G238" s="26"/>
      <c r="H238" s="5"/>
    </row>
    <row r="239" spans="3:8" ht="14.25" customHeight="1">
      <c r="C239" s="245"/>
      <c r="D239" s="26"/>
      <c r="E239" s="26"/>
      <c r="F239" s="26"/>
      <c r="G239" s="26"/>
      <c r="H239" s="5"/>
    </row>
    <row r="240" spans="3:8" ht="14.25" customHeight="1">
      <c r="C240" s="245"/>
      <c r="D240" s="26"/>
      <c r="E240" s="26"/>
      <c r="F240" s="26"/>
      <c r="G240" s="26"/>
      <c r="H240" s="5"/>
    </row>
    <row r="241" spans="2:19" ht="14.25" customHeight="1">
      <c r="B241" s="32"/>
      <c r="C241" s="422"/>
      <c r="D241" s="36"/>
      <c r="E241" s="36"/>
      <c r="F241" s="36"/>
      <c r="G241" s="36"/>
      <c r="H241" s="37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</row>
    <row r="242" spans="2:19" ht="14.25" customHeight="1">
      <c r="C242" s="245"/>
      <c r="D242" s="26"/>
      <c r="E242" s="26"/>
      <c r="F242" s="26"/>
      <c r="G242" s="26"/>
      <c r="H242" s="5"/>
    </row>
    <row r="243" spans="2:19" ht="14.25" customHeight="1">
      <c r="C243" s="245"/>
      <c r="D243" s="26"/>
      <c r="E243" s="26"/>
      <c r="F243" s="26"/>
      <c r="G243" s="26"/>
      <c r="H243" s="5"/>
    </row>
    <row r="244" spans="2:19" ht="14.25" customHeight="1">
      <c r="C244" s="245"/>
      <c r="D244" s="26"/>
      <c r="E244" s="26"/>
      <c r="F244" s="26"/>
      <c r="G244" s="26"/>
      <c r="H244" s="5"/>
    </row>
    <row r="245" spans="2:19" ht="14.25" customHeight="1">
      <c r="C245" s="245"/>
      <c r="D245" s="26"/>
      <c r="E245" s="26"/>
      <c r="F245" s="26"/>
      <c r="G245" s="26"/>
      <c r="H245" s="5"/>
    </row>
    <row r="246" spans="2:19" ht="14.25" customHeight="1">
      <c r="C246" s="245"/>
      <c r="D246" s="26"/>
      <c r="E246" s="26"/>
      <c r="F246" s="26"/>
      <c r="G246" s="26"/>
      <c r="H246" s="5"/>
    </row>
    <row r="247" spans="2:19" ht="14.25" customHeight="1">
      <c r="C247" s="245"/>
      <c r="D247" s="26"/>
      <c r="E247" s="26"/>
      <c r="F247" s="26"/>
      <c r="G247" s="26"/>
      <c r="H247" s="5"/>
    </row>
    <row r="248" spans="2:19" ht="14.25" customHeight="1">
      <c r="C248" s="245"/>
      <c r="D248" s="26"/>
      <c r="E248" s="26"/>
      <c r="F248" s="26"/>
      <c r="G248" s="26"/>
      <c r="H248" s="5"/>
    </row>
    <row r="249" spans="2:19" ht="14.25" customHeight="1">
      <c r="C249" s="245"/>
      <c r="D249" s="26"/>
      <c r="E249" s="26"/>
      <c r="F249" s="26"/>
      <c r="G249" s="26"/>
      <c r="H249" s="5"/>
    </row>
    <row r="250" spans="2:19" ht="14.25" customHeight="1">
      <c r="C250" s="245"/>
      <c r="D250" s="26"/>
      <c r="E250" s="26"/>
      <c r="F250" s="26"/>
      <c r="G250" s="26"/>
      <c r="H250" s="5"/>
    </row>
    <row r="251" spans="2:19" ht="14.25" customHeight="1">
      <c r="C251" s="245"/>
      <c r="D251" s="26"/>
      <c r="E251" s="26"/>
      <c r="F251" s="26"/>
      <c r="G251" s="26"/>
      <c r="H251" s="5"/>
    </row>
    <row r="252" spans="2:19" ht="14.25" customHeight="1">
      <c r="C252" s="245"/>
      <c r="D252" s="26"/>
      <c r="E252" s="26"/>
      <c r="F252" s="26"/>
      <c r="G252" s="26"/>
      <c r="H252" s="5"/>
    </row>
    <row r="253" spans="2:19" ht="14.25" customHeight="1">
      <c r="C253" s="245"/>
      <c r="D253" s="26"/>
      <c r="E253" s="26"/>
      <c r="F253" s="26"/>
      <c r="G253" s="26"/>
      <c r="H253" s="5"/>
    </row>
    <row r="254" spans="2:19" ht="14.25" customHeight="1">
      <c r="C254" s="245"/>
      <c r="D254" s="26"/>
      <c r="E254" s="26"/>
      <c r="F254" s="26"/>
      <c r="G254" s="26"/>
      <c r="H254" s="5"/>
    </row>
    <row r="255" spans="2:19" ht="14.25" customHeight="1">
      <c r="C255" s="245"/>
      <c r="D255" s="26"/>
      <c r="E255" s="26"/>
      <c r="F255" s="26"/>
      <c r="G255" s="26"/>
      <c r="H255" s="5"/>
    </row>
    <row r="256" spans="2:19" ht="14.25" customHeight="1">
      <c r="C256" s="245"/>
      <c r="D256" s="26"/>
      <c r="E256" s="26"/>
      <c r="F256" s="26"/>
      <c r="G256" s="26"/>
      <c r="H256" s="5"/>
    </row>
    <row r="257" spans="3:8" ht="14.25" customHeight="1">
      <c r="C257" s="245"/>
      <c r="D257" s="26"/>
      <c r="E257" s="26"/>
      <c r="F257" s="26"/>
      <c r="G257" s="26"/>
      <c r="H257" s="5"/>
    </row>
    <row r="258" spans="3:8" ht="14.25" customHeight="1">
      <c r="C258" s="245"/>
      <c r="D258" s="26"/>
      <c r="E258" s="26"/>
      <c r="F258" s="26"/>
      <c r="G258" s="26"/>
      <c r="H258" s="5"/>
    </row>
    <row r="259" spans="3:8" ht="14.25" customHeight="1">
      <c r="C259" s="245"/>
      <c r="D259" s="26"/>
      <c r="E259" s="26"/>
      <c r="F259" s="26"/>
      <c r="G259" s="26"/>
      <c r="H259" s="5"/>
    </row>
    <row r="260" spans="3:8" ht="14.25" customHeight="1">
      <c r="C260" s="245"/>
      <c r="D260" s="26"/>
      <c r="E260" s="26"/>
      <c r="F260" s="26"/>
      <c r="G260" s="26"/>
      <c r="H260" s="5"/>
    </row>
    <row r="261" spans="3:8" ht="14.25" customHeight="1">
      <c r="C261" s="245"/>
      <c r="D261" s="26"/>
      <c r="E261" s="26"/>
      <c r="F261" s="26"/>
      <c r="G261" s="26"/>
      <c r="H261" s="5"/>
    </row>
    <row r="262" spans="3:8" ht="14.25" customHeight="1">
      <c r="C262" s="245"/>
      <c r="D262" s="26"/>
      <c r="E262" s="26"/>
      <c r="F262" s="26"/>
      <c r="G262" s="26"/>
      <c r="H262" s="5"/>
    </row>
    <row r="263" spans="3:8" ht="14.25" customHeight="1">
      <c r="C263" s="245"/>
      <c r="D263" s="26"/>
      <c r="E263" s="26"/>
      <c r="F263" s="26"/>
      <c r="G263" s="26"/>
      <c r="H263" s="5"/>
    </row>
    <row r="264" spans="3:8" ht="14.25" customHeight="1">
      <c r="C264" s="245"/>
      <c r="D264" s="26"/>
      <c r="E264" s="26"/>
      <c r="F264" s="26"/>
      <c r="G264" s="26"/>
      <c r="H264" s="5"/>
    </row>
    <row r="265" spans="3:8" ht="14.25" customHeight="1">
      <c r="C265" s="245"/>
      <c r="D265" s="26"/>
      <c r="E265" s="26"/>
      <c r="F265" s="26"/>
      <c r="G265" s="26"/>
      <c r="H265" s="5"/>
    </row>
    <row r="266" spans="3:8" ht="14.25" customHeight="1">
      <c r="C266" s="245"/>
      <c r="D266" s="26"/>
      <c r="E266" s="26"/>
      <c r="F266" s="26"/>
      <c r="G266" s="26"/>
      <c r="H266" s="5"/>
    </row>
    <row r="267" spans="3:8" ht="14.25" customHeight="1">
      <c r="C267" s="245"/>
      <c r="D267" s="26"/>
      <c r="E267" s="26"/>
      <c r="F267" s="26"/>
      <c r="G267" s="26"/>
      <c r="H267" s="5"/>
    </row>
    <row r="268" spans="3:8" ht="14.25" customHeight="1">
      <c r="C268" s="245"/>
      <c r="D268" s="26"/>
      <c r="E268" s="26"/>
      <c r="F268" s="26"/>
      <c r="G268" s="26"/>
      <c r="H268" s="5"/>
    </row>
    <row r="269" spans="3:8" ht="14.25" customHeight="1">
      <c r="C269" s="245"/>
      <c r="D269" s="26"/>
      <c r="E269" s="26"/>
      <c r="F269" s="26"/>
      <c r="G269" s="26"/>
      <c r="H269" s="5"/>
    </row>
    <row r="270" spans="3:8" ht="14.25" customHeight="1">
      <c r="C270" s="245"/>
      <c r="D270" s="26"/>
      <c r="E270" s="26"/>
      <c r="F270" s="26"/>
      <c r="G270" s="26"/>
      <c r="H270" s="5"/>
    </row>
    <row r="271" spans="3:8" ht="14.25" customHeight="1">
      <c r="C271" s="245"/>
      <c r="D271" s="26"/>
      <c r="E271" s="26"/>
      <c r="F271" s="26"/>
      <c r="G271" s="26"/>
      <c r="H271" s="5"/>
    </row>
    <row r="272" spans="3:8" ht="14.25" customHeight="1">
      <c r="C272" s="245"/>
      <c r="D272" s="26"/>
      <c r="E272" s="26"/>
      <c r="F272" s="26"/>
      <c r="G272" s="26"/>
      <c r="H272" s="5"/>
    </row>
    <row r="273" spans="3:8" ht="14.25" customHeight="1">
      <c r="C273" s="245"/>
      <c r="D273" s="26"/>
      <c r="E273" s="26"/>
      <c r="F273" s="26"/>
      <c r="G273" s="26"/>
      <c r="H273" s="5"/>
    </row>
    <row r="274" spans="3:8" ht="14.25" customHeight="1">
      <c r="C274" s="245"/>
      <c r="D274" s="26"/>
      <c r="E274" s="26"/>
      <c r="F274" s="26"/>
      <c r="G274" s="26"/>
      <c r="H274" s="5"/>
    </row>
    <row r="275" spans="3:8" ht="14.25" customHeight="1">
      <c r="C275" s="245"/>
      <c r="D275" s="26"/>
      <c r="E275" s="26"/>
      <c r="F275" s="26"/>
      <c r="G275" s="26"/>
      <c r="H275" s="5"/>
    </row>
    <row r="276" spans="3:8" ht="14.25" customHeight="1">
      <c r="C276" s="245"/>
      <c r="D276" s="26"/>
      <c r="E276" s="26"/>
      <c r="F276" s="26"/>
      <c r="G276" s="26"/>
      <c r="H276" s="5"/>
    </row>
    <row r="277" spans="3:8" ht="14.25" customHeight="1">
      <c r="C277" s="245"/>
      <c r="D277" s="26"/>
      <c r="E277" s="26"/>
      <c r="F277" s="26"/>
      <c r="G277" s="26"/>
      <c r="H277" s="5"/>
    </row>
    <row r="278" spans="3:8" ht="14.25" customHeight="1">
      <c r="C278" s="245"/>
      <c r="D278" s="26"/>
      <c r="E278" s="26"/>
      <c r="F278" s="26"/>
      <c r="G278" s="26"/>
      <c r="H278" s="5"/>
    </row>
    <row r="279" spans="3:8" ht="14.25" customHeight="1">
      <c r="C279" s="245"/>
      <c r="D279" s="26"/>
      <c r="E279" s="26"/>
      <c r="F279" s="26"/>
      <c r="G279" s="26"/>
      <c r="H279" s="5"/>
    </row>
    <row r="280" spans="3:8" ht="14.25" customHeight="1">
      <c r="C280" s="245"/>
      <c r="D280" s="26"/>
      <c r="E280" s="26"/>
      <c r="F280" s="26"/>
      <c r="G280" s="26"/>
      <c r="H280" s="5"/>
    </row>
    <row r="281" spans="3:8" ht="14.25" customHeight="1">
      <c r="C281" s="245"/>
      <c r="D281" s="26"/>
      <c r="E281" s="26"/>
      <c r="F281" s="26"/>
      <c r="G281" s="26"/>
      <c r="H281" s="5"/>
    </row>
    <row r="282" spans="3:8" ht="14.25" customHeight="1">
      <c r="C282" s="245"/>
      <c r="D282" s="26"/>
      <c r="E282" s="26"/>
      <c r="F282" s="26"/>
      <c r="G282" s="26"/>
      <c r="H282" s="5"/>
    </row>
    <row r="283" spans="3:8" ht="13.5" customHeight="1">
      <c r="C283" s="245"/>
      <c r="D283" s="26"/>
      <c r="E283" s="26"/>
      <c r="F283" s="26"/>
      <c r="G283" s="26"/>
      <c r="H283" s="5"/>
    </row>
    <row r="284" spans="3:8" ht="14.25" customHeight="1">
      <c r="C284" s="245"/>
      <c r="D284" s="26"/>
      <c r="E284" s="26"/>
      <c r="F284" s="26"/>
      <c r="G284" s="26"/>
      <c r="H284" s="5"/>
    </row>
    <row r="285" spans="3:8" ht="14.25" customHeight="1">
      <c r="C285" s="245"/>
      <c r="D285" s="26"/>
      <c r="E285" s="26"/>
      <c r="F285" s="26"/>
      <c r="G285" s="26"/>
      <c r="H285" s="5"/>
    </row>
    <row r="286" spans="3:8" ht="14.25" customHeight="1">
      <c r="C286" s="245"/>
      <c r="D286" s="26"/>
      <c r="E286" s="26"/>
      <c r="F286" s="26"/>
      <c r="G286" s="26"/>
      <c r="H286" s="5"/>
    </row>
    <row r="287" spans="3:8" ht="14.25" customHeight="1">
      <c r="C287" s="245"/>
      <c r="D287" s="26"/>
      <c r="E287" s="26"/>
      <c r="F287" s="26"/>
      <c r="G287" s="26"/>
      <c r="H287" s="5"/>
    </row>
    <row r="288" spans="3:8" ht="14.25" customHeight="1">
      <c r="C288" s="245"/>
      <c r="D288" s="26"/>
      <c r="E288" s="26"/>
      <c r="F288" s="26"/>
      <c r="G288" s="26"/>
      <c r="H288" s="5"/>
    </row>
    <row r="289" spans="1:46" ht="14.25" customHeight="1">
      <c r="C289" s="245"/>
      <c r="D289" s="26"/>
      <c r="E289" s="26"/>
      <c r="F289" s="26"/>
      <c r="G289" s="26"/>
      <c r="H289" s="5"/>
    </row>
    <row r="290" spans="1:46" ht="14.25" customHeight="1">
      <c r="C290" s="245"/>
      <c r="D290" s="26"/>
      <c r="E290" s="26"/>
      <c r="F290" s="26"/>
      <c r="G290" s="26"/>
      <c r="H290" s="5"/>
    </row>
    <row r="291" spans="1:46" s="8" customFormat="1">
      <c r="B291" s="451" t="str">
        <f>TITLE!$C$11</f>
        <v>Полотна каркасно-щитові: ІДЕЯ</v>
      </c>
      <c r="C291" s="451"/>
      <c r="D291" s="118"/>
      <c r="E291" s="118"/>
      <c r="F291" s="118"/>
      <c r="G291" s="118"/>
      <c r="H291" s="118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462" t="str">
        <f>IF($C$1="ENG",CONCATENATE("up to: "),CONCATENATE("вгору до: ",B164))</f>
        <v>вгору до: Полотна каркасно-щитові: ГЕОМЕТРІЯ</v>
      </c>
      <c r="T291" s="457"/>
      <c r="U291" s="457"/>
      <c r="V291" s="457"/>
      <c r="W291" s="457"/>
      <c r="AN291" s="280"/>
      <c r="AO291" s="280"/>
      <c r="AP291" s="280"/>
      <c r="AQ291" s="280"/>
      <c r="AR291" s="280"/>
      <c r="AS291" s="280"/>
      <c r="AT291" s="280"/>
    </row>
    <row r="292" spans="1:46" s="8" customFormat="1" ht="5.0999999999999996" customHeight="1">
      <c r="B292" s="117"/>
      <c r="C292" s="420"/>
      <c r="D292" s="9"/>
      <c r="E292" s="9"/>
      <c r="F292" s="9"/>
      <c r="G292" s="9"/>
      <c r="H292" s="10"/>
      <c r="T292" s="115"/>
      <c r="U292" s="115"/>
      <c r="V292" s="115"/>
      <c r="W292" s="115"/>
      <c r="AN292" s="280"/>
      <c r="AO292" s="280"/>
      <c r="AP292" s="280"/>
      <c r="AQ292" s="280"/>
      <c r="AR292" s="280"/>
      <c r="AS292" s="280"/>
      <c r="AT292" s="280"/>
    </row>
    <row r="293" spans="1:46" ht="12.75" customHeight="1">
      <c r="A293" s="8"/>
      <c r="B293" s="452" t="str">
        <f>IF($C$1="ENG","model","модель")</f>
        <v>модель</v>
      </c>
      <c r="C293" s="122" t="str">
        <f>IF($C$1="ENG","cover:","покриття:")</f>
        <v>покриття:</v>
      </c>
      <c r="D293" s="458" t="str">
        <f>IF($C$1="ENG","SIMPL / V-CELL","SIMPL / V-CELL")</f>
        <v>SIMPL / V-CELL</v>
      </c>
      <c r="E293" s="459"/>
      <c r="F293" s="458" t="str">
        <f>IF($C$1="ENG","UNI-MAT","UNI-MAT")</f>
        <v>UNI-MAT</v>
      </c>
      <c r="G293" s="459"/>
      <c r="H293" s="458" t="str">
        <f>IF($C$1="ENG","RESIST","RESIST")</f>
        <v>RESIST</v>
      </c>
      <c r="I293" s="459"/>
      <c r="J293" s="46"/>
      <c r="K293" s="46"/>
      <c r="L293" s="100"/>
      <c r="M293" s="11"/>
      <c r="P293" s="100"/>
      <c r="Q293" s="11"/>
    </row>
    <row r="294" spans="1:46" ht="12.75" customHeight="1">
      <c r="A294" s="8"/>
      <c r="B294" s="453"/>
      <c r="C294" s="123" t="str">
        <f>IF($C$1="ENG","filling:","заповнення:")</f>
        <v>заповнення:</v>
      </c>
      <c r="D294" s="460" t="str">
        <f>IF($C$1="ENG","honeycomb core ","сотове заповнення")</f>
        <v>сотове заповнення</v>
      </c>
      <c r="E294" s="461"/>
      <c r="F294" s="460" t="str">
        <f>IF($C$1="ENG","honeycomb core ","сотове заповнення")</f>
        <v>сотове заповнення</v>
      </c>
      <c r="G294" s="461"/>
      <c r="H294" s="460" t="str">
        <f>IF($C$1="ENG","honeycomb core ","сотове заповнення")</f>
        <v>сотове заповнення</v>
      </c>
      <c r="I294" s="461"/>
      <c r="J294" s="146"/>
      <c r="K294" s="146"/>
      <c r="L294" s="100"/>
      <c r="M294" s="11"/>
      <c r="P294" s="100"/>
      <c r="Q294" s="11"/>
    </row>
    <row r="295" spans="1:46" ht="12.75" customHeight="1">
      <c r="A295" s="8"/>
      <c r="B295" s="454"/>
      <c r="C295" s="124" t="str">
        <f>IF($C$1="ENG","glazing:","скління:")</f>
        <v>скління:</v>
      </c>
      <c r="D295" s="449" t="str">
        <f>IF($C$1="ENG","Satin / Wave","Сатин / Жалюзі")</f>
        <v>Сатин / Жалюзі</v>
      </c>
      <c r="E295" s="450"/>
      <c r="F295" s="449" t="str">
        <f>IF($C$1="ENG","Satin / Wave","Сатин / Жалюзі")</f>
        <v>Сатин / Жалюзі</v>
      </c>
      <c r="G295" s="450"/>
      <c r="H295" s="449" t="str">
        <f>IF($C$1="ENG","Satin / Wave","Сатин / Жалюзі")</f>
        <v>Сатин / Жалюзі</v>
      </c>
      <c r="I295" s="450"/>
      <c r="J295" s="47"/>
      <c r="K295" s="131"/>
      <c r="L295" s="100"/>
      <c r="M295" s="11"/>
      <c r="P295" s="100"/>
      <c r="Q295" s="11"/>
      <c r="AC295" s="1" t="str">
        <f>D293</f>
        <v>SIMPL / V-CELL</v>
      </c>
      <c r="AD295" s="1" t="str">
        <f>F293</f>
        <v>UNI-MAT</v>
      </c>
      <c r="AE295" s="1" t="str">
        <f>H293</f>
        <v>RESIST</v>
      </c>
    </row>
    <row r="296" spans="1:46" ht="35.1" customHeight="1">
      <c r="A296" s="8"/>
      <c r="B296" s="13" t="s">
        <v>26</v>
      </c>
      <c r="C296" s="14"/>
      <c r="D296" s="15">
        <f>IF(AC296="","",(1-$W$2)*(AC296/1.2))</f>
        <v>2075</v>
      </c>
      <c r="E296" s="64">
        <f>IF($W$5=0.2,D296*1.2,D296)/$W$4</f>
        <v>2490</v>
      </c>
      <c r="F296" s="15">
        <f>IF(AD296="","",(1-$W$2)*(AD296/1.2))</f>
        <v>2383.3333333333335</v>
      </c>
      <c r="G296" s="64">
        <f>IF($W$5=0.2,F296*1.2,F296)/$W$4</f>
        <v>2860</v>
      </c>
      <c r="H296" s="15">
        <f>IF(AE296="","",(1-$W$2)*(AE296/1.2))</f>
        <v>2641.666666666667</v>
      </c>
      <c r="I296" s="64">
        <f>IF($W$5=0.2,H296*1.2,H296)/$W$4</f>
        <v>3170.0000000000005</v>
      </c>
      <c r="J296" s="28"/>
      <c r="K296" s="59"/>
      <c r="L296" s="142"/>
      <c r="M296" s="20"/>
      <c r="N296" s="104"/>
      <c r="O296" s="20"/>
      <c r="P296" s="142"/>
      <c r="Q296" s="20"/>
      <c r="R296" s="104"/>
      <c r="S296" s="20"/>
      <c r="T296" s="104"/>
      <c r="V296" s="104"/>
      <c r="W296" s="20"/>
      <c r="X296" s="22"/>
      <c r="Y296" s="22"/>
      <c r="Z296" s="22"/>
      <c r="AA296" s="22"/>
      <c r="AB296" s="22"/>
      <c r="AC296" s="332">
        <v>2490</v>
      </c>
      <c r="AD296" s="332">
        <v>2860</v>
      </c>
      <c r="AE296" s="332">
        <v>3170</v>
      </c>
      <c r="AF296" s="289">
        <v>2490</v>
      </c>
      <c r="AG296" s="289">
        <f>AF296/AC296-1</f>
        <v>0</v>
      </c>
      <c r="AH296" s="289">
        <v>2860</v>
      </c>
      <c r="AI296" s="289">
        <f>AH296/AD296-1</f>
        <v>0</v>
      </c>
      <c r="AJ296" s="289">
        <v>3170</v>
      </c>
      <c r="AK296" s="289">
        <f>AJ296/AE296-1</f>
        <v>0</v>
      </c>
      <c r="AL296" s="289"/>
      <c r="AM296" s="334"/>
      <c r="AN296" s="310"/>
      <c r="AO296" s="334"/>
      <c r="AP296" s="333"/>
    </row>
    <row r="297" spans="1:46" ht="35.1" customHeight="1">
      <c r="A297" s="8"/>
      <c r="B297" s="16" t="s">
        <v>22</v>
      </c>
      <c r="C297" s="17"/>
      <c r="D297" s="18">
        <f>IF(AC297="","",(1-$W$2)*(AC297/1.2))</f>
        <v>3991.666666666667</v>
      </c>
      <c r="E297" s="66">
        <f>IF($W$5=0.2,D297*1.2,D297)/$W$4</f>
        <v>4790</v>
      </c>
      <c r="F297" s="18">
        <f>IF(AD297="","",(1-$W$2)*(AD297/1.2))</f>
        <v>4591.666666666667</v>
      </c>
      <c r="G297" s="66">
        <f>IF($W$5=0.2,F297*1.2,F297)/$W$4</f>
        <v>5510</v>
      </c>
      <c r="H297" s="18">
        <f>IF(AE297="","",(1-$W$2)*(AE297/1.2))</f>
        <v>4958.3333333333339</v>
      </c>
      <c r="I297" s="66">
        <f>IF($W$5=0.2,H297*1.2,H297)/$W$4</f>
        <v>5950.0000000000009</v>
      </c>
      <c r="J297" s="28"/>
      <c r="K297" s="59"/>
      <c r="L297" s="142"/>
      <c r="M297" s="20"/>
      <c r="N297" s="104"/>
      <c r="O297" s="20"/>
      <c r="P297" s="142"/>
      <c r="Q297" s="20"/>
      <c r="R297" s="104"/>
      <c r="S297" s="20"/>
      <c r="T297" s="104"/>
      <c r="V297" s="104"/>
      <c r="W297" s="20"/>
      <c r="AC297" s="332">
        <v>4790</v>
      </c>
      <c r="AD297" s="332">
        <v>5510</v>
      </c>
      <c r="AE297" s="332">
        <v>5950</v>
      </c>
      <c r="AF297" s="289">
        <v>4790</v>
      </c>
      <c r="AG297" s="289">
        <f t="shared" ref="AG297:AG300" si="26">AF297/AC297-1</f>
        <v>0</v>
      </c>
      <c r="AH297" s="289">
        <v>5510</v>
      </c>
      <c r="AI297" s="289">
        <f t="shared" ref="AI297:AI300" si="27">AH297/AD297-1</f>
        <v>0</v>
      </c>
      <c r="AJ297" s="289">
        <v>5950</v>
      </c>
      <c r="AK297" s="289">
        <f>AJ297/AE297-1</f>
        <v>0</v>
      </c>
      <c r="AL297" s="289"/>
      <c r="AM297" s="334"/>
      <c r="AN297" s="310"/>
      <c r="AO297" s="334"/>
      <c r="AP297" s="333"/>
    </row>
    <row r="298" spans="1:46" ht="35.1" customHeight="1">
      <c r="A298" s="8"/>
      <c r="B298" s="16" t="s">
        <v>23</v>
      </c>
      <c r="C298" s="17"/>
      <c r="D298" s="18">
        <f>IF(AC298="","",(1-$W$2)*(AC298/1.2))</f>
        <v>4158.3333333333339</v>
      </c>
      <c r="E298" s="66">
        <f>IF($W$5=0.2,D298*1.2,D298)/$W$4</f>
        <v>4990.0000000000009</v>
      </c>
      <c r="F298" s="18">
        <f>IF(AD298="","",(1-$W$2)*(AD298/1.2))</f>
        <v>4791.666666666667</v>
      </c>
      <c r="G298" s="66">
        <f>IF($W$5=0.2,F298*1.2,F298)/$W$4</f>
        <v>5750</v>
      </c>
      <c r="H298" s="18">
        <f>IF(AE298="","",(1-$W$2)*(AE298/1.2))</f>
        <v>5066.666666666667</v>
      </c>
      <c r="I298" s="66">
        <f>IF($W$5=0.2,H298*1.2,H298)/$W$4</f>
        <v>6080</v>
      </c>
      <c r="J298" s="28"/>
      <c r="K298" s="59"/>
      <c r="L298" s="142"/>
      <c r="M298" s="20"/>
      <c r="N298" s="104"/>
      <c r="O298" s="20"/>
      <c r="P298" s="142"/>
      <c r="Q298" s="20"/>
      <c r="R298" s="104"/>
      <c r="S298" s="20"/>
      <c r="T298" s="104"/>
      <c r="V298" s="104"/>
      <c r="W298" s="20"/>
      <c r="AC298" s="332">
        <v>4990</v>
      </c>
      <c r="AD298" s="332">
        <v>5750</v>
      </c>
      <c r="AE298" s="332">
        <v>6080</v>
      </c>
      <c r="AF298" s="289">
        <v>4990</v>
      </c>
      <c r="AG298" s="289">
        <f t="shared" si="26"/>
        <v>0</v>
      </c>
      <c r="AH298" s="289">
        <v>5750</v>
      </c>
      <c r="AI298" s="289">
        <f t="shared" si="27"/>
        <v>0</v>
      </c>
      <c r="AJ298" s="289">
        <v>6080</v>
      </c>
      <c r="AK298" s="289">
        <f t="shared" ref="AK298:AK300" si="28">AJ298/AE298-1</f>
        <v>0</v>
      </c>
      <c r="AL298" s="289"/>
      <c r="AM298" s="334"/>
      <c r="AN298" s="310"/>
      <c r="AO298" s="334"/>
      <c r="AP298" s="333"/>
    </row>
    <row r="299" spans="1:46" ht="35.1" customHeight="1">
      <c r="A299" s="8"/>
      <c r="B299" s="16" t="s">
        <v>25</v>
      </c>
      <c r="C299" s="17"/>
      <c r="D299" s="18">
        <f>IF(AC299="","",(1-$W$2)*(AC299/1.2))</f>
        <v>4541.666666666667</v>
      </c>
      <c r="E299" s="66">
        <f>IF($W$5=0.2,D299*1.2,D299)/$W$4</f>
        <v>5450</v>
      </c>
      <c r="F299" s="18">
        <f>IF(AD299="","",(1-$W$2)*(AD299/1.2))</f>
        <v>5225</v>
      </c>
      <c r="G299" s="66">
        <f>IF($W$5=0.2,F299*1.2,F299)/$W$4</f>
        <v>6270</v>
      </c>
      <c r="H299" s="18">
        <f>IF(AE299="","",(1-$W$2)*(AE299/1.2))</f>
        <v>5458.3333333333339</v>
      </c>
      <c r="I299" s="66">
        <f>IF($W$5=0.2,H299*1.2,H299)/$W$4</f>
        <v>6550.0000000000009</v>
      </c>
      <c r="J299" s="28"/>
      <c r="K299" s="59"/>
      <c r="L299" s="142"/>
      <c r="M299" s="20"/>
      <c r="N299" s="104"/>
      <c r="O299" s="20"/>
      <c r="P299" s="142"/>
      <c r="Q299" s="20"/>
      <c r="R299" s="104"/>
      <c r="S299" s="20"/>
      <c r="T299" s="104"/>
      <c r="V299" s="104"/>
      <c r="W299" s="20"/>
      <c r="AC299" s="332">
        <v>5450</v>
      </c>
      <c r="AD299" s="332">
        <v>6270</v>
      </c>
      <c r="AE299" s="332">
        <v>6550</v>
      </c>
      <c r="AF299" s="289">
        <v>5450</v>
      </c>
      <c r="AG299" s="289">
        <f t="shared" si="26"/>
        <v>0</v>
      </c>
      <c r="AH299" s="289">
        <v>6270</v>
      </c>
      <c r="AI299" s="289">
        <f t="shared" si="27"/>
        <v>0</v>
      </c>
      <c r="AJ299" s="289">
        <v>6550</v>
      </c>
      <c r="AK299" s="289">
        <f t="shared" si="28"/>
        <v>0</v>
      </c>
      <c r="AL299" s="289"/>
      <c r="AM299" s="334"/>
      <c r="AN299" s="310"/>
      <c r="AO299" s="334"/>
      <c r="AP299" s="333"/>
    </row>
    <row r="300" spans="1:46" ht="35.1" customHeight="1">
      <c r="A300" s="8"/>
      <c r="B300" s="23" t="s">
        <v>27</v>
      </c>
      <c r="C300" s="24"/>
      <c r="D300" s="25">
        <f>IF(AC300="","",(1-$W$2)*(AC300/1.2))</f>
        <v>3475</v>
      </c>
      <c r="E300" s="69">
        <f>IF($W$5=0.2,D300*1.2,D300)/$W$4</f>
        <v>4170</v>
      </c>
      <c r="F300" s="25">
        <f>IF(AD300="","",(1-$W$2)*(AD300/1.2))</f>
        <v>3991.666666666667</v>
      </c>
      <c r="G300" s="69">
        <f>IF($W$5=0.2,F300*1.2,F300)/$W$4</f>
        <v>4790</v>
      </c>
      <c r="H300" s="25">
        <f>IF(AE300="","",(1-$W$2)*(AE300/1.2))</f>
        <v>4158.3333333333339</v>
      </c>
      <c r="I300" s="69">
        <f>IF($W$5=0.2,H300*1.2,H300)/$W$4</f>
        <v>4990.0000000000009</v>
      </c>
      <c r="J300" s="28"/>
      <c r="K300" s="59"/>
      <c r="L300" s="142"/>
      <c r="M300" s="20"/>
      <c r="N300" s="104"/>
      <c r="O300" s="20"/>
      <c r="P300" s="142"/>
      <c r="Q300" s="20"/>
      <c r="R300" s="104"/>
      <c r="S300" s="20"/>
      <c r="T300" s="104"/>
      <c r="V300" s="104"/>
      <c r="W300" s="20"/>
      <c r="AC300" s="332">
        <v>4170</v>
      </c>
      <c r="AD300" s="332">
        <v>4790</v>
      </c>
      <c r="AE300" s="332">
        <v>4990</v>
      </c>
      <c r="AF300" s="289">
        <v>4170</v>
      </c>
      <c r="AG300" s="289">
        <f t="shared" si="26"/>
        <v>0</v>
      </c>
      <c r="AH300" s="289">
        <v>4790</v>
      </c>
      <c r="AI300" s="289">
        <f t="shared" si="27"/>
        <v>0</v>
      </c>
      <c r="AJ300" s="289">
        <v>4990</v>
      </c>
      <c r="AK300" s="289">
        <f t="shared" si="28"/>
        <v>0</v>
      </c>
      <c r="AL300" s="289"/>
      <c r="AM300" s="334"/>
      <c r="AN300" s="310"/>
      <c r="AO300" s="334"/>
      <c r="AP300" s="333"/>
    </row>
    <row r="301" spans="1:46">
      <c r="C301" s="245"/>
      <c r="D301" s="26"/>
      <c r="E301" s="57"/>
      <c r="F301" s="26"/>
      <c r="G301" s="57"/>
      <c r="H301" s="60"/>
      <c r="I301" s="143"/>
      <c r="J301" s="48"/>
      <c r="K301" s="143"/>
      <c r="L301" s="48"/>
      <c r="P301" s="48"/>
    </row>
    <row r="302" spans="1:46">
      <c r="B302" s="212" t="str">
        <f>IF($C$1="ENG","For additonal charge:","Послуги за додаткову плату:")</f>
        <v>Послуги за додаткову плату:</v>
      </c>
      <c r="C302" s="421"/>
      <c r="D302" s="213"/>
      <c r="E302" s="214"/>
      <c r="F302" s="26"/>
      <c r="G302" s="26"/>
      <c r="H302" s="10"/>
      <c r="I302" s="84"/>
      <c r="K302" s="20"/>
    </row>
    <row r="303" spans="1:46" ht="5.0999999999999996" customHeight="1">
      <c r="B303" s="27"/>
      <c r="C303" s="245"/>
      <c r="D303" s="26"/>
      <c r="E303" s="57"/>
      <c r="F303" s="26"/>
      <c r="G303" s="26"/>
      <c r="H303" s="10"/>
      <c r="I303" s="8"/>
      <c r="K303" s="20"/>
    </row>
    <row r="304" spans="1:46">
      <c r="B304" s="447" t="str">
        <f>IF($C$1="ENG","Ventilation sleeves (1 row)","вентиляційні віддушини (1ряд)")</f>
        <v>вентиляційні віддушини (1ряд)</v>
      </c>
      <c r="C304" s="448"/>
      <c r="D304" s="410">
        <f t="shared" ref="D304:D317" si="29">IF(AC304="","",(1-$W$2)*(AC304/1.2))</f>
        <v>208.33333333333334</v>
      </c>
      <c r="E304" s="64">
        <f t="shared" ref="E304:E315" si="30">IF($W$5=0.2,D304*1.2,D304)/$W$4</f>
        <v>250</v>
      </c>
      <c r="F304" s="26"/>
      <c r="G304" s="26"/>
      <c r="AC304" s="298">
        <v>250</v>
      </c>
      <c r="AD304" s="289">
        <v>250</v>
      </c>
      <c r="AE304" s="289">
        <f t="shared" ref="AE304" si="31">AD304/AC304-1</f>
        <v>0</v>
      </c>
      <c r="AF304" s="289"/>
      <c r="AG304" s="289"/>
      <c r="AH304" s="289"/>
      <c r="AI304" s="289"/>
      <c r="AJ304" s="289"/>
      <c r="AK304" s="289"/>
      <c r="AL304" s="289"/>
    </row>
    <row r="305" spans="2:38">
      <c r="B305" s="447" t="str">
        <f>IF($C$1="ENG","Ventilation cut","вентиляційний підріз")</f>
        <v>вентиляційний підріз</v>
      </c>
      <c r="C305" s="448"/>
      <c r="D305" s="405">
        <f t="shared" si="29"/>
        <v>141.66666666666669</v>
      </c>
      <c r="E305" s="66">
        <f t="shared" si="30"/>
        <v>170.00000000000003</v>
      </c>
      <c r="F305" s="26"/>
      <c r="G305" s="26"/>
      <c r="I305" s="59"/>
      <c r="J305" s="28"/>
      <c r="AC305" s="298">
        <v>170</v>
      </c>
      <c r="AD305" s="289">
        <v>170</v>
      </c>
      <c r="AE305" s="289">
        <f t="shared" ref="AE305:AE317" si="32">AD305/AC305-1</f>
        <v>0</v>
      </c>
      <c r="AF305" s="289"/>
      <c r="AG305" s="289"/>
      <c r="AH305" s="289"/>
      <c r="AI305" s="289"/>
      <c r="AJ305" s="289"/>
      <c r="AK305" s="289"/>
      <c r="AL305" s="289"/>
    </row>
    <row r="306" spans="2:38">
      <c r="B306" s="447" t="str">
        <f>IF($C$1="ENG","third door hindge","третя завіса")</f>
        <v>третя завіса</v>
      </c>
      <c r="C306" s="448"/>
      <c r="D306" s="405">
        <f t="shared" si="29"/>
        <v>66.666666666666671</v>
      </c>
      <c r="E306" s="66">
        <f t="shared" si="30"/>
        <v>80</v>
      </c>
      <c r="F306" s="26"/>
      <c r="G306" s="26"/>
      <c r="AC306" s="298">
        <v>80</v>
      </c>
      <c r="AD306" s="289">
        <v>80</v>
      </c>
      <c r="AE306" s="289">
        <f t="shared" si="32"/>
        <v>0</v>
      </c>
      <c r="AF306" s="289"/>
      <c r="AG306" s="289"/>
      <c r="AH306" s="289"/>
      <c r="AI306" s="289"/>
      <c r="AJ306" s="289"/>
      <c r="AK306" s="289"/>
      <c r="AL306" s="289"/>
    </row>
    <row r="307" spans="2:38">
      <c r="B307" s="445" t="str">
        <f>IF($C$1="ENG","glazing Graphite / Bronze","скло Графіт / Бронза")</f>
        <v>скло Графіт / Бронза</v>
      </c>
      <c r="C307" s="446"/>
      <c r="D307" s="407">
        <f>IF(AC307="","",(1-$W$2)*(AC307/1.2))</f>
        <v>458.33333333333337</v>
      </c>
      <c r="E307" s="93">
        <f>IF($W$5=0.2,D307*1.2,D307)/$W$4</f>
        <v>550</v>
      </c>
      <c r="F307" s="26"/>
      <c r="G307" s="26"/>
      <c r="H307" s="5"/>
      <c r="AC307" s="298">
        <v>550</v>
      </c>
      <c r="AD307" s="289">
        <v>550</v>
      </c>
      <c r="AE307" s="289">
        <f t="shared" si="32"/>
        <v>0</v>
      </c>
      <c r="AF307" s="289"/>
      <c r="AG307" s="289"/>
      <c r="AH307" s="289"/>
      <c r="AI307" s="289"/>
      <c r="AJ307" s="289"/>
      <c r="AK307" s="289"/>
      <c r="AL307" s="289"/>
    </row>
    <row r="308" spans="2:38">
      <c r="B308" s="445" t="str">
        <f>IF($C$1="ENG","door lock Soft","замок Soft")</f>
        <v>замок Soft</v>
      </c>
      <c r="C308" s="446"/>
      <c r="D308" s="407">
        <f t="shared" si="29"/>
        <v>458.33333333333337</v>
      </c>
      <c r="E308" s="93">
        <f t="shared" si="30"/>
        <v>550</v>
      </c>
      <c r="F308" s="26"/>
      <c r="G308" s="26"/>
      <c r="H308" s="5"/>
      <c r="AC308" s="298">
        <v>550</v>
      </c>
      <c r="AD308" s="289">
        <v>550</v>
      </c>
      <c r="AE308" s="289">
        <f t="shared" si="32"/>
        <v>0</v>
      </c>
      <c r="AF308" s="289"/>
      <c r="AG308" s="289"/>
      <c r="AH308" s="289"/>
      <c r="AI308" s="289"/>
      <c r="AJ308" s="289"/>
      <c r="AK308" s="289"/>
      <c r="AL308" s="289"/>
    </row>
    <row r="309" spans="2:38">
      <c r="B309" s="445" t="str">
        <f>IF($C$1="ENG","door lock Soft black","замок Soft чорн.")</f>
        <v>замок Soft чорн.</v>
      </c>
      <c r="C309" s="446"/>
      <c r="D309" s="407">
        <f t="shared" ref="D309" si="33">IF(AC309="","",(1-$W$2)*(AC309/1.2))</f>
        <v>566.66666666666674</v>
      </c>
      <c r="E309" s="93">
        <f t="shared" ref="E309" si="34">IF($W$5=0.2,D309*1.2,D309)/$W$4</f>
        <v>680.00000000000011</v>
      </c>
      <c r="F309" s="26"/>
      <c r="G309" s="26"/>
      <c r="H309" s="5"/>
      <c r="AC309" s="298">
        <v>680</v>
      </c>
      <c r="AD309" s="289"/>
      <c r="AE309" s="289"/>
      <c r="AF309" s="289"/>
      <c r="AG309" s="289"/>
      <c r="AH309" s="289"/>
      <c r="AI309" s="289"/>
      <c r="AJ309" s="289"/>
      <c r="AK309" s="289"/>
      <c r="AL309" s="289"/>
    </row>
    <row r="310" spans="2:38">
      <c r="B310" s="445" t="str">
        <f>IF($C$1="ENG","door lock Magnet","замок Magnet")</f>
        <v>замок Magnet</v>
      </c>
      <c r="C310" s="446"/>
      <c r="D310" s="407">
        <f t="shared" si="29"/>
        <v>666.66666666666674</v>
      </c>
      <c r="E310" s="93">
        <f t="shared" si="30"/>
        <v>800.00000000000011</v>
      </c>
      <c r="F310" s="26"/>
      <c r="G310" s="26"/>
      <c r="H310" s="5"/>
      <c r="AC310" s="298">
        <v>800</v>
      </c>
      <c r="AD310" s="289">
        <v>800</v>
      </c>
      <c r="AE310" s="289">
        <f t="shared" si="32"/>
        <v>0</v>
      </c>
      <c r="AF310" s="289"/>
      <c r="AG310" s="289"/>
      <c r="AH310" s="289"/>
      <c r="AI310" s="289"/>
      <c r="AJ310" s="289"/>
      <c r="AK310" s="289"/>
      <c r="AL310" s="289"/>
    </row>
    <row r="311" spans="2:38">
      <c r="B311" s="445" t="s">
        <v>76</v>
      </c>
      <c r="C311" s="446"/>
      <c r="D311" s="407">
        <f t="shared" ref="D311" si="35">IF(AC311="","",(1-$W$2)*(AC311/1.2))</f>
        <v>833.33333333333337</v>
      </c>
      <c r="E311" s="93">
        <f t="shared" si="30"/>
        <v>1000</v>
      </c>
      <c r="F311" s="26"/>
      <c r="G311" s="26"/>
      <c r="H311" s="5"/>
      <c r="AC311" s="298">
        <v>1000</v>
      </c>
      <c r="AD311" s="289"/>
      <c r="AE311" s="289"/>
      <c r="AF311" s="289"/>
      <c r="AG311" s="289"/>
      <c r="AH311" s="289"/>
      <c r="AI311" s="289"/>
      <c r="AJ311" s="289"/>
      <c r="AK311" s="289"/>
      <c r="AL311" s="289"/>
    </row>
    <row r="312" spans="2:38">
      <c r="B312" s="445" t="str">
        <f>IF($C$1="ENG","door handle-lock (for sliding doors)","ручка-замок (для дверей купе)")</f>
        <v>ручка-замок (для дверей купе)</v>
      </c>
      <c r="C312" s="446"/>
      <c r="D312" s="405">
        <f t="shared" si="29"/>
        <v>466.66666666666669</v>
      </c>
      <c r="E312" s="66">
        <f t="shared" si="30"/>
        <v>560</v>
      </c>
      <c r="F312" s="26"/>
      <c r="G312" s="26"/>
      <c r="I312" s="30"/>
      <c r="K312" s="30"/>
      <c r="AC312" s="298">
        <v>560</v>
      </c>
      <c r="AD312" s="289">
        <v>560</v>
      </c>
      <c r="AE312" s="289">
        <f t="shared" si="32"/>
        <v>0</v>
      </c>
      <c r="AF312" s="289"/>
      <c r="AG312" s="289"/>
      <c r="AH312" s="289"/>
      <c r="AI312" s="289"/>
      <c r="AJ312" s="289"/>
      <c r="AK312" s="289"/>
      <c r="AL312" s="289"/>
    </row>
    <row r="313" spans="2:38">
      <c r="B313" s="445" t="str">
        <f>IF($C$1="ENG","cylinder incert","циліндр несиметричний")</f>
        <v>циліндр несиметричний</v>
      </c>
      <c r="C313" s="446"/>
      <c r="D313" s="405">
        <f t="shared" si="29"/>
        <v>325</v>
      </c>
      <c r="E313" s="66">
        <f t="shared" si="30"/>
        <v>390</v>
      </c>
      <c r="F313" s="26"/>
      <c r="G313" s="26"/>
      <c r="AC313" s="298">
        <v>390</v>
      </c>
      <c r="AD313" s="289">
        <v>390</v>
      </c>
      <c r="AE313" s="289">
        <f t="shared" si="32"/>
        <v>0</v>
      </c>
      <c r="AF313" s="289"/>
      <c r="AG313" s="289"/>
      <c r="AH313" s="289"/>
      <c r="AI313" s="289"/>
      <c r="AJ313" s="289"/>
      <c r="AK313" s="289"/>
      <c r="AL313" s="289"/>
    </row>
    <row r="314" spans="2:38">
      <c r="B314" s="445" t="str">
        <f>IF($C$1="ENG","door hindge Prestige (1 unit)","завіса Prestige (1 шт)")</f>
        <v>завіса Prestige (1 шт)</v>
      </c>
      <c r="C314" s="446"/>
      <c r="D314" s="408">
        <f t="shared" si="29"/>
        <v>216.66666666666669</v>
      </c>
      <c r="E314" s="66">
        <f t="shared" si="30"/>
        <v>260</v>
      </c>
      <c r="F314" s="26"/>
      <c r="G314" s="26"/>
      <c r="AC314" s="298">
        <v>260</v>
      </c>
      <c r="AD314" s="289">
        <v>260</v>
      </c>
      <c r="AE314" s="289">
        <f t="shared" si="32"/>
        <v>0</v>
      </c>
      <c r="AF314" s="289"/>
      <c r="AG314" s="289"/>
      <c r="AH314" s="289"/>
      <c r="AI314" s="289"/>
      <c r="AJ314" s="289"/>
      <c r="AK314" s="289"/>
      <c r="AL314" s="289"/>
    </row>
    <row r="315" spans="2:38">
      <c r="B315" s="445" t="str">
        <f>IF($C$1="ENG","door hinge caps (1 set)","накладка на завіси (1 к-т)")</f>
        <v>накладка на завіси (1 к-т)</v>
      </c>
      <c r="C315" s="446"/>
      <c r="D315" s="408">
        <f t="shared" si="29"/>
        <v>66.666666666666671</v>
      </c>
      <c r="E315" s="66">
        <f t="shared" si="30"/>
        <v>80</v>
      </c>
      <c r="F315" s="26"/>
      <c r="G315" s="26"/>
      <c r="AC315" s="298">
        <v>80</v>
      </c>
      <c r="AD315" s="289">
        <v>80</v>
      </c>
      <c r="AE315" s="289">
        <f t="shared" si="32"/>
        <v>0</v>
      </c>
      <c r="AF315" s="289"/>
      <c r="AG315" s="289"/>
      <c r="AH315" s="289"/>
      <c r="AI315" s="289"/>
      <c r="AJ315" s="289"/>
      <c r="AK315" s="289"/>
      <c r="AL315" s="289"/>
    </row>
    <row r="316" spans="2:38">
      <c r="B316" s="445" t="str">
        <f>IF($C$1="ENG","door handle","дверна ручка")</f>
        <v>дверна ручка</v>
      </c>
      <c r="C316" s="446"/>
      <c r="D316" s="405">
        <f t="shared" si="29"/>
        <v>0</v>
      </c>
      <c r="E316" s="136" t="str">
        <f>IF($C$1="ENG","see Handles Price","див. Таблицю Ручки")</f>
        <v>див. Таблицю Ручки</v>
      </c>
      <c r="F316" s="26"/>
      <c r="G316" s="26"/>
      <c r="AC316" s="298">
        <v>0</v>
      </c>
      <c r="AD316" s="289">
        <f t="shared" ref="AD316" si="36">AC316/100*13+AC316</f>
        <v>0</v>
      </c>
      <c r="AE316" s="289" t="e">
        <f t="shared" si="32"/>
        <v>#DIV/0!</v>
      </c>
      <c r="AF316" s="289"/>
      <c r="AG316" s="289"/>
      <c r="AH316" s="289"/>
      <c r="AI316" s="289"/>
      <c r="AJ316" s="289"/>
      <c r="AK316" s="289"/>
      <c r="AL316" s="289"/>
    </row>
    <row r="317" spans="2:38">
      <c r="B317" s="445" t="str">
        <f>IF($C$1="ENG","perforated chipboard","ДСП трубчасте")</f>
        <v>ДСП трубчасте</v>
      </c>
      <c r="C317" s="446"/>
      <c r="D317" s="409">
        <f t="shared" si="29"/>
        <v>1083.3333333333335</v>
      </c>
      <c r="E317" s="69">
        <f>IF($W$5=0.2,D317*1.2,D317)/$W$4</f>
        <v>1300.0000000000002</v>
      </c>
      <c r="F317" s="26"/>
      <c r="G317" s="26"/>
      <c r="AC317" s="298">
        <v>1300</v>
      </c>
      <c r="AD317" s="289">
        <v>1300</v>
      </c>
      <c r="AE317" s="289">
        <f t="shared" si="32"/>
        <v>0</v>
      </c>
      <c r="AF317" s="289"/>
      <c r="AG317" s="289"/>
      <c r="AH317" s="289"/>
      <c r="AI317" s="289"/>
      <c r="AJ317" s="289"/>
      <c r="AK317" s="289"/>
      <c r="AL317" s="289"/>
    </row>
    <row r="318" spans="2:38" ht="14.25" customHeight="1">
      <c r="C318" s="245"/>
      <c r="D318" s="26"/>
      <c r="E318" s="26"/>
      <c r="F318" s="26"/>
      <c r="G318" s="26"/>
      <c r="H318" s="5"/>
      <c r="T318" s="488" t="str">
        <f>IF($C$1="ENG",CONCATENATE("down to: ",B368),CONCATENATE("вниз до: ",B368))</f>
        <v>вниз до: Полотна каркасно-щитові: ІДЕЯ-ЛОФТ</v>
      </c>
      <c r="U318" s="488"/>
      <c r="V318" s="488"/>
      <c r="W318" s="488"/>
    </row>
    <row r="319" spans="2:38" ht="14.25" customHeight="1">
      <c r="C319" s="245"/>
      <c r="D319" s="26"/>
      <c r="E319" s="26"/>
      <c r="F319" s="26"/>
      <c r="G319" s="26"/>
      <c r="H319" s="5"/>
    </row>
    <row r="320" spans="2:38" ht="14.25" customHeight="1">
      <c r="C320" s="245"/>
      <c r="D320" s="26"/>
      <c r="E320" s="26"/>
      <c r="F320" s="26"/>
      <c r="G320" s="26"/>
      <c r="H320" s="5"/>
    </row>
    <row r="321" spans="3:8" ht="14.25" customHeight="1">
      <c r="C321" s="245"/>
      <c r="D321" s="26"/>
      <c r="E321" s="26"/>
      <c r="F321" s="26"/>
      <c r="G321" s="26"/>
      <c r="H321" s="5"/>
    </row>
    <row r="322" spans="3:8" ht="14.25" customHeight="1">
      <c r="C322" s="245"/>
      <c r="D322" s="26"/>
      <c r="E322" s="26"/>
      <c r="F322" s="26"/>
      <c r="G322" s="26"/>
      <c r="H322" s="5"/>
    </row>
    <row r="323" spans="3:8" ht="14.25" customHeight="1">
      <c r="C323" s="245"/>
      <c r="D323" s="26"/>
      <c r="E323" s="26"/>
      <c r="F323" s="26"/>
      <c r="G323" s="26"/>
      <c r="H323" s="5"/>
    </row>
    <row r="324" spans="3:8" ht="14.25" customHeight="1">
      <c r="C324" s="245"/>
      <c r="D324" s="26"/>
      <c r="E324" s="26"/>
      <c r="F324" s="26"/>
      <c r="G324" s="26"/>
      <c r="H324" s="5"/>
    </row>
    <row r="325" spans="3:8" ht="14.25" customHeight="1">
      <c r="C325" s="245"/>
      <c r="D325" s="26"/>
      <c r="E325" s="26"/>
      <c r="F325" s="26"/>
      <c r="G325" s="26"/>
      <c r="H325" s="5"/>
    </row>
    <row r="326" spans="3:8" ht="14.25" customHeight="1">
      <c r="C326" s="245"/>
      <c r="D326" s="26"/>
      <c r="E326" s="26"/>
      <c r="F326" s="26"/>
      <c r="G326" s="26"/>
      <c r="H326" s="5"/>
    </row>
    <row r="327" spans="3:8" ht="14.25" customHeight="1">
      <c r="C327" s="245"/>
      <c r="D327" s="26"/>
      <c r="E327" s="26"/>
      <c r="F327" s="26"/>
      <c r="G327" s="26"/>
      <c r="H327" s="5"/>
    </row>
    <row r="328" spans="3:8" ht="14.25" customHeight="1">
      <c r="C328" s="245"/>
      <c r="D328" s="26"/>
      <c r="E328" s="26"/>
      <c r="F328" s="26"/>
      <c r="G328" s="26"/>
      <c r="H328" s="5"/>
    </row>
    <row r="329" spans="3:8" ht="14.25" customHeight="1">
      <c r="C329" s="245"/>
      <c r="D329" s="26"/>
      <c r="E329" s="26"/>
      <c r="F329" s="26"/>
      <c r="G329" s="26"/>
      <c r="H329" s="5"/>
    </row>
    <row r="330" spans="3:8" ht="14.25" customHeight="1">
      <c r="C330" s="245"/>
      <c r="D330" s="26"/>
      <c r="E330" s="26"/>
      <c r="F330" s="26"/>
      <c r="G330" s="26"/>
      <c r="H330" s="5"/>
    </row>
    <row r="331" spans="3:8" ht="14.25" customHeight="1">
      <c r="C331" s="245"/>
      <c r="D331" s="26"/>
      <c r="E331" s="26"/>
      <c r="F331" s="26"/>
      <c r="G331" s="26"/>
      <c r="H331" s="5"/>
    </row>
    <row r="332" spans="3:8" ht="14.25" customHeight="1">
      <c r="C332" s="245"/>
      <c r="D332" s="26"/>
      <c r="E332" s="26"/>
      <c r="F332" s="26"/>
      <c r="G332" s="26"/>
      <c r="H332" s="5"/>
    </row>
    <row r="333" spans="3:8" ht="14.25" customHeight="1">
      <c r="C333" s="245"/>
      <c r="D333" s="26"/>
      <c r="E333" s="26"/>
      <c r="F333" s="26"/>
      <c r="G333" s="26"/>
      <c r="H333" s="5"/>
    </row>
    <row r="334" spans="3:8" ht="14.25" customHeight="1">
      <c r="C334" s="245"/>
      <c r="D334" s="26"/>
      <c r="E334" s="26"/>
      <c r="F334" s="26"/>
      <c r="G334" s="26"/>
      <c r="H334" s="5"/>
    </row>
    <row r="335" spans="3:8" ht="14.25" customHeight="1">
      <c r="C335" s="245"/>
      <c r="D335" s="26"/>
      <c r="E335" s="26"/>
      <c r="F335" s="26"/>
      <c r="G335" s="26"/>
      <c r="H335" s="5"/>
    </row>
    <row r="336" spans="3:8" ht="14.25" customHeight="1">
      <c r="C336" s="245"/>
      <c r="D336" s="26"/>
      <c r="E336" s="26"/>
      <c r="F336" s="26"/>
      <c r="G336" s="26"/>
      <c r="H336" s="5"/>
    </row>
    <row r="337" spans="2:8" ht="14.25" customHeight="1">
      <c r="C337" s="245"/>
      <c r="D337" s="26"/>
      <c r="E337" s="26"/>
      <c r="F337" s="26"/>
      <c r="G337" s="26"/>
      <c r="H337" s="5"/>
    </row>
    <row r="338" spans="2:8" ht="14.25" customHeight="1">
      <c r="C338" s="245"/>
      <c r="D338" s="26"/>
      <c r="E338" s="26"/>
      <c r="F338" s="26"/>
      <c r="G338" s="26"/>
      <c r="H338" s="5"/>
    </row>
    <row r="339" spans="2:8" ht="14.25" customHeight="1">
      <c r="C339" s="245"/>
      <c r="D339" s="26"/>
      <c r="E339" s="26"/>
      <c r="F339" s="26"/>
      <c r="G339" s="26"/>
      <c r="H339" s="5"/>
    </row>
    <row r="340" spans="2:8" ht="14.25" customHeight="1">
      <c r="C340" s="245"/>
      <c r="D340" s="26"/>
      <c r="E340" s="26"/>
      <c r="F340" s="26"/>
      <c r="G340" s="26"/>
      <c r="H340" s="5"/>
    </row>
    <row r="341" spans="2:8" ht="14.25" customHeight="1">
      <c r="C341" s="245"/>
      <c r="D341" s="26"/>
      <c r="E341" s="26"/>
      <c r="F341" s="26"/>
      <c r="G341" s="26"/>
      <c r="H341" s="5"/>
    </row>
    <row r="342" spans="2:8" ht="14.25" customHeight="1">
      <c r="C342" s="245"/>
      <c r="D342" s="26"/>
      <c r="E342" s="26"/>
      <c r="F342" s="26"/>
      <c r="G342" s="26"/>
      <c r="H342" s="5"/>
    </row>
    <row r="343" spans="2:8" ht="14.25" customHeight="1">
      <c r="C343" s="245"/>
      <c r="D343" s="26"/>
      <c r="E343" s="26"/>
      <c r="F343" s="26"/>
      <c r="G343" s="26"/>
      <c r="H343" s="5"/>
    </row>
    <row r="344" spans="2:8" ht="14.25" customHeight="1">
      <c r="C344" s="245"/>
      <c r="D344" s="26"/>
      <c r="E344" s="26"/>
      <c r="F344" s="26"/>
      <c r="G344" s="26"/>
      <c r="H344" s="5"/>
    </row>
    <row r="345" spans="2:8" ht="14.25" customHeight="1">
      <c r="C345" s="245"/>
      <c r="D345" s="26"/>
      <c r="E345" s="26"/>
      <c r="F345" s="26"/>
      <c r="G345" s="26"/>
      <c r="H345" s="5"/>
    </row>
    <row r="346" spans="2:8" ht="14.25" customHeight="1">
      <c r="C346" s="245"/>
      <c r="D346" s="26"/>
      <c r="E346" s="26"/>
      <c r="F346" s="26"/>
      <c r="G346" s="26"/>
      <c r="H346" s="5"/>
    </row>
    <row r="347" spans="2:8" ht="14.25" customHeight="1">
      <c r="C347" s="245"/>
      <c r="D347" s="26"/>
      <c r="E347" s="26"/>
      <c r="F347" s="26"/>
      <c r="G347" s="26"/>
      <c r="H347" s="5"/>
    </row>
    <row r="348" spans="2:8" ht="14.25" customHeight="1">
      <c r="C348" s="245"/>
      <c r="D348" s="26"/>
      <c r="E348" s="26"/>
      <c r="F348" s="26"/>
      <c r="G348" s="26"/>
      <c r="H348" s="5"/>
    </row>
    <row r="349" spans="2:8" ht="14.25" customHeight="1">
      <c r="B349" s="38"/>
      <c r="C349" s="423"/>
      <c r="D349" s="39"/>
      <c r="E349" s="39"/>
      <c r="F349" s="39"/>
      <c r="G349" s="39"/>
      <c r="H349" s="5"/>
    </row>
    <row r="350" spans="2:8" ht="14.25" customHeight="1">
      <c r="C350" s="245"/>
      <c r="D350" s="26"/>
      <c r="E350" s="26"/>
      <c r="F350" s="26"/>
      <c r="G350" s="26"/>
      <c r="H350" s="5"/>
    </row>
    <row r="351" spans="2:8" ht="14.25" customHeight="1">
      <c r="C351" s="245"/>
      <c r="D351" s="26"/>
      <c r="E351" s="26"/>
      <c r="F351" s="26"/>
      <c r="G351" s="26"/>
      <c r="H351" s="5"/>
    </row>
    <row r="352" spans="2:8" ht="14.25" customHeight="1">
      <c r="C352" s="245"/>
      <c r="D352" s="26"/>
      <c r="E352" s="26"/>
      <c r="F352" s="26"/>
      <c r="G352" s="26"/>
      <c r="H352" s="5"/>
    </row>
    <row r="353" spans="2:46" ht="14.25" customHeight="1">
      <c r="C353" s="245"/>
      <c r="D353" s="26"/>
      <c r="E353" s="26"/>
      <c r="F353" s="26"/>
      <c r="G353" s="26"/>
      <c r="H353" s="5"/>
    </row>
    <row r="354" spans="2:46" ht="14.25" customHeight="1">
      <c r="C354" s="245"/>
      <c r="D354" s="26"/>
      <c r="E354" s="26"/>
      <c r="F354" s="26"/>
      <c r="G354" s="26"/>
      <c r="H354" s="5"/>
    </row>
    <row r="355" spans="2:46" ht="14.25" customHeight="1">
      <c r="C355" s="245"/>
      <c r="D355" s="26"/>
      <c r="E355" s="26"/>
      <c r="F355" s="26"/>
      <c r="G355" s="26"/>
      <c r="H355" s="5"/>
    </row>
    <row r="356" spans="2:46" ht="14.25" customHeight="1">
      <c r="C356" s="245"/>
      <c r="D356" s="26"/>
      <c r="E356" s="26"/>
      <c r="F356" s="26"/>
      <c r="G356" s="26"/>
      <c r="H356" s="5"/>
    </row>
    <row r="357" spans="2:46" ht="14.25" customHeight="1">
      <c r="C357" s="245"/>
      <c r="D357" s="26"/>
      <c r="E357" s="26"/>
      <c r="F357" s="26"/>
      <c r="G357" s="26"/>
      <c r="H357" s="5"/>
    </row>
    <row r="358" spans="2:46" ht="14.25" customHeight="1">
      <c r="C358" s="245"/>
      <c r="D358" s="26"/>
      <c r="E358" s="26"/>
      <c r="F358" s="26"/>
      <c r="G358" s="26"/>
      <c r="H358" s="5"/>
    </row>
    <row r="359" spans="2:46" ht="14.25" customHeight="1">
      <c r="C359" s="245"/>
      <c r="D359" s="26"/>
      <c r="E359" s="26"/>
      <c r="F359" s="26"/>
      <c r="G359" s="26"/>
      <c r="H359" s="5"/>
    </row>
    <row r="360" spans="2:46" ht="14.25" customHeight="1">
      <c r="C360" s="245"/>
      <c r="D360" s="26"/>
      <c r="E360" s="26"/>
      <c r="F360" s="26"/>
      <c r="G360" s="26"/>
      <c r="H360" s="5"/>
    </row>
    <row r="361" spans="2:46" ht="14.25" customHeight="1">
      <c r="C361" s="245"/>
      <c r="D361" s="26"/>
      <c r="E361" s="26"/>
      <c r="F361" s="26"/>
      <c r="G361" s="26"/>
      <c r="H361" s="5"/>
    </row>
    <row r="362" spans="2:46" ht="14.25" customHeight="1">
      <c r="C362" s="245"/>
      <c r="D362" s="26"/>
      <c r="E362" s="26"/>
      <c r="F362" s="26"/>
      <c r="G362" s="26"/>
      <c r="H362" s="5"/>
    </row>
    <row r="363" spans="2:46" ht="14.25" customHeight="1">
      <c r="C363" s="245"/>
      <c r="D363" s="26"/>
      <c r="E363" s="26"/>
      <c r="F363" s="26"/>
      <c r="G363" s="26"/>
      <c r="H363" s="5"/>
    </row>
    <row r="364" spans="2:46" ht="14.25" customHeight="1">
      <c r="C364" s="245"/>
      <c r="D364" s="26"/>
      <c r="E364" s="26"/>
      <c r="F364" s="26"/>
      <c r="G364" s="26"/>
      <c r="H364" s="5"/>
    </row>
    <row r="365" spans="2:46" ht="14.25" customHeight="1">
      <c r="C365" s="245"/>
      <c r="D365" s="26"/>
      <c r="E365" s="26"/>
      <c r="F365" s="26"/>
      <c r="G365" s="26"/>
      <c r="H365" s="5"/>
    </row>
    <row r="366" spans="2:46" ht="14.25" customHeight="1">
      <c r="C366" s="245"/>
      <c r="D366" s="26"/>
      <c r="E366" s="26"/>
      <c r="F366" s="26"/>
      <c r="G366" s="26"/>
      <c r="H366" s="5"/>
    </row>
    <row r="367" spans="2:46" ht="14.25" customHeight="1">
      <c r="C367" s="245"/>
      <c r="D367" s="26"/>
      <c r="E367" s="26"/>
      <c r="F367" s="26"/>
      <c r="G367" s="26"/>
      <c r="H367" s="5"/>
    </row>
    <row r="368" spans="2:46" s="8" customFormat="1">
      <c r="B368" s="451" t="str">
        <f>TITLE!$C$12</f>
        <v>Полотна каркасно-щитові: ІДЕЯ-ЛОФТ</v>
      </c>
      <c r="C368" s="451"/>
      <c r="D368" s="463"/>
      <c r="E368" s="463"/>
      <c r="F368" s="118"/>
      <c r="G368" s="118"/>
      <c r="H368" s="118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456" t="str">
        <f>IF($C$1="ENG",CONCATENATE("up to: ",B291),CONCATENATE("вгору до: ",B291))</f>
        <v>вгору до: Полотна каркасно-щитові: ІДЕЯ</v>
      </c>
      <c r="U368" s="456"/>
      <c r="V368" s="456"/>
      <c r="W368" s="456"/>
      <c r="AN368" s="280"/>
      <c r="AO368" s="280"/>
      <c r="AP368" s="280"/>
      <c r="AQ368" s="280"/>
      <c r="AR368" s="280"/>
      <c r="AS368" s="280"/>
      <c r="AT368" s="280"/>
    </row>
    <row r="369" spans="1:46" s="8" customFormat="1" ht="5.0999999999999996" customHeight="1">
      <c r="B369" s="117"/>
      <c r="C369" s="420"/>
      <c r="D369" s="9"/>
      <c r="E369" s="9"/>
      <c r="F369" s="10"/>
      <c r="G369" s="10"/>
      <c r="H369" s="10"/>
      <c r="T369" s="115"/>
      <c r="U369" s="115"/>
      <c r="V369" s="115"/>
      <c r="W369" s="115"/>
      <c r="AN369" s="280"/>
      <c r="AO369" s="280"/>
      <c r="AP369" s="280"/>
      <c r="AQ369" s="280"/>
      <c r="AR369" s="280"/>
      <c r="AS369" s="280"/>
      <c r="AT369" s="280"/>
    </row>
    <row r="370" spans="1:46" ht="12.75" customHeight="1">
      <c r="A370" s="8"/>
      <c r="B370" s="452" t="str">
        <f>IF($C$1="ENG","model","модель")</f>
        <v>модель</v>
      </c>
      <c r="C370" s="122" t="str">
        <f>IF($C$1="ENG","cover:","покриття:")</f>
        <v>покриття:</v>
      </c>
      <c r="D370" s="458" t="str">
        <f>IF($C$1="ENG","LOFT","LOFT")</f>
        <v>LOFT</v>
      </c>
      <c r="E370" s="459"/>
      <c r="F370" s="328"/>
      <c r="G370" s="143"/>
      <c r="H370" s="46"/>
      <c r="I370" s="46"/>
      <c r="J370" s="46"/>
      <c r="K370" s="46"/>
      <c r="L370" s="100"/>
      <c r="M370" s="11"/>
      <c r="P370" s="100"/>
      <c r="Q370" s="11"/>
    </row>
    <row r="371" spans="1:46" ht="12.75" customHeight="1">
      <c r="A371" s="8"/>
      <c r="B371" s="453"/>
      <c r="C371" s="123" t="str">
        <f>IF($C$1="ENG","filling:","заповнення:")</f>
        <v>заповнення:</v>
      </c>
      <c r="D371" s="460" t="str">
        <f>IF($C$1="ENG","honeycomb core ","сотове заповнення")</f>
        <v>сотове заповнення</v>
      </c>
      <c r="E371" s="461"/>
      <c r="F371" s="143"/>
      <c r="G371" s="143"/>
      <c r="H371" s="48"/>
      <c r="I371" s="48"/>
      <c r="J371" s="146"/>
      <c r="K371" s="146"/>
      <c r="L371" s="100"/>
      <c r="M371" s="11"/>
      <c r="P371" s="100"/>
      <c r="Q371" s="11"/>
    </row>
    <row r="372" spans="1:46" ht="12.75" customHeight="1">
      <c r="A372" s="8"/>
      <c r="B372" s="454"/>
      <c r="C372" s="124"/>
      <c r="D372" s="449"/>
      <c r="E372" s="450"/>
      <c r="F372" s="143"/>
      <c r="G372" s="143"/>
      <c r="H372" s="48"/>
      <c r="I372" s="48"/>
      <c r="J372" s="47"/>
      <c r="K372" s="131"/>
      <c r="L372" s="100"/>
      <c r="M372" s="11"/>
      <c r="P372" s="100"/>
      <c r="Q372" s="11"/>
    </row>
    <row r="373" spans="1:46" ht="35.1" customHeight="1">
      <c r="A373" s="8"/>
      <c r="B373" s="49" t="s">
        <v>26</v>
      </c>
      <c r="C373" s="327"/>
      <c r="D373" s="51">
        <f>IF(AC373="","",(1-$W$2)*(AC373/1.2))</f>
        <v>3225</v>
      </c>
      <c r="E373" s="85">
        <f>IF($W$5=0.2,D373*1.2,D373)/$W$4</f>
        <v>3870</v>
      </c>
      <c r="F373" s="143"/>
      <c r="G373" s="143"/>
      <c r="H373" s="48"/>
      <c r="I373" s="143"/>
      <c r="J373" s="28"/>
      <c r="K373" s="59"/>
      <c r="L373" s="142"/>
      <c r="M373" s="20"/>
      <c r="N373" s="104"/>
      <c r="O373" s="20"/>
      <c r="P373" s="142"/>
      <c r="Q373" s="20"/>
      <c r="R373" s="104"/>
      <c r="S373" s="20"/>
      <c r="T373" s="104"/>
      <c r="V373" s="104"/>
      <c r="W373" s="20"/>
      <c r="X373" s="22"/>
      <c r="Y373" s="22"/>
      <c r="Z373" s="22"/>
      <c r="AA373" s="22"/>
      <c r="AB373" s="22"/>
      <c r="AC373" s="332">
        <v>3870</v>
      </c>
      <c r="AD373" s="289">
        <v>3870</v>
      </c>
      <c r="AE373" s="289">
        <f t="shared" ref="AE373" si="37">AD373/AC373-1</f>
        <v>0</v>
      </c>
      <c r="AF373" s="289"/>
      <c r="AG373" s="289"/>
      <c r="AH373" s="289"/>
      <c r="AI373" s="289"/>
      <c r="AJ373" s="289"/>
      <c r="AK373" s="289"/>
      <c r="AL373" s="289"/>
    </row>
    <row r="374" spans="1:46">
      <c r="C374" s="245"/>
      <c r="D374" s="26"/>
      <c r="E374" s="57"/>
      <c r="F374" s="26"/>
      <c r="G374" s="57"/>
      <c r="H374" s="60"/>
      <c r="I374" s="143"/>
      <c r="J374" s="48"/>
      <c r="K374" s="143"/>
      <c r="L374" s="48"/>
      <c r="P374" s="48"/>
    </row>
    <row r="375" spans="1:46">
      <c r="B375" s="212" t="str">
        <f>IF($C$1="ENG","For additonal charge:","Послуги за додаткову плату:")</f>
        <v>Послуги за додаткову плату:</v>
      </c>
      <c r="C375" s="421"/>
      <c r="D375" s="213"/>
      <c r="E375" s="214"/>
      <c r="F375" s="26"/>
      <c r="G375" s="26"/>
      <c r="H375" s="10"/>
      <c r="I375" s="84"/>
      <c r="K375" s="20"/>
    </row>
    <row r="376" spans="1:46" ht="5.0999999999999996" customHeight="1">
      <c r="B376" s="27"/>
      <c r="C376" s="245"/>
      <c r="D376" s="26"/>
      <c r="E376" s="57"/>
      <c r="F376" s="26"/>
      <c r="G376" s="26"/>
      <c r="H376" s="10"/>
      <c r="I376" s="8"/>
      <c r="K376" s="20"/>
    </row>
    <row r="377" spans="1:46">
      <c r="B377" s="447" t="str">
        <f>IF($C$1="ENG","Ventilation sleeves (1 row)","вентиляційні віддушини (1ряд)")</f>
        <v>вентиляційні віддушини (1ряд)</v>
      </c>
      <c r="C377" s="448"/>
      <c r="D377" s="410">
        <f>IF(AC377="","",(1-$W$2)*(AC377/1.2))</f>
        <v>208.33333333333334</v>
      </c>
      <c r="E377" s="64">
        <f>IF($W$5=0.2,D377*1.2,D377)/$W$4</f>
        <v>250</v>
      </c>
      <c r="F377" s="26"/>
      <c r="G377" s="26"/>
      <c r="AC377" s="298">
        <v>250</v>
      </c>
      <c r="AD377" s="289">
        <v>250</v>
      </c>
      <c r="AE377" s="289">
        <f>AD377/AC377-1</f>
        <v>0</v>
      </c>
      <c r="AF377" s="289"/>
      <c r="AG377" s="289"/>
      <c r="AH377" s="289"/>
      <c r="AI377" s="289"/>
      <c r="AJ377" s="289"/>
      <c r="AK377" s="289"/>
      <c r="AL377" s="289"/>
    </row>
    <row r="378" spans="1:46">
      <c r="B378" s="447" t="str">
        <f>IF($C$1="ENG","Ventilation cut","вентиляційний підріз")</f>
        <v>вентиляційний підріз</v>
      </c>
      <c r="C378" s="448"/>
      <c r="D378" s="405">
        <f>IF(AC378="","",(1-$W$2)*(AC378/1.2))</f>
        <v>141.66666666666669</v>
      </c>
      <c r="E378" s="66">
        <f>IF($W$5=0.2,D378*1.2,D378)/$W$4</f>
        <v>170.00000000000003</v>
      </c>
      <c r="F378" s="26"/>
      <c r="G378" s="26"/>
      <c r="I378" s="59"/>
      <c r="J378" s="28"/>
      <c r="AC378" s="298">
        <v>170</v>
      </c>
      <c r="AD378" s="289">
        <v>170</v>
      </c>
      <c r="AE378" s="289">
        <f t="shared" ref="AE378:AE389" si="38">AD378/AC378-1</f>
        <v>0</v>
      </c>
      <c r="AF378" s="289"/>
      <c r="AG378" s="289"/>
      <c r="AH378" s="289"/>
      <c r="AI378" s="289"/>
      <c r="AJ378" s="289"/>
      <c r="AK378" s="289"/>
      <c r="AL378" s="289"/>
    </row>
    <row r="379" spans="1:46">
      <c r="B379" s="447" t="str">
        <f>IF($C$1="ENG","third door hindge","третя завіса")</f>
        <v>третя завіса</v>
      </c>
      <c r="C379" s="448"/>
      <c r="D379" s="405">
        <f>IF(AC379="","",(1-$W$2)*(AC379/1.2))</f>
        <v>66.666666666666671</v>
      </c>
      <c r="E379" s="66">
        <f>IF($W$5=0.2,D379*1.2,D379)/$W$4</f>
        <v>80</v>
      </c>
      <c r="F379" s="26"/>
      <c r="G379" s="26"/>
      <c r="AC379" s="298">
        <v>80</v>
      </c>
      <c r="AD379" s="289">
        <v>80</v>
      </c>
      <c r="AE379" s="289">
        <f t="shared" si="38"/>
        <v>0</v>
      </c>
      <c r="AF379" s="289"/>
      <c r="AG379" s="289"/>
      <c r="AH379" s="289"/>
      <c r="AI379" s="289"/>
      <c r="AJ379" s="289"/>
      <c r="AK379" s="289"/>
      <c r="AL379" s="289"/>
    </row>
    <row r="380" spans="1:46">
      <c r="B380" s="445" t="str">
        <f>IF($C$1="ENG","door lock Soft","замок Soft")</f>
        <v>замок Soft</v>
      </c>
      <c r="C380" s="446"/>
      <c r="D380" s="407">
        <f t="shared" ref="D380:D389" si="39">IF(AC380="","",(1-$W$2)*(AC380/1.2))</f>
        <v>458.33333333333337</v>
      </c>
      <c r="E380" s="93">
        <f t="shared" ref="E380:E387" si="40">IF($W$5=0.2,D380*1.2,D380)/$W$4</f>
        <v>550</v>
      </c>
      <c r="F380" s="26"/>
      <c r="G380" s="26"/>
      <c r="H380" s="5"/>
      <c r="AC380" s="298">
        <v>550</v>
      </c>
      <c r="AD380" s="289">
        <v>550</v>
      </c>
      <c r="AE380" s="289">
        <f t="shared" si="38"/>
        <v>0</v>
      </c>
      <c r="AF380" s="289"/>
      <c r="AG380" s="289"/>
      <c r="AH380" s="289"/>
      <c r="AI380" s="289"/>
      <c r="AJ380" s="289"/>
      <c r="AK380" s="289"/>
      <c r="AL380" s="289"/>
    </row>
    <row r="381" spans="1:46">
      <c r="B381" s="445" t="str">
        <f>IF($C$1="ENG","door lock Soft black","замок Soft чорн.")</f>
        <v>замок Soft чорн.</v>
      </c>
      <c r="C381" s="446"/>
      <c r="D381" s="407">
        <f t="shared" ref="D381" si="41">IF(AC381="","",(1-$W$2)*(AC381/1.2))</f>
        <v>566.66666666666674</v>
      </c>
      <c r="E381" s="93">
        <f t="shared" ref="E381" si="42">IF($W$5=0.2,D381*1.2,D381)/$W$4</f>
        <v>680.00000000000011</v>
      </c>
      <c r="F381" s="26"/>
      <c r="G381" s="26"/>
      <c r="H381" s="5"/>
      <c r="AC381" s="298">
        <v>680</v>
      </c>
      <c r="AD381" s="289"/>
      <c r="AE381" s="289"/>
      <c r="AF381" s="289"/>
      <c r="AG381" s="289"/>
      <c r="AH381" s="289"/>
      <c r="AI381" s="289"/>
      <c r="AJ381" s="289"/>
      <c r="AK381" s="289"/>
      <c r="AL381" s="289"/>
    </row>
    <row r="382" spans="1:46">
      <c r="B382" s="445" t="str">
        <f>IF($C$1="ENG","door lock Magnet","замок Magnet")</f>
        <v>замок Magnet</v>
      </c>
      <c r="C382" s="446"/>
      <c r="D382" s="407">
        <f t="shared" si="39"/>
        <v>666.66666666666674</v>
      </c>
      <c r="E382" s="93">
        <f t="shared" si="40"/>
        <v>800.00000000000011</v>
      </c>
      <c r="F382" s="26"/>
      <c r="G382" s="26"/>
      <c r="H382" s="5"/>
      <c r="AC382" s="298">
        <v>800</v>
      </c>
      <c r="AD382" s="289">
        <v>800</v>
      </c>
      <c r="AE382" s="289">
        <f t="shared" si="38"/>
        <v>0</v>
      </c>
      <c r="AF382" s="289"/>
      <c r="AG382" s="289"/>
      <c r="AH382" s="289"/>
      <c r="AI382" s="289"/>
      <c r="AJ382" s="289"/>
      <c r="AK382" s="289"/>
      <c r="AL382" s="289"/>
    </row>
    <row r="383" spans="1:46">
      <c r="B383" s="445" t="s">
        <v>76</v>
      </c>
      <c r="C383" s="446"/>
      <c r="D383" s="407">
        <f t="shared" ref="D383" si="43">IF(AC383="","",(1-$W$2)*(AC383/1.2))</f>
        <v>833.33333333333337</v>
      </c>
      <c r="E383" s="93">
        <f t="shared" ref="E383" si="44">IF($W$5=0.2,D383*1.2,D383)/$W$4</f>
        <v>1000</v>
      </c>
      <c r="F383" s="26"/>
      <c r="G383" s="26"/>
      <c r="H383" s="5"/>
      <c r="AC383" s="298">
        <v>1000</v>
      </c>
      <c r="AD383" s="289"/>
      <c r="AE383" s="289"/>
      <c r="AF383" s="289"/>
      <c r="AG383" s="289"/>
      <c r="AH383" s="289"/>
      <c r="AI383" s="289"/>
      <c r="AJ383" s="289"/>
      <c r="AK383" s="289"/>
      <c r="AL383" s="289"/>
    </row>
    <row r="384" spans="1:46">
      <c r="B384" s="445" t="str">
        <f>IF($C$1="ENG","door handle-lock (for sliding doors)","ручка-замок (для дверей купе)")</f>
        <v>ручка-замок (для дверей купе)</v>
      </c>
      <c r="C384" s="446"/>
      <c r="D384" s="405">
        <f t="shared" si="39"/>
        <v>466.66666666666669</v>
      </c>
      <c r="E384" s="66">
        <f t="shared" si="40"/>
        <v>560</v>
      </c>
      <c r="F384" s="26"/>
      <c r="G384" s="26"/>
      <c r="I384" s="30"/>
      <c r="K384" s="30"/>
      <c r="AC384" s="298">
        <v>560</v>
      </c>
      <c r="AD384" s="289">
        <v>560</v>
      </c>
      <c r="AE384" s="289">
        <f t="shared" si="38"/>
        <v>0</v>
      </c>
      <c r="AF384" s="289"/>
      <c r="AG384" s="289"/>
      <c r="AH384" s="289"/>
      <c r="AI384" s="289"/>
      <c r="AJ384" s="289"/>
      <c r="AK384" s="289"/>
      <c r="AL384" s="289"/>
    </row>
    <row r="385" spans="2:38">
      <c r="B385" s="445" t="str">
        <f>IF($C$1="ENG","cylinder incert","циліндр несиметричний")</f>
        <v>циліндр несиметричний</v>
      </c>
      <c r="C385" s="446"/>
      <c r="D385" s="405">
        <f t="shared" si="39"/>
        <v>325</v>
      </c>
      <c r="E385" s="66">
        <f t="shared" si="40"/>
        <v>390</v>
      </c>
      <c r="F385" s="26"/>
      <c r="G385" s="26"/>
      <c r="AC385" s="298">
        <v>390</v>
      </c>
      <c r="AD385" s="289">
        <v>390</v>
      </c>
      <c r="AE385" s="289">
        <f t="shared" si="38"/>
        <v>0</v>
      </c>
      <c r="AF385" s="289"/>
      <c r="AG385" s="289"/>
      <c r="AH385" s="289"/>
      <c r="AI385" s="289"/>
      <c r="AJ385" s="289"/>
      <c r="AK385" s="289"/>
      <c r="AL385" s="289"/>
    </row>
    <row r="386" spans="2:38">
      <c r="B386" s="445" t="str">
        <f>IF($C$1="ENG","door hindge Prestige (1 unit)","завіса Prestige (1 шт)")</f>
        <v>завіса Prestige (1 шт)</v>
      </c>
      <c r="C386" s="446"/>
      <c r="D386" s="408">
        <f t="shared" si="39"/>
        <v>216.66666666666669</v>
      </c>
      <c r="E386" s="66">
        <f t="shared" si="40"/>
        <v>260</v>
      </c>
      <c r="F386" s="26"/>
      <c r="G386" s="26"/>
      <c r="AC386" s="298">
        <v>260</v>
      </c>
      <c r="AD386" s="289">
        <v>260</v>
      </c>
      <c r="AE386" s="289">
        <f t="shared" si="38"/>
        <v>0</v>
      </c>
      <c r="AF386" s="289"/>
      <c r="AG386" s="289"/>
      <c r="AH386" s="289"/>
      <c r="AI386" s="289"/>
      <c r="AJ386" s="289"/>
      <c r="AK386" s="289"/>
      <c r="AL386" s="289"/>
    </row>
    <row r="387" spans="2:38">
      <c r="B387" s="445" t="str">
        <f>IF($C$1="ENG","door hinge caps (1 set)","накладка на завіси (1 к-т)")</f>
        <v>накладка на завіси (1 к-т)</v>
      </c>
      <c r="C387" s="446"/>
      <c r="D387" s="408">
        <f t="shared" si="39"/>
        <v>66.666666666666671</v>
      </c>
      <c r="E387" s="66">
        <f t="shared" si="40"/>
        <v>80</v>
      </c>
      <c r="F387" s="26"/>
      <c r="G387" s="26"/>
      <c r="AC387" s="298">
        <v>80</v>
      </c>
      <c r="AD387" s="289">
        <v>80</v>
      </c>
      <c r="AE387" s="289">
        <f t="shared" si="38"/>
        <v>0</v>
      </c>
      <c r="AF387" s="289"/>
      <c r="AG387" s="289"/>
      <c r="AH387" s="289"/>
      <c r="AI387" s="289"/>
      <c r="AJ387" s="289"/>
      <c r="AK387" s="289"/>
      <c r="AL387" s="289"/>
    </row>
    <row r="388" spans="2:38">
      <c r="B388" s="445" t="str">
        <f>IF($C$1="ENG","door handle","дверна ручка")</f>
        <v>дверна ручка</v>
      </c>
      <c r="C388" s="446"/>
      <c r="D388" s="405">
        <f t="shared" si="39"/>
        <v>0</v>
      </c>
      <c r="E388" s="136" t="str">
        <f>IF($C$1="ENG","see Handles Price","див. Таблицю Ручки")</f>
        <v>див. Таблицю Ручки</v>
      </c>
      <c r="F388" s="26"/>
      <c r="G388" s="26"/>
      <c r="AC388" s="298">
        <v>0</v>
      </c>
      <c r="AD388" s="289">
        <f t="shared" ref="AD388" si="45">AC388/100*13+AC388</f>
        <v>0</v>
      </c>
      <c r="AE388" s="289" t="e">
        <f t="shared" si="38"/>
        <v>#DIV/0!</v>
      </c>
      <c r="AF388" s="289"/>
      <c r="AG388" s="289"/>
      <c r="AH388" s="289"/>
      <c r="AI388" s="289"/>
      <c r="AJ388" s="289"/>
      <c r="AK388" s="289"/>
      <c r="AL388" s="289"/>
    </row>
    <row r="389" spans="2:38">
      <c r="B389" s="445" t="str">
        <f>IF($C$1="ENG","perforated chipboard","ДСП трубчасте")</f>
        <v>ДСП трубчасте</v>
      </c>
      <c r="C389" s="446"/>
      <c r="D389" s="409">
        <f t="shared" si="39"/>
        <v>1083.3333333333335</v>
      </c>
      <c r="E389" s="69">
        <f>IF($W$5=0.2,D389*1.2,D389)/$W$4</f>
        <v>1300.0000000000002</v>
      </c>
      <c r="F389" s="26"/>
      <c r="G389" s="26"/>
      <c r="AC389" s="298">
        <v>1300</v>
      </c>
      <c r="AD389" s="289">
        <v>1300</v>
      </c>
      <c r="AE389" s="289">
        <f t="shared" si="38"/>
        <v>0</v>
      </c>
      <c r="AF389" s="289"/>
      <c r="AG389" s="289"/>
      <c r="AH389" s="289"/>
      <c r="AI389" s="289"/>
      <c r="AJ389" s="289"/>
      <c r="AK389" s="289"/>
      <c r="AL389" s="289"/>
    </row>
    <row r="390" spans="2:38" ht="14.25" customHeight="1">
      <c r="C390" s="245"/>
      <c r="D390" s="26"/>
      <c r="E390" s="26"/>
      <c r="F390" s="26"/>
      <c r="G390" s="26"/>
      <c r="H390" s="5"/>
      <c r="T390" s="488" t="str">
        <f>IF($C$1="ENG",CONCATENATE("down to: ",B444),CONCATENATE("вниз до: ",B444))</f>
        <v>вниз до: Полотна збірні: ЛАДА A</v>
      </c>
      <c r="U390" s="488"/>
      <c r="V390" s="488"/>
      <c r="W390" s="488"/>
    </row>
    <row r="391" spans="2:38" ht="14.25" customHeight="1">
      <c r="C391" s="245"/>
      <c r="D391" s="26"/>
      <c r="E391" s="26"/>
      <c r="F391" s="26"/>
      <c r="G391" s="26"/>
      <c r="H391" s="5"/>
    </row>
    <row r="392" spans="2:38" ht="14.25" customHeight="1">
      <c r="C392" s="245"/>
      <c r="D392" s="26"/>
      <c r="E392" s="26"/>
      <c r="F392" s="26"/>
      <c r="G392" s="26"/>
      <c r="H392" s="5"/>
    </row>
    <row r="393" spans="2:38" ht="14.25" customHeight="1">
      <c r="C393" s="245"/>
      <c r="D393" s="26"/>
      <c r="E393" s="26"/>
      <c r="F393" s="26"/>
      <c r="G393" s="26"/>
      <c r="H393" s="5"/>
    </row>
    <row r="394" spans="2:38" ht="14.25" customHeight="1">
      <c r="C394" s="245"/>
      <c r="D394" s="26"/>
      <c r="E394" s="26"/>
      <c r="F394" s="26"/>
      <c r="G394" s="26"/>
      <c r="H394" s="5"/>
    </row>
    <row r="395" spans="2:38" ht="14.25" customHeight="1">
      <c r="C395" s="245"/>
      <c r="D395" s="26"/>
      <c r="E395" s="26"/>
      <c r="F395" s="26"/>
      <c r="G395" s="26"/>
      <c r="H395" s="5"/>
    </row>
    <row r="396" spans="2:38" ht="14.25" customHeight="1">
      <c r="C396" s="245"/>
      <c r="D396" s="26"/>
      <c r="E396" s="26"/>
      <c r="F396" s="26"/>
      <c r="G396" s="26"/>
      <c r="H396" s="5"/>
    </row>
    <row r="397" spans="2:38" ht="14.25" customHeight="1">
      <c r="C397" s="245"/>
      <c r="D397" s="26"/>
      <c r="E397" s="26"/>
      <c r="F397" s="26"/>
      <c r="G397" s="26"/>
      <c r="H397" s="5"/>
    </row>
    <row r="398" spans="2:38" ht="14.25" customHeight="1">
      <c r="C398" s="245"/>
      <c r="D398" s="26"/>
      <c r="E398" s="26"/>
      <c r="F398" s="26"/>
      <c r="G398" s="26"/>
      <c r="H398" s="5"/>
    </row>
    <row r="399" spans="2:38" ht="14.25" customHeight="1">
      <c r="C399" s="245"/>
      <c r="D399" s="26"/>
      <c r="E399" s="26"/>
      <c r="F399" s="26"/>
      <c r="G399" s="26"/>
      <c r="H399" s="5"/>
    </row>
    <row r="400" spans="2:38" ht="14.25" customHeight="1">
      <c r="C400" s="245"/>
      <c r="D400" s="26"/>
      <c r="E400" s="26"/>
      <c r="F400" s="26"/>
      <c r="G400" s="26"/>
      <c r="H400" s="5"/>
    </row>
    <row r="401" spans="1:47" ht="14.25" customHeight="1">
      <c r="C401" s="245"/>
      <c r="D401" s="26"/>
      <c r="E401" s="26"/>
      <c r="F401" s="26"/>
      <c r="G401" s="26"/>
      <c r="H401" s="5"/>
    </row>
    <row r="402" spans="1:47" s="8" customFormat="1">
      <c r="B402" s="451" t="str">
        <f>TITLE!C13</f>
        <v>Полотна збірні: КЛАСІК</v>
      </c>
      <c r="C402" s="451"/>
      <c r="D402" s="118"/>
      <c r="E402" s="118"/>
      <c r="F402" s="118"/>
      <c r="G402" s="118"/>
      <c r="H402" s="455"/>
      <c r="I402" s="455"/>
      <c r="J402" s="121"/>
      <c r="K402" s="121"/>
      <c r="L402" s="121"/>
      <c r="M402" s="121"/>
      <c r="N402" s="121"/>
      <c r="O402" s="121"/>
      <c r="P402" s="121"/>
      <c r="Q402" s="121"/>
      <c r="R402" s="121"/>
      <c r="S402" s="456" t="str">
        <f>IF($C$1="ENG",CONCATENATE("up to: ",B330),CONCATENATE("вгору до: ",B330))</f>
        <v xml:space="preserve">вгору до: </v>
      </c>
      <c r="T402" s="457"/>
      <c r="U402" s="457"/>
      <c r="V402" s="457"/>
      <c r="W402" s="457"/>
      <c r="AN402" s="280"/>
      <c r="AO402" s="280"/>
      <c r="AP402" s="280"/>
      <c r="AQ402" s="280"/>
      <c r="AR402" s="280"/>
      <c r="AS402" s="280"/>
      <c r="AT402" s="280"/>
    </row>
    <row r="403" spans="1:47" s="8" customFormat="1" ht="5.0999999999999996" customHeight="1">
      <c r="B403" s="117"/>
      <c r="C403" s="420"/>
      <c r="D403" s="9"/>
      <c r="E403" s="9"/>
      <c r="F403" s="9"/>
      <c r="G403" s="9"/>
      <c r="H403" s="120"/>
      <c r="S403" s="414"/>
      <c r="T403" s="414"/>
      <c r="U403" s="414"/>
      <c r="V403" s="414"/>
      <c r="AM403" s="280"/>
      <c r="AN403" s="280"/>
      <c r="AO403" s="280"/>
      <c r="AP403" s="280"/>
      <c r="AQ403" s="280"/>
      <c r="AR403" s="280"/>
      <c r="AS403" s="280"/>
    </row>
    <row r="404" spans="1:47" s="8" customFormat="1" ht="12.75" customHeight="1">
      <c r="B404" s="452" t="str">
        <f>IF($C$1="ENG","model","модель")</f>
        <v>модель</v>
      </c>
      <c r="C404" s="122" t="str">
        <f>IF($C$1="ENG","cover:","покриття:")</f>
        <v>покриття:</v>
      </c>
      <c r="D404" s="458" t="str">
        <f>IF($C$1="ENG","UNI-MAT","UNI-MAT")</f>
        <v>UNI-MAT</v>
      </c>
      <c r="E404" s="459"/>
      <c r="F404" s="458" t="str">
        <f>IF($C$1="ENG","RESIST","RESIST")</f>
        <v>RESIST</v>
      </c>
      <c r="G404" s="459"/>
      <c r="H404" s="1"/>
      <c r="T404" s="414"/>
      <c r="U404" s="414"/>
      <c r="V404" s="414"/>
      <c r="W404" s="414"/>
      <c r="AN404" s="280"/>
      <c r="AO404" s="280"/>
      <c r="AP404" s="280"/>
      <c r="AQ404" s="280"/>
      <c r="AR404" s="280"/>
      <c r="AS404" s="280"/>
      <c r="AT404" s="280"/>
    </row>
    <row r="405" spans="1:47" s="8" customFormat="1" ht="24.95" customHeight="1">
      <c r="B405" s="453"/>
      <c r="C405" s="123" t="str">
        <f>IF($C$1="ENG","filling:","заповнення:")</f>
        <v>заповнення:</v>
      </c>
      <c r="D405" s="460" t="str">
        <f>IF($C$1="ENG","softwood","клеєний сосновий брус")</f>
        <v>клеєний сосновий брус</v>
      </c>
      <c r="E405" s="461"/>
      <c r="F405" s="460" t="str">
        <f>IF($C$1="ENG","softwood","клеєний сосновий брус")</f>
        <v>клеєний сосновий брус</v>
      </c>
      <c r="G405" s="461"/>
      <c r="H405" s="1"/>
      <c r="I405" s="1"/>
      <c r="U405" s="414"/>
      <c r="V405" s="414"/>
      <c r="W405" s="414"/>
      <c r="X405" s="414"/>
      <c r="AE405" s="383" t="e">
        <f>AD407/AC407-1</f>
        <v>#DIV/0!</v>
      </c>
      <c r="AF405" s="383">
        <f>AE407/AD407-1</f>
        <v>3.9886039886039892E-2</v>
      </c>
      <c r="AG405" s="383">
        <f>AF407/AE407-1</f>
        <v>0.10273972602739723</v>
      </c>
      <c r="AH405" s="383">
        <f>AG407/AF407-1</f>
        <v>5.2173913043478182E-2</v>
      </c>
      <c r="AO405" s="280"/>
      <c r="AP405" s="280"/>
      <c r="AQ405" s="280"/>
      <c r="AR405" s="280"/>
      <c r="AS405" s="280"/>
      <c r="AT405" s="280"/>
      <c r="AU405" s="280"/>
    </row>
    <row r="406" spans="1:47" ht="12.75" customHeight="1">
      <c r="A406" s="8"/>
      <c r="B406" s="454"/>
      <c r="C406" s="124" t="str">
        <f>IF($C$1="ENG","glazing:","скління:")</f>
        <v>скління:</v>
      </c>
      <c r="D406" s="449" t="str">
        <f>IF($C$1="ENG","Satin","Сатин")</f>
        <v>Сатин</v>
      </c>
      <c r="E406" s="450"/>
      <c r="F406" s="449" t="str">
        <f>IF($C$1="ENG","Satin","Сатин")</f>
        <v>Сатин</v>
      </c>
      <c r="G406" s="450"/>
      <c r="AN406" s="1"/>
      <c r="AU406" s="30"/>
    </row>
    <row r="407" spans="1:47" ht="35.1" customHeight="1">
      <c r="A407" s="8"/>
      <c r="B407" s="16" t="s">
        <v>71</v>
      </c>
      <c r="C407" s="17"/>
      <c r="D407" s="18">
        <f>IF(AD407="","",(1-$W$2)*(AD407/1.2))</f>
        <v>5850</v>
      </c>
      <c r="E407" s="66">
        <f>IF($W$5=0.2,D407*1.2,D407)/$W$4</f>
        <v>7020</v>
      </c>
      <c r="F407" s="18">
        <f>IF(AE407="","",(1-$W$2)*(AE407/1.2))</f>
        <v>6083.3333333333339</v>
      </c>
      <c r="G407" s="66">
        <f>IF($W$5=0.2,F407*1.2,F407)/$W$4</f>
        <v>7300.0000000000009</v>
      </c>
      <c r="L407" s="104"/>
      <c r="M407" s="104"/>
      <c r="N407" s="104"/>
      <c r="O407" s="104"/>
      <c r="P407" s="104"/>
      <c r="Q407" s="104"/>
      <c r="R407" s="104"/>
      <c r="S407" s="104"/>
      <c r="U407" s="104"/>
      <c r="V407" s="20"/>
      <c r="W407" s="104"/>
      <c r="X407" s="20"/>
      <c r="Y407" s="104"/>
      <c r="Z407" s="104"/>
      <c r="AA407" s="104"/>
      <c r="AB407" s="104"/>
      <c r="AC407" s="332"/>
      <c r="AD407" s="391">
        <v>7020</v>
      </c>
      <c r="AE407" s="332">
        <v>7300</v>
      </c>
      <c r="AF407" s="332">
        <v>8050</v>
      </c>
      <c r="AG407" s="332">
        <v>8470</v>
      </c>
      <c r="AH407" s="289">
        <v>6230</v>
      </c>
      <c r="AI407" s="289" t="e">
        <f>AH407/AC407-1</f>
        <v>#DIV/0!</v>
      </c>
      <c r="AJ407" s="289">
        <v>7100</v>
      </c>
      <c r="AK407" s="289">
        <f>AJ407/AD407-1</f>
        <v>1.139601139601143E-2</v>
      </c>
      <c r="AL407" s="289">
        <v>7390</v>
      </c>
      <c r="AM407" s="289">
        <f>AL407/AE407-1</f>
        <v>1.2328767123287676E-2</v>
      </c>
      <c r="AN407" s="289">
        <v>8050</v>
      </c>
      <c r="AO407" s="289">
        <f>AN407/AF407-1</f>
        <v>0</v>
      </c>
      <c r="AP407" s="289">
        <v>8470</v>
      </c>
      <c r="AQ407" s="289">
        <f>AP407/AG407-1</f>
        <v>0</v>
      </c>
    </row>
    <row r="408" spans="1:47" ht="35.1" customHeight="1">
      <c r="A408" s="8"/>
      <c r="B408" s="16" t="s">
        <v>72</v>
      </c>
      <c r="C408" s="17"/>
      <c r="D408" s="18">
        <f>IF(AD408="","",(1-$W$2)*(AD408/1.2))</f>
        <v>5691.666666666667</v>
      </c>
      <c r="E408" s="66">
        <f>IF($W$5=0.2,D408*1.2,D408)/$W$4</f>
        <v>6830</v>
      </c>
      <c r="F408" s="18">
        <f>IF(AE408="","",(1-$W$2)*(AE408/1.2))</f>
        <v>5916.666666666667</v>
      </c>
      <c r="G408" s="66">
        <f>IF($W$5=0.2,F408*1.2,F408)/$W$4</f>
        <v>7100</v>
      </c>
      <c r="L408" s="104"/>
      <c r="M408" s="104"/>
      <c r="N408" s="104"/>
      <c r="O408" s="104"/>
      <c r="P408" s="104"/>
      <c r="Q408" s="104"/>
      <c r="R408" s="104"/>
      <c r="S408" s="104"/>
      <c r="U408" s="104"/>
      <c r="V408" s="20"/>
      <c r="W408" s="104"/>
      <c r="X408" s="20"/>
      <c r="Y408" s="104"/>
      <c r="Z408" s="104"/>
      <c r="AA408" s="104"/>
      <c r="AB408" s="104"/>
      <c r="AC408" s="332"/>
      <c r="AD408" s="391">
        <v>6830</v>
      </c>
      <c r="AE408" s="332">
        <v>7100</v>
      </c>
      <c r="AF408" s="332">
        <v>8050</v>
      </c>
      <c r="AG408" s="332">
        <v>8470</v>
      </c>
      <c r="AH408" s="289">
        <v>6230</v>
      </c>
      <c r="AI408" s="289" t="e">
        <f t="shared" ref="AI408:AI411" si="46">AH408/AC408-1</f>
        <v>#DIV/0!</v>
      </c>
      <c r="AJ408" s="289">
        <v>7100</v>
      </c>
      <c r="AK408" s="289">
        <f>AJ408/AD408-1</f>
        <v>3.9531478770131745E-2</v>
      </c>
      <c r="AL408" s="289">
        <v>7390</v>
      </c>
      <c r="AM408" s="289">
        <f t="shared" ref="AM408:AM411" si="47">AL408/AE408-1</f>
        <v>4.0845070422535157E-2</v>
      </c>
      <c r="AN408" s="289">
        <v>8050</v>
      </c>
      <c r="AO408" s="289">
        <f t="shared" ref="AO408:AO411" si="48">AN408/AF408-1</f>
        <v>0</v>
      </c>
      <c r="AP408" s="289">
        <v>8470</v>
      </c>
      <c r="AQ408" s="289">
        <f t="shared" ref="AQ408:AQ411" si="49">AP408/AG408-1</f>
        <v>0</v>
      </c>
    </row>
    <row r="409" spans="1:47" ht="35.1" customHeight="1">
      <c r="A409" s="8"/>
      <c r="B409" s="107" t="s">
        <v>73</v>
      </c>
      <c r="C409" s="322"/>
      <c r="D409" s="18">
        <f t="shared" ref="D409:D410" si="50">IF(AD409="","",(1-$W$2)*(AD409/1.2))</f>
        <v>6075</v>
      </c>
      <c r="E409" s="66">
        <f t="shared" ref="E409:E410" si="51">IF($W$5=0.2,D409*1.2,D409)/$W$4</f>
        <v>7290</v>
      </c>
      <c r="F409" s="18">
        <f t="shared" ref="F409:F410" si="52">IF(AE409="","",(1-$W$2)*(AE409/1.2))</f>
        <v>6316.666666666667</v>
      </c>
      <c r="G409" s="66">
        <f t="shared" ref="G409:G410" si="53">IF($W$5=0.2,F409*1.2,F409)/$W$4</f>
        <v>7580</v>
      </c>
      <c r="L409" s="104"/>
      <c r="M409" s="104"/>
      <c r="N409" s="104"/>
      <c r="O409" s="104"/>
      <c r="P409" s="104"/>
      <c r="Q409" s="104"/>
      <c r="R409" s="104"/>
      <c r="S409" s="104"/>
      <c r="U409" s="104"/>
      <c r="V409" s="20"/>
      <c r="W409" s="104"/>
      <c r="X409" s="20"/>
      <c r="Y409" s="104"/>
      <c r="Z409" s="104"/>
      <c r="AA409" s="104"/>
      <c r="AB409" s="104"/>
      <c r="AC409" s="332"/>
      <c r="AD409" s="391">
        <v>7290</v>
      </c>
      <c r="AE409" s="332">
        <v>7580</v>
      </c>
      <c r="AF409" s="332"/>
      <c r="AG409" s="332"/>
      <c r="AH409" s="289"/>
      <c r="AI409" s="289"/>
      <c r="AJ409" s="289"/>
      <c r="AK409" s="289"/>
      <c r="AL409" s="289"/>
      <c r="AM409" s="289"/>
      <c r="AN409" s="289"/>
      <c r="AO409" s="289"/>
      <c r="AP409" s="289"/>
      <c r="AQ409" s="289"/>
    </row>
    <row r="410" spans="1:47" ht="35.1" customHeight="1">
      <c r="A410" s="8"/>
      <c r="B410" s="107" t="s">
        <v>74</v>
      </c>
      <c r="C410" s="322"/>
      <c r="D410" s="18">
        <f t="shared" si="50"/>
        <v>5883.3333333333339</v>
      </c>
      <c r="E410" s="66">
        <f t="shared" si="51"/>
        <v>7060.0000000000009</v>
      </c>
      <c r="F410" s="18">
        <f t="shared" si="52"/>
        <v>6116.666666666667</v>
      </c>
      <c r="G410" s="66">
        <f t="shared" si="53"/>
        <v>7340</v>
      </c>
      <c r="L410" s="104"/>
      <c r="M410" s="104"/>
      <c r="N410" s="104"/>
      <c r="O410" s="104"/>
      <c r="P410" s="104"/>
      <c r="Q410" s="104"/>
      <c r="R410" s="104"/>
      <c r="S410" s="104"/>
      <c r="U410" s="104"/>
      <c r="V410" s="20"/>
      <c r="W410" s="104"/>
      <c r="X410" s="20"/>
      <c r="Y410" s="104"/>
      <c r="Z410" s="104"/>
      <c r="AA410" s="104"/>
      <c r="AB410" s="104"/>
      <c r="AC410" s="332"/>
      <c r="AD410" s="391">
        <v>7060</v>
      </c>
      <c r="AE410" s="332">
        <v>7340</v>
      </c>
      <c r="AF410" s="332"/>
      <c r="AG410" s="332"/>
      <c r="AH410" s="289"/>
      <c r="AI410" s="289"/>
      <c r="AJ410" s="289"/>
      <c r="AK410" s="289"/>
      <c r="AL410" s="289"/>
      <c r="AM410" s="289"/>
      <c r="AN410" s="289"/>
      <c r="AO410" s="289"/>
      <c r="AP410" s="289"/>
      <c r="AQ410" s="289"/>
    </row>
    <row r="411" spans="1:47" ht="35.1" customHeight="1">
      <c r="A411" s="8"/>
      <c r="B411" s="23" t="s">
        <v>75</v>
      </c>
      <c r="C411" s="24"/>
      <c r="D411" s="25">
        <f>IF(AD411="","",(1-$W$2)*(AD411/1.2))</f>
        <v>6325</v>
      </c>
      <c r="E411" s="69">
        <f>IF($W$5=0.2,D411*1.2,D411)/$W$4</f>
        <v>7590</v>
      </c>
      <c r="F411" s="25">
        <f>IF(AE411="","",(1-$W$2)*(AE411/1.2))</f>
        <v>6583.3333333333339</v>
      </c>
      <c r="G411" s="69">
        <f>IF($W$5=0.2,F411*1.2,F411)/$W$4</f>
        <v>7900</v>
      </c>
      <c r="L411" s="104"/>
      <c r="M411" s="104"/>
      <c r="N411" s="104"/>
      <c r="O411" s="104"/>
      <c r="P411" s="104"/>
      <c r="Q411" s="104"/>
      <c r="R411" s="104"/>
      <c r="S411" s="104"/>
      <c r="U411" s="104"/>
      <c r="V411" s="20"/>
      <c r="W411" s="104"/>
      <c r="X411" s="20"/>
      <c r="Y411" s="104"/>
      <c r="Z411" s="104"/>
      <c r="AA411" s="104"/>
      <c r="AB411" s="104"/>
      <c r="AC411" s="332"/>
      <c r="AD411" s="391">
        <v>7590</v>
      </c>
      <c r="AE411" s="332">
        <v>7900</v>
      </c>
      <c r="AF411" s="332">
        <v>8050</v>
      </c>
      <c r="AG411" s="332">
        <v>8470</v>
      </c>
      <c r="AH411" s="289">
        <v>6230</v>
      </c>
      <c r="AI411" s="289" t="e">
        <f t="shared" si="46"/>
        <v>#DIV/0!</v>
      </c>
      <c r="AJ411" s="289">
        <v>7100</v>
      </c>
      <c r="AK411" s="289">
        <f t="shared" ref="AK411" si="54">AJ411/AD411-1</f>
        <v>-6.4558629776021115E-2</v>
      </c>
      <c r="AL411" s="289">
        <v>7390</v>
      </c>
      <c r="AM411" s="289">
        <f t="shared" si="47"/>
        <v>-6.4556962025316467E-2</v>
      </c>
      <c r="AN411" s="289">
        <v>8050</v>
      </c>
      <c r="AO411" s="289">
        <f t="shared" si="48"/>
        <v>0</v>
      </c>
      <c r="AP411" s="289">
        <v>8470</v>
      </c>
      <c r="AQ411" s="289">
        <f t="shared" si="49"/>
        <v>0</v>
      </c>
    </row>
    <row r="412" spans="1:47">
      <c r="C412" s="245"/>
      <c r="D412" s="26"/>
      <c r="E412" s="57"/>
      <c r="F412" s="26"/>
      <c r="G412" s="57"/>
      <c r="H412" s="10"/>
      <c r="I412" s="8"/>
      <c r="J412" s="8"/>
      <c r="K412" s="8"/>
    </row>
    <row r="413" spans="1:47">
      <c r="B413" s="212" t="str">
        <f>IF($C$1="ENG","For additonal charge:","Послуги за додаткову плату:")</f>
        <v>Послуги за додаткову плату:</v>
      </c>
      <c r="C413" s="421"/>
      <c r="D413" s="213"/>
      <c r="E413" s="214"/>
      <c r="F413" s="26"/>
      <c r="G413" s="57"/>
      <c r="H413" s="10"/>
      <c r="I413" s="8"/>
      <c r="J413" s="8"/>
      <c r="K413" s="8"/>
    </row>
    <row r="414" spans="1:47" ht="5.0999999999999996" customHeight="1">
      <c r="B414" s="27"/>
      <c r="C414" s="245"/>
      <c r="D414" s="26"/>
      <c r="E414" s="57"/>
      <c r="F414" s="26"/>
      <c r="G414" s="57"/>
      <c r="H414" s="10"/>
      <c r="I414" s="8"/>
      <c r="J414" s="8"/>
      <c r="K414" s="8"/>
    </row>
    <row r="415" spans="1:47">
      <c r="B415" s="447" t="str">
        <f>IF($C$1="ENG","door leaf with width 100","полотно розміром 100")</f>
        <v>полотно розміром 100</v>
      </c>
      <c r="C415" s="448"/>
      <c r="D415" s="410">
        <f t="shared" ref="D415:D426" si="55">IF(AC415="","",(1-$W$2)*(AC415/1.2))</f>
        <v>600</v>
      </c>
      <c r="E415" s="92">
        <f>IF($W$5=0.2,D415*1.2,D415)/$W$4</f>
        <v>720</v>
      </c>
      <c r="F415" s="26"/>
      <c r="G415" s="26"/>
      <c r="H415" s="10"/>
      <c r="I415" s="8"/>
      <c r="J415" s="8"/>
      <c r="K415" s="8"/>
      <c r="AC415" s="298">
        <v>720</v>
      </c>
      <c r="AD415" s="289">
        <v>720</v>
      </c>
      <c r="AE415" s="289">
        <f>AD415/AC415-1</f>
        <v>0</v>
      </c>
      <c r="AF415" s="289"/>
      <c r="AG415" s="289"/>
      <c r="AH415" s="289"/>
      <c r="AI415" s="289"/>
      <c r="AJ415" s="289"/>
      <c r="AK415" s="289"/>
      <c r="AL415" s="289"/>
    </row>
    <row r="416" spans="1:47">
      <c r="B416" s="447" t="str">
        <f>IF($C$1="ENG","Ventilation cut","вентиляційний підріз")</f>
        <v>вентиляційний підріз</v>
      </c>
      <c r="C416" s="448"/>
      <c r="D416" s="405">
        <f t="shared" si="55"/>
        <v>141.66666666666669</v>
      </c>
      <c r="E416" s="66">
        <f t="shared" ref="E416:E425" si="56">IF($W$5=0.2,D416*1.2,D416)/$W$4</f>
        <v>170.00000000000003</v>
      </c>
      <c r="F416" s="26"/>
      <c r="G416" s="26"/>
      <c r="I416" s="59"/>
      <c r="J416" s="28"/>
      <c r="AC416" s="298">
        <v>170</v>
      </c>
      <c r="AD416" s="289">
        <v>170</v>
      </c>
      <c r="AE416" s="289">
        <f t="shared" ref="AE416:AE425" si="57">AD416/AC416-1</f>
        <v>0</v>
      </c>
      <c r="AF416" s="289"/>
      <c r="AG416" s="289"/>
      <c r="AH416" s="289"/>
      <c r="AI416" s="289"/>
      <c r="AJ416" s="289"/>
      <c r="AK416" s="289"/>
      <c r="AL416" s="289"/>
    </row>
    <row r="417" spans="2:38">
      <c r="B417" s="445" t="str">
        <f>IF($C$1="ENG","glazing Graphite / Bronze","скло Графіт / Бронза")</f>
        <v>скло Графіт / Бронза</v>
      </c>
      <c r="C417" s="446"/>
      <c r="D417" s="407">
        <f t="shared" si="55"/>
        <v>458.33333333333337</v>
      </c>
      <c r="E417" s="93">
        <f t="shared" si="56"/>
        <v>550</v>
      </c>
      <c r="F417" s="26"/>
      <c r="G417" s="26"/>
      <c r="H417" s="5"/>
      <c r="AC417" s="298">
        <v>550</v>
      </c>
      <c r="AD417" s="289">
        <v>550</v>
      </c>
      <c r="AE417" s="289">
        <f t="shared" si="57"/>
        <v>0</v>
      </c>
      <c r="AF417" s="289"/>
      <c r="AG417" s="289"/>
      <c r="AH417" s="289"/>
      <c r="AI417" s="289"/>
      <c r="AJ417" s="289"/>
      <c r="AK417" s="289"/>
      <c r="AL417" s="289"/>
    </row>
    <row r="418" spans="2:38">
      <c r="B418" s="445" t="str">
        <f>IF($C$1="ENG","door lock Soft","замок Soft")</f>
        <v>замок Soft</v>
      </c>
      <c r="C418" s="446"/>
      <c r="D418" s="407">
        <f t="shared" si="55"/>
        <v>458.33333333333337</v>
      </c>
      <c r="E418" s="93">
        <f t="shared" si="56"/>
        <v>550</v>
      </c>
      <c r="F418" s="26"/>
      <c r="G418" s="26"/>
      <c r="H418" s="5"/>
      <c r="AC418" s="298">
        <v>550</v>
      </c>
      <c r="AD418" s="289">
        <v>550</v>
      </c>
      <c r="AE418" s="289">
        <f t="shared" si="57"/>
        <v>0</v>
      </c>
      <c r="AF418" s="289"/>
      <c r="AG418" s="289"/>
      <c r="AH418" s="289"/>
      <c r="AI418" s="289"/>
      <c r="AJ418" s="289"/>
      <c r="AK418" s="289"/>
      <c r="AL418" s="289"/>
    </row>
    <row r="419" spans="2:38">
      <c r="B419" s="445" t="str">
        <f>IF($C$1="ENG","door lock Soft black","замок Soft чорн.")</f>
        <v>замок Soft чорн.</v>
      </c>
      <c r="C419" s="446"/>
      <c r="D419" s="407">
        <f t="shared" ref="D419" si="58">IF(AC419="","",(1-$W$2)*(AC419/1.2))</f>
        <v>566.66666666666674</v>
      </c>
      <c r="E419" s="93">
        <f t="shared" ref="E419" si="59">IF($W$5=0.2,D419*1.2,D419)/$W$4</f>
        <v>680.00000000000011</v>
      </c>
      <c r="F419" s="26"/>
      <c r="G419" s="26"/>
      <c r="H419" s="5"/>
      <c r="AC419" s="298">
        <v>680</v>
      </c>
      <c r="AD419" s="289"/>
      <c r="AE419" s="289"/>
      <c r="AF419" s="289"/>
      <c r="AG419" s="289"/>
      <c r="AH419" s="289"/>
      <c r="AI419" s="289"/>
      <c r="AJ419" s="289"/>
      <c r="AK419" s="289"/>
      <c r="AL419" s="289"/>
    </row>
    <row r="420" spans="2:38">
      <c r="B420" s="445" t="str">
        <f>IF($C$1="ENG","door lock Magnet","замок Magnet")</f>
        <v>замок Magnet</v>
      </c>
      <c r="C420" s="446"/>
      <c r="D420" s="407">
        <f t="shared" si="55"/>
        <v>666.66666666666674</v>
      </c>
      <c r="E420" s="93">
        <f t="shared" si="56"/>
        <v>800.00000000000011</v>
      </c>
      <c r="F420" s="26"/>
      <c r="G420" s="26"/>
      <c r="H420" s="5"/>
      <c r="AC420" s="298">
        <v>800</v>
      </c>
      <c r="AD420" s="289">
        <v>800</v>
      </c>
      <c r="AE420" s="289">
        <f t="shared" si="57"/>
        <v>0</v>
      </c>
      <c r="AF420" s="289"/>
      <c r="AG420" s="289"/>
      <c r="AH420" s="289"/>
      <c r="AI420" s="289"/>
      <c r="AJ420" s="289"/>
      <c r="AK420" s="289"/>
      <c r="AL420" s="289"/>
    </row>
    <row r="421" spans="2:38">
      <c r="B421" s="445" t="s">
        <v>76</v>
      </c>
      <c r="C421" s="446"/>
      <c r="D421" s="407">
        <f t="shared" ref="D421" si="60">IF(AC421="","",(1-$W$2)*(AC421/1.2))</f>
        <v>833.33333333333337</v>
      </c>
      <c r="E421" s="93">
        <f t="shared" ref="E421" si="61">IF($W$5=0.2,D421*1.2,D421)/$W$4</f>
        <v>1000</v>
      </c>
      <c r="F421" s="26"/>
      <c r="G421" s="26"/>
      <c r="H421" s="5"/>
      <c r="AC421" s="298">
        <v>1000</v>
      </c>
      <c r="AD421" s="289"/>
      <c r="AE421" s="289"/>
      <c r="AF421" s="289"/>
      <c r="AG421" s="289"/>
      <c r="AH421" s="289"/>
      <c r="AI421" s="289"/>
      <c r="AJ421" s="289"/>
      <c r="AK421" s="289"/>
      <c r="AL421" s="289"/>
    </row>
    <row r="422" spans="2:38">
      <c r="B422" s="445" t="str">
        <f>IF($C$1="ENG","door handle-lock (for sliding doors)","ручка-замок (для дверей купе)")</f>
        <v>ручка-замок (для дверей купе)</v>
      </c>
      <c r="C422" s="446"/>
      <c r="D422" s="405">
        <f t="shared" si="55"/>
        <v>466.66666666666669</v>
      </c>
      <c r="E422" s="93">
        <f t="shared" si="56"/>
        <v>560</v>
      </c>
      <c r="F422" s="26"/>
      <c r="G422" s="26"/>
      <c r="I422" s="11"/>
      <c r="J422" s="11"/>
      <c r="K422" s="19"/>
      <c r="AC422" s="298">
        <v>560</v>
      </c>
      <c r="AD422" s="289">
        <v>560</v>
      </c>
      <c r="AE422" s="289">
        <f t="shared" si="57"/>
        <v>0</v>
      </c>
      <c r="AF422" s="289"/>
      <c r="AG422" s="289"/>
      <c r="AH422" s="289"/>
      <c r="AI422" s="289"/>
      <c r="AJ422" s="289"/>
      <c r="AK422" s="289"/>
      <c r="AL422" s="289"/>
    </row>
    <row r="423" spans="2:38">
      <c r="B423" s="445" t="str">
        <f>IF($C$1="ENG","cylinder incert","циліндр несиметричний")</f>
        <v>циліндр несиметричний</v>
      </c>
      <c r="C423" s="446"/>
      <c r="D423" s="405">
        <f t="shared" si="55"/>
        <v>325</v>
      </c>
      <c r="E423" s="93">
        <f t="shared" si="56"/>
        <v>390</v>
      </c>
      <c r="F423" s="26"/>
      <c r="G423" s="26"/>
      <c r="AC423" s="298">
        <v>390</v>
      </c>
      <c r="AD423" s="289">
        <v>390</v>
      </c>
      <c r="AE423" s="289">
        <f t="shared" si="57"/>
        <v>0</v>
      </c>
      <c r="AF423" s="289"/>
      <c r="AG423" s="289"/>
      <c r="AH423" s="289"/>
      <c r="AI423" s="289"/>
      <c r="AJ423" s="289"/>
      <c r="AK423" s="289"/>
      <c r="AL423" s="289"/>
    </row>
    <row r="424" spans="2:38">
      <c r="B424" s="445" t="str">
        <f>IF($C$1="ENG","door hindge Prestige (1 unit)","завіса Prestige (1 шт)")</f>
        <v>завіса Prestige (1 шт)</v>
      </c>
      <c r="C424" s="446"/>
      <c r="D424" s="408">
        <f t="shared" si="55"/>
        <v>216.66666666666669</v>
      </c>
      <c r="E424" s="93">
        <f t="shared" si="56"/>
        <v>260</v>
      </c>
      <c r="F424" s="26"/>
      <c r="G424" s="26"/>
      <c r="AC424" s="298">
        <v>260</v>
      </c>
      <c r="AD424" s="289">
        <v>260</v>
      </c>
      <c r="AE424" s="289">
        <f t="shared" si="57"/>
        <v>0</v>
      </c>
      <c r="AF424" s="289"/>
      <c r="AG424" s="289"/>
      <c r="AH424" s="289"/>
      <c r="AI424" s="289"/>
      <c r="AJ424" s="289"/>
      <c r="AK424" s="289"/>
      <c r="AL424" s="289"/>
    </row>
    <row r="425" spans="2:38">
      <c r="B425" s="445" t="str">
        <f>IF($C$1="ENG","door hinge caps (1 set)","накладка на завіси (1 к-т)")</f>
        <v>накладка на завіси (1 к-т)</v>
      </c>
      <c r="C425" s="446"/>
      <c r="D425" s="408">
        <f t="shared" si="55"/>
        <v>66.666666666666671</v>
      </c>
      <c r="E425" s="93">
        <f t="shared" si="56"/>
        <v>80</v>
      </c>
      <c r="F425" s="26"/>
      <c r="G425" s="26"/>
      <c r="AC425" s="298">
        <v>80</v>
      </c>
      <c r="AD425" s="289">
        <v>80</v>
      </c>
      <c r="AE425" s="289">
        <f t="shared" si="57"/>
        <v>0</v>
      </c>
      <c r="AF425" s="289"/>
      <c r="AG425" s="289"/>
      <c r="AH425" s="289"/>
      <c r="AI425" s="289"/>
      <c r="AJ425" s="289"/>
      <c r="AK425" s="289"/>
      <c r="AL425" s="289"/>
    </row>
    <row r="426" spans="2:38">
      <c r="B426" s="445" t="str">
        <f>IF($C$1="ENG","door handle","дверна ручка")</f>
        <v>дверна ручка</v>
      </c>
      <c r="C426" s="446"/>
      <c r="D426" s="409" t="str">
        <f t="shared" si="55"/>
        <v/>
      </c>
      <c r="E426" s="247" t="str">
        <f>IF($C$1="ENG","see Handles Price","див. Таблицю Ручки")</f>
        <v>див. Таблицю Ручки</v>
      </c>
      <c r="F426" s="26"/>
      <c r="G426" s="26"/>
      <c r="AC426" s="289"/>
      <c r="AD426" s="289"/>
      <c r="AE426" s="289"/>
      <c r="AF426" s="289"/>
      <c r="AG426" s="289"/>
      <c r="AH426" s="289"/>
      <c r="AI426" s="289"/>
      <c r="AJ426" s="289"/>
      <c r="AK426" s="289"/>
      <c r="AL426" s="289"/>
    </row>
    <row r="427" spans="2:38" ht="14.25" customHeight="1">
      <c r="C427" s="245"/>
      <c r="D427" s="26"/>
      <c r="E427" s="26"/>
      <c r="F427" s="26"/>
      <c r="G427" s="26"/>
      <c r="H427" s="5"/>
      <c r="T427" s="465" t="str">
        <f>IF($C$1="ENG",CONCATENATE("down to: ",B479),CONCATENATE("вниз до: ",B479))</f>
        <v xml:space="preserve">вниз до: </v>
      </c>
      <c r="U427" s="465"/>
      <c r="V427" s="465"/>
      <c r="W427" s="465"/>
    </row>
    <row r="428" spans="2:38" ht="14.25" customHeight="1">
      <c r="C428" s="245"/>
      <c r="D428" s="26"/>
      <c r="E428" s="26"/>
      <c r="F428" s="26"/>
      <c r="G428" s="26"/>
      <c r="H428" s="5"/>
    </row>
    <row r="429" spans="2:38" ht="14.25" customHeight="1">
      <c r="C429" s="245"/>
      <c r="D429" s="26"/>
      <c r="E429" s="26"/>
      <c r="F429" s="26"/>
      <c r="G429" s="26"/>
      <c r="H429" s="5"/>
    </row>
    <row r="430" spans="2:38" ht="14.25" customHeight="1">
      <c r="C430" s="245"/>
      <c r="D430" s="26"/>
      <c r="E430" s="26"/>
      <c r="F430" s="26"/>
      <c r="G430" s="26"/>
      <c r="H430" s="5"/>
    </row>
    <row r="431" spans="2:38" ht="14.25" customHeight="1">
      <c r="C431" s="245"/>
      <c r="D431" s="26"/>
      <c r="E431" s="26"/>
      <c r="F431" s="26"/>
      <c r="G431" s="26"/>
      <c r="H431" s="5"/>
    </row>
    <row r="432" spans="2:38" ht="14.25" customHeight="1">
      <c r="C432" s="245"/>
      <c r="D432" s="26"/>
      <c r="E432" s="26"/>
      <c r="F432" s="26"/>
      <c r="G432" s="26"/>
      <c r="H432" s="5"/>
    </row>
    <row r="433" spans="1:46" ht="14.25" customHeight="1">
      <c r="C433" s="245"/>
      <c r="D433" s="26"/>
      <c r="E433" s="26"/>
      <c r="F433" s="26"/>
      <c r="G433" s="26"/>
      <c r="H433" s="5"/>
    </row>
    <row r="434" spans="1:46" ht="14.25" customHeight="1">
      <c r="C434" s="245"/>
      <c r="D434" s="26"/>
      <c r="E434" s="26"/>
      <c r="F434" s="26"/>
      <c r="G434" s="26"/>
      <c r="H434" s="5"/>
    </row>
    <row r="435" spans="1:46" ht="14.25" customHeight="1">
      <c r="C435" s="245"/>
      <c r="D435" s="26"/>
      <c r="E435" s="26"/>
      <c r="F435" s="26"/>
      <c r="G435" s="26"/>
      <c r="H435" s="5"/>
    </row>
    <row r="436" spans="1:46" ht="14.25" customHeight="1">
      <c r="C436" s="245"/>
      <c r="D436" s="26"/>
      <c r="E436" s="26"/>
      <c r="F436" s="26"/>
      <c r="G436" s="26"/>
      <c r="H436" s="5"/>
    </row>
    <row r="437" spans="1:46" ht="14.25" customHeight="1">
      <c r="C437" s="245"/>
      <c r="D437" s="26"/>
      <c r="E437" s="26"/>
      <c r="F437" s="26"/>
      <c r="G437" s="26"/>
      <c r="H437" s="5"/>
    </row>
    <row r="438" spans="1:46" ht="14.25" customHeight="1">
      <c r="C438" s="245"/>
      <c r="D438" s="26"/>
      <c r="E438" s="26"/>
      <c r="F438" s="26"/>
      <c r="G438" s="26"/>
      <c r="H438" s="5"/>
    </row>
    <row r="439" spans="1:46" ht="14.25" customHeight="1">
      <c r="C439" s="245"/>
      <c r="D439" s="26"/>
      <c r="E439" s="26"/>
      <c r="F439" s="26"/>
      <c r="G439" s="26"/>
      <c r="H439" s="5"/>
    </row>
    <row r="440" spans="1:46" ht="14.25" customHeight="1">
      <c r="C440" s="245"/>
      <c r="D440" s="26"/>
      <c r="E440" s="26"/>
      <c r="F440" s="26"/>
      <c r="G440" s="26"/>
      <c r="H440" s="5"/>
    </row>
    <row r="441" spans="1:46" ht="14.25" customHeight="1">
      <c r="C441" s="245"/>
      <c r="D441" s="26"/>
      <c r="E441" s="26"/>
      <c r="F441" s="26"/>
      <c r="G441" s="26"/>
      <c r="H441" s="5"/>
    </row>
    <row r="442" spans="1:46" ht="14.25" customHeight="1">
      <c r="C442" s="245"/>
      <c r="D442" s="26"/>
      <c r="E442" s="26"/>
      <c r="F442" s="26"/>
      <c r="G442" s="26"/>
      <c r="H442" s="5"/>
    </row>
    <row r="443" spans="1:46" ht="14.25" customHeight="1">
      <c r="C443" s="245"/>
      <c r="D443" s="26"/>
      <c r="E443" s="26"/>
      <c r="F443" s="26"/>
      <c r="G443" s="26"/>
      <c r="H443" s="5"/>
    </row>
    <row r="444" spans="1:46" s="8" customFormat="1">
      <c r="B444" s="451" t="str">
        <f>TITLE!$C$14</f>
        <v>Полотна збірні: ЛАДА A</v>
      </c>
      <c r="C444" s="451"/>
      <c r="D444" s="118"/>
      <c r="E444" s="118"/>
      <c r="F444" s="118"/>
      <c r="G444" s="118"/>
      <c r="H444" s="455"/>
      <c r="I444" s="455"/>
      <c r="J444" s="121"/>
      <c r="K444" s="121"/>
      <c r="L444" s="121"/>
      <c r="M444" s="121"/>
      <c r="N444" s="121"/>
      <c r="O444" s="121"/>
      <c r="P444" s="121"/>
      <c r="Q444" s="121"/>
      <c r="R444" s="121"/>
      <c r="S444" s="456" t="str">
        <f>IF($C$1="ENG",CONCATENATE("up to: ",B368),CONCATENATE("вгору до: ",B368))</f>
        <v>вгору до: Полотна каркасно-щитові: ІДЕЯ-ЛОФТ</v>
      </c>
      <c r="T444" s="457"/>
      <c r="U444" s="457"/>
      <c r="V444" s="457"/>
      <c r="W444" s="457"/>
      <c r="AN444" s="280"/>
      <c r="AO444" s="280"/>
      <c r="AP444" s="280"/>
      <c r="AQ444" s="280"/>
      <c r="AR444" s="280"/>
      <c r="AS444" s="280"/>
      <c r="AT444" s="280"/>
    </row>
    <row r="445" spans="1:46" s="8" customFormat="1" ht="5.0999999999999996" customHeight="1">
      <c r="B445" s="117"/>
      <c r="C445" s="420"/>
      <c r="D445" s="9"/>
      <c r="E445" s="9"/>
      <c r="F445" s="9"/>
      <c r="G445" s="9"/>
      <c r="H445" s="120"/>
      <c r="I445" s="120"/>
      <c r="T445" s="115"/>
      <c r="U445" s="115"/>
      <c r="V445" s="115"/>
      <c r="W445" s="115"/>
      <c r="AN445" s="280"/>
      <c r="AO445" s="280"/>
      <c r="AP445" s="280"/>
      <c r="AQ445" s="280"/>
      <c r="AR445" s="280"/>
      <c r="AS445" s="280"/>
      <c r="AT445" s="280"/>
    </row>
    <row r="446" spans="1:46" s="8" customFormat="1" ht="12.75" customHeight="1">
      <c r="B446" s="452" t="str">
        <f>IF($C$1="ENG","model","модель")</f>
        <v>модель</v>
      </c>
      <c r="C446" s="122" t="str">
        <f>IF($C$1="ENG","cover:","покриття:")</f>
        <v>покриття:</v>
      </c>
      <c r="D446" s="458" t="str">
        <f>IF($C$1="ENG","Verto-CELL","Verto-CELL")</f>
        <v>Verto-CELL</v>
      </c>
      <c r="E446" s="459"/>
      <c r="F446" s="458" t="str">
        <f>IF($C$1="ENG","UNI-MAT","UNI-MAT")</f>
        <v>UNI-MAT</v>
      </c>
      <c r="G446" s="459"/>
      <c r="H446" s="458" t="str">
        <f>IF($C$1="ENG","RESIST","RESIST")</f>
        <v>RESIST</v>
      </c>
      <c r="I446" s="459"/>
      <c r="J446" s="458" t="str">
        <f>IF($C$1="ENG","Verto LINE-3D","Verto LINE-3D")</f>
        <v>Verto LINE-3D</v>
      </c>
      <c r="K446" s="459"/>
      <c r="L446" s="458" t="str">
        <f>IF($C$1="ENG","ECO Shpon","ЕКО Шпон")</f>
        <v>ЕКО Шпон</v>
      </c>
      <c r="M446" s="459"/>
      <c r="N446" s="1"/>
      <c r="O446" s="1"/>
      <c r="T446" s="115"/>
      <c r="U446" s="115"/>
      <c r="V446" s="115"/>
      <c r="W446" s="115"/>
      <c r="AN446" s="280"/>
      <c r="AO446" s="280"/>
      <c r="AP446" s="280"/>
      <c r="AQ446" s="280"/>
      <c r="AR446" s="280"/>
      <c r="AS446" s="280"/>
      <c r="AT446" s="280"/>
    </row>
    <row r="447" spans="1:46" s="8" customFormat="1" ht="24.95" customHeight="1">
      <c r="B447" s="453"/>
      <c r="C447" s="123" t="str">
        <f>IF($C$1="ENG","filling:","заповнення:")</f>
        <v>заповнення:</v>
      </c>
      <c r="D447" s="460" t="str">
        <f>IF($C$1="ENG","softwood","клеєний сосновий брус")</f>
        <v>клеєний сосновий брус</v>
      </c>
      <c r="E447" s="461"/>
      <c r="F447" s="460" t="str">
        <f>IF($C$1="ENG","softwood","клеєний сосновий брус")</f>
        <v>клеєний сосновий брус</v>
      </c>
      <c r="G447" s="461"/>
      <c r="H447" s="460" t="str">
        <f>IF($C$1="ENG","softwood","клеєний сосновий брус")</f>
        <v>клеєний сосновий брус</v>
      </c>
      <c r="I447" s="461"/>
      <c r="J447" s="460" t="str">
        <f>IF($C$1="ENG","softwood","клеєний сосновий брус")</f>
        <v>клеєний сосновий брус</v>
      </c>
      <c r="K447" s="461"/>
      <c r="L447" s="460" t="str">
        <f>IF($C$1="ENG","softwood","клеєний сосновий брус")</f>
        <v>клеєний сосновий брус</v>
      </c>
      <c r="M447" s="461"/>
      <c r="N447" s="1"/>
      <c r="O447" s="1"/>
      <c r="T447" s="115"/>
      <c r="U447" s="115"/>
      <c r="V447" s="115"/>
      <c r="W447" s="115"/>
      <c r="AD447" s="383">
        <f>AD449/AC449-1</f>
        <v>0.1396468699839486</v>
      </c>
      <c r="AE447" s="383">
        <f>AE449/AD449-1</f>
        <v>4.0845070422535157E-2</v>
      </c>
      <c r="AF447" s="383">
        <f>AF449/AE449-1</f>
        <v>8.9309878213802429E-2</v>
      </c>
      <c r="AG447" s="383">
        <f>AG449/AF449-1</f>
        <v>5.2173913043478182E-2</v>
      </c>
      <c r="AN447" s="280"/>
      <c r="AO447" s="280"/>
      <c r="AP447" s="280"/>
      <c r="AQ447" s="280"/>
      <c r="AR447" s="280"/>
      <c r="AS447" s="280"/>
      <c r="AT447" s="280"/>
    </row>
    <row r="448" spans="1:46" ht="12.75" customHeight="1">
      <c r="A448" s="8"/>
      <c r="B448" s="454"/>
      <c r="C448" s="124" t="str">
        <f>IF($C$1="ENG","glazing:","скління:")</f>
        <v>скління:</v>
      </c>
      <c r="D448" s="449" t="str">
        <f>IF($C$1="ENG","Satin","Сатин")</f>
        <v>Сатин</v>
      </c>
      <c r="E448" s="450"/>
      <c r="F448" s="449" t="str">
        <f>IF($C$1="ENG","Satin","Сатин")</f>
        <v>Сатин</v>
      </c>
      <c r="G448" s="450"/>
      <c r="H448" s="449" t="str">
        <f>IF($C$1="ENG","Satin","Сатин")</f>
        <v>Сатин</v>
      </c>
      <c r="I448" s="450"/>
      <c r="J448" s="449" t="str">
        <f>IF($C$1="ENG","Satin","Сатин")</f>
        <v>Сатин</v>
      </c>
      <c r="K448" s="450"/>
      <c r="L448" s="449" t="str">
        <f>IF($C$1="ENG","Satin","Сатин")</f>
        <v>Сатин</v>
      </c>
      <c r="M448" s="450"/>
    </row>
    <row r="449" spans="1:43" ht="35.1" customHeight="1">
      <c r="A449" s="8"/>
      <c r="B449" s="16" t="s">
        <v>29</v>
      </c>
      <c r="C449" s="17"/>
      <c r="D449" s="18">
        <f>IF(AC449="","",(1-$W$2)*(AC449/1.2))</f>
        <v>5191.666666666667</v>
      </c>
      <c r="E449" s="66">
        <f>IF($W$5=0.2,D449*1.2,D449)/$W$4</f>
        <v>6230</v>
      </c>
      <c r="F449" s="18">
        <f>IF(AD449="","",(1-$W$2)*(AD449/1.2))</f>
        <v>5916.666666666667</v>
      </c>
      <c r="G449" s="66">
        <f>IF($W$5=0.2,F449*1.2,F449)/$W$4</f>
        <v>7100</v>
      </c>
      <c r="H449" s="18">
        <f>IF(AE449="","",(1-$W$2)*(AE449/1.2))</f>
        <v>6158.3333333333339</v>
      </c>
      <c r="I449" s="66">
        <f>IF($W$5=0.2,H449*1.2,H449)/$W$4</f>
        <v>7390</v>
      </c>
      <c r="J449" s="18">
        <f>IF(AF449="","",(1-$W$2)*(AF449/1.2))</f>
        <v>6708.3333333333339</v>
      </c>
      <c r="K449" s="66">
        <f>IF($W$5=0.2,J449*1.2,J449)/$W$4</f>
        <v>8050</v>
      </c>
      <c r="L449" s="18">
        <f>IF(AG449="","",(1-$W$2)*(AG449/1.2))</f>
        <v>7058.3333333333339</v>
      </c>
      <c r="M449" s="66">
        <f>IF($W$5=0.2,L449*1.2,L449)/$W$4</f>
        <v>8470</v>
      </c>
      <c r="R449" s="104"/>
      <c r="T449" s="104"/>
      <c r="U449" s="20"/>
      <c r="V449" s="104"/>
      <c r="W449" s="20"/>
      <c r="X449" s="104"/>
      <c r="Y449" s="104"/>
      <c r="Z449" s="104"/>
      <c r="AA449" s="104"/>
      <c r="AB449" s="104"/>
      <c r="AC449" s="332">
        <v>6230</v>
      </c>
      <c r="AD449" s="391">
        <v>7100</v>
      </c>
      <c r="AE449" s="332">
        <v>7390</v>
      </c>
      <c r="AF449" s="332">
        <v>8050</v>
      </c>
      <c r="AG449" s="332">
        <v>8470</v>
      </c>
      <c r="AH449" s="289">
        <v>6230</v>
      </c>
      <c r="AI449" s="289">
        <f>AH449/AC449-1</f>
        <v>0</v>
      </c>
      <c r="AJ449" s="289">
        <v>7100</v>
      </c>
      <c r="AK449" s="289">
        <f>AJ449/AD449-1</f>
        <v>0</v>
      </c>
      <c r="AL449" s="289">
        <v>7390</v>
      </c>
      <c r="AM449" s="289">
        <f>AL449/AE449-1</f>
        <v>0</v>
      </c>
      <c r="AN449" s="289">
        <v>8050</v>
      </c>
      <c r="AO449" s="289">
        <f>AN449/AF449-1</f>
        <v>0</v>
      </c>
      <c r="AP449" s="289">
        <v>8470</v>
      </c>
      <c r="AQ449" s="289">
        <f>AP449/AG449-1</f>
        <v>0</v>
      </c>
    </row>
    <row r="450" spans="1:43" ht="35.1" customHeight="1">
      <c r="A450" s="8"/>
      <c r="B450" s="16" t="s">
        <v>30</v>
      </c>
      <c r="C450" s="17"/>
      <c r="D450" s="18">
        <f>IF(AC450="","",(1-$W$2)*(AC450/1.2))</f>
        <v>5191.666666666667</v>
      </c>
      <c r="E450" s="66">
        <f>IF($W$5=0.2,D450*1.2,D450)/$W$4</f>
        <v>6230</v>
      </c>
      <c r="F450" s="18">
        <f>IF(AD450="","",(1-$W$2)*(AD450/1.2))</f>
        <v>5916.666666666667</v>
      </c>
      <c r="G450" s="66">
        <f>IF($W$5=0.2,F450*1.2,F450)/$W$4</f>
        <v>7100</v>
      </c>
      <c r="H450" s="18">
        <f>IF(AE450="","",(1-$W$2)*(AE450/1.2))</f>
        <v>6158.3333333333339</v>
      </c>
      <c r="I450" s="66">
        <f>IF($W$5=0.2,H450*1.2,H450)/$W$4</f>
        <v>7390</v>
      </c>
      <c r="J450" s="18">
        <f>IF(AF450="","",(1-$W$2)*(AF450/1.2))</f>
        <v>6708.3333333333339</v>
      </c>
      <c r="K450" s="66">
        <f>IF($W$5=0.2,J450*1.2,J450)/$W$4</f>
        <v>8050</v>
      </c>
      <c r="L450" s="18">
        <f>IF(AG450="","",(1-$W$2)*(AG450/1.2))</f>
        <v>7058.3333333333339</v>
      </c>
      <c r="M450" s="66">
        <f>IF($W$5=0.2,L450*1.2,L450)/$W$4</f>
        <v>8470</v>
      </c>
      <c r="R450" s="104"/>
      <c r="T450" s="104"/>
      <c r="U450" s="20"/>
      <c r="V450" s="104"/>
      <c r="W450" s="20"/>
      <c r="X450" s="104"/>
      <c r="Y450" s="104"/>
      <c r="Z450" s="104"/>
      <c r="AA450" s="104"/>
      <c r="AB450" s="104"/>
      <c r="AC450" s="332">
        <v>6230</v>
      </c>
      <c r="AD450" s="391">
        <v>7100</v>
      </c>
      <c r="AE450" s="332">
        <v>7390</v>
      </c>
      <c r="AF450" s="332">
        <v>8050</v>
      </c>
      <c r="AG450" s="332">
        <v>8470</v>
      </c>
      <c r="AH450" s="289">
        <v>6230</v>
      </c>
      <c r="AI450" s="289">
        <f t="shared" ref="AI450:AI451" si="62">AH450/AC450-1</f>
        <v>0</v>
      </c>
      <c r="AJ450" s="289">
        <v>7100</v>
      </c>
      <c r="AK450" s="289">
        <f>AJ450/AD450-1</f>
        <v>0</v>
      </c>
      <c r="AL450" s="289">
        <v>7390</v>
      </c>
      <c r="AM450" s="289">
        <f t="shared" ref="AM450:AM451" si="63">AL450/AE450-1</f>
        <v>0</v>
      </c>
      <c r="AN450" s="289">
        <v>8050</v>
      </c>
      <c r="AO450" s="289">
        <f t="shared" ref="AO450:AO451" si="64">AN450/AF450-1</f>
        <v>0</v>
      </c>
      <c r="AP450" s="289">
        <v>8470</v>
      </c>
      <c r="AQ450" s="289">
        <f t="shared" ref="AQ450:AQ451" si="65">AP450/AG450-1</f>
        <v>0</v>
      </c>
    </row>
    <row r="451" spans="1:43" ht="35.1" customHeight="1">
      <c r="A451" s="8"/>
      <c r="B451" s="23" t="s">
        <v>44</v>
      </c>
      <c r="C451" s="24"/>
      <c r="D451" s="25">
        <f>IF(AC451="","",(1-$W$2)*(AC451/1.2))</f>
        <v>5191.666666666667</v>
      </c>
      <c r="E451" s="69">
        <f>IF($W$5=0.2,D451*1.2,D451)/$W$4</f>
        <v>6230</v>
      </c>
      <c r="F451" s="25">
        <f>IF(AD451="","",(1-$W$2)*(AD451/1.2))</f>
        <v>5916.666666666667</v>
      </c>
      <c r="G451" s="69">
        <f>IF($W$5=0.2,F451*1.2,F451)/$W$4</f>
        <v>7100</v>
      </c>
      <c r="H451" s="25">
        <f>IF(AE451="","",(1-$W$2)*(AE451/1.2))</f>
        <v>6158.3333333333339</v>
      </c>
      <c r="I451" s="69">
        <f>IF($W$5=0.2,H451*1.2,H451)/$W$4</f>
        <v>7390</v>
      </c>
      <c r="J451" s="25">
        <f>IF(AF451="","",(1-$W$2)*(AF451/1.2))</f>
        <v>6708.3333333333339</v>
      </c>
      <c r="K451" s="69">
        <f>IF($W$5=0.2,J451*1.2,J451)/$W$4</f>
        <v>8050</v>
      </c>
      <c r="L451" s="25">
        <f>IF(AG451="","",(1-$W$2)*(AG451/1.2))</f>
        <v>7058.3333333333339</v>
      </c>
      <c r="M451" s="69">
        <f>IF($W$5=0.2,L451*1.2,L451)/$W$4</f>
        <v>8470</v>
      </c>
      <c r="R451" s="104"/>
      <c r="T451" s="104"/>
      <c r="U451" s="20"/>
      <c r="V451" s="104"/>
      <c r="W451" s="20"/>
      <c r="X451" s="104"/>
      <c r="Y451" s="104"/>
      <c r="Z451" s="104"/>
      <c r="AA451" s="104"/>
      <c r="AB451" s="104"/>
      <c r="AC451" s="332">
        <v>6230</v>
      </c>
      <c r="AD451" s="391">
        <v>7100</v>
      </c>
      <c r="AE451" s="332">
        <v>7390</v>
      </c>
      <c r="AF451" s="332">
        <v>8050</v>
      </c>
      <c r="AG451" s="332">
        <v>8470</v>
      </c>
      <c r="AH451" s="289">
        <v>6230</v>
      </c>
      <c r="AI451" s="289">
        <f t="shared" si="62"/>
        <v>0</v>
      </c>
      <c r="AJ451" s="289">
        <v>7100</v>
      </c>
      <c r="AK451" s="289">
        <f t="shared" ref="AK451" si="66">AJ451/AD451-1</f>
        <v>0</v>
      </c>
      <c r="AL451" s="289">
        <v>7390</v>
      </c>
      <c r="AM451" s="289">
        <f t="shared" si="63"/>
        <v>0</v>
      </c>
      <c r="AN451" s="289">
        <v>8050</v>
      </c>
      <c r="AO451" s="289">
        <f t="shared" si="64"/>
        <v>0</v>
      </c>
      <c r="AP451" s="289">
        <v>8470</v>
      </c>
      <c r="AQ451" s="289">
        <f t="shared" si="65"/>
        <v>0</v>
      </c>
    </row>
    <row r="452" spans="1:43">
      <c r="C452" s="245"/>
      <c r="D452" s="26"/>
      <c r="E452" s="57"/>
      <c r="F452" s="26"/>
      <c r="G452" s="57"/>
      <c r="H452" s="10"/>
      <c r="I452" s="8"/>
      <c r="J452" s="8"/>
      <c r="K452" s="8"/>
    </row>
    <row r="453" spans="1:43">
      <c r="B453" s="212" t="str">
        <f>IF($C$1="ENG","For additonal charge:","Послуги за додаткову плату:")</f>
        <v>Послуги за додаткову плату:</v>
      </c>
      <c r="C453" s="421"/>
      <c r="D453" s="213"/>
      <c r="E453" s="214"/>
      <c r="F453" s="26"/>
      <c r="G453" s="57"/>
      <c r="H453" s="10"/>
      <c r="I453" s="8"/>
      <c r="J453" s="8"/>
      <c r="K453" s="8"/>
    </row>
    <row r="454" spans="1:43" ht="5.0999999999999996" customHeight="1">
      <c r="B454" s="27"/>
      <c r="C454" s="245"/>
      <c r="D454" s="26"/>
      <c r="E454" s="57"/>
      <c r="F454" s="26"/>
      <c r="G454" s="57"/>
      <c r="H454" s="10"/>
      <c r="I454" s="8"/>
      <c r="J454" s="8"/>
      <c r="K454" s="8"/>
    </row>
    <row r="455" spans="1:43">
      <c r="B455" s="447" t="str">
        <f>IF($C$1="ENG","door leaf with width 100","полотно розміром 100")</f>
        <v>полотно розміром 100</v>
      </c>
      <c r="C455" s="448"/>
      <c r="D455" s="410">
        <f t="shared" ref="D455:D466" si="67">IF(AC455="","",(1-$W$2)*(AC455/1.2))</f>
        <v>600</v>
      </c>
      <c r="E455" s="92">
        <f>IF($W$5=0.2,D455*1.2,D455)/$W$4</f>
        <v>720</v>
      </c>
      <c r="F455" s="26"/>
      <c r="G455" s="26"/>
      <c r="H455" s="10"/>
      <c r="I455" s="8"/>
      <c r="J455" s="8"/>
      <c r="K455" s="8"/>
      <c r="AC455" s="298">
        <v>720</v>
      </c>
      <c r="AD455" s="289">
        <v>720</v>
      </c>
      <c r="AE455" s="289">
        <f>AD455/AC455-1</f>
        <v>0</v>
      </c>
      <c r="AF455" s="289"/>
      <c r="AG455" s="289"/>
      <c r="AH455" s="289"/>
      <c r="AI455" s="289"/>
      <c r="AJ455" s="289"/>
      <c r="AK455" s="289"/>
      <c r="AL455" s="289"/>
    </row>
    <row r="456" spans="1:43">
      <c r="B456" s="447" t="str">
        <f>IF($C$1="ENG","Ventilation cut","вентиляційний підріз")</f>
        <v>вентиляційний підріз</v>
      </c>
      <c r="C456" s="448"/>
      <c r="D456" s="405">
        <f t="shared" si="67"/>
        <v>141.66666666666669</v>
      </c>
      <c r="E456" s="66">
        <f t="shared" ref="E456:E465" si="68">IF($W$5=0.2,D456*1.2,D456)/$W$4</f>
        <v>170.00000000000003</v>
      </c>
      <c r="F456" s="26"/>
      <c r="G456" s="26"/>
      <c r="I456" s="59"/>
      <c r="J456" s="28"/>
      <c r="AC456" s="298">
        <v>170</v>
      </c>
      <c r="AD456" s="289">
        <v>170</v>
      </c>
      <c r="AE456" s="289">
        <f t="shared" ref="AE456:AE465" si="69">AD456/AC456-1</f>
        <v>0</v>
      </c>
      <c r="AF456" s="289"/>
      <c r="AG456" s="289"/>
      <c r="AH456" s="289"/>
      <c r="AI456" s="289"/>
      <c r="AJ456" s="289"/>
      <c r="AK456" s="289"/>
      <c r="AL456" s="289"/>
    </row>
    <row r="457" spans="1:43">
      <c r="B457" s="445" t="str">
        <f>IF($C$1="ENG","glazing Graphite / Bronze","скло Графіт / Бронза")</f>
        <v>скло Графіт / Бронза</v>
      </c>
      <c r="C457" s="446"/>
      <c r="D457" s="407">
        <f t="shared" si="67"/>
        <v>458.33333333333337</v>
      </c>
      <c r="E457" s="93">
        <f t="shared" si="68"/>
        <v>550</v>
      </c>
      <c r="F457" s="26"/>
      <c r="G457" s="26"/>
      <c r="H457" s="5"/>
      <c r="AC457" s="298">
        <v>550</v>
      </c>
      <c r="AD457" s="289">
        <v>550</v>
      </c>
      <c r="AE457" s="289">
        <f t="shared" si="69"/>
        <v>0</v>
      </c>
      <c r="AF457" s="289"/>
      <c r="AG457" s="289"/>
      <c r="AH457" s="289"/>
      <c r="AI457" s="289"/>
      <c r="AJ457" s="289"/>
      <c r="AK457" s="289"/>
      <c r="AL457" s="289"/>
    </row>
    <row r="458" spans="1:43">
      <c r="B458" s="445" t="str">
        <f>IF($C$1="ENG","door lock Soft","замок Soft")</f>
        <v>замок Soft</v>
      </c>
      <c r="C458" s="446"/>
      <c r="D458" s="407">
        <f t="shared" si="67"/>
        <v>458.33333333333337</v>
      </c>
      <c r="E458" s="93">
        <f t="shared" si="68"/>
        <v>550</v>
      </c>
      <c r="F458" s="26"/>
      <c r="G458" s="26"/>
      <c r="H458" s="5"/>
      <c r="AC458" s="298">
        <v>550</v>
      </c>
      <c r="AD458" s="289">
        <v>550</v>
      </c>
      <c r="AE458" s="289">
        <f t="shared" si="69"/>
        <v>0</v>
      </c>
      <c r="AF458" s="289"/>
      <c r="AG458" s="289"/>
      <c r="AH458" s="289"/>
      <c r="AI458" s="289"/>
      <c r="AJ458" s="289"/>
      <c r="AK458" s="289"/>
      <c r="AL458" s="289"/>
    </row>
    <row r="459" spans="1:43">
      <c r="B459" s="445" t="str">
        <f>IF($C$1="ENG","door lock Soft black","замок Soft чорн.")</f>
        <v>замок Soft чорн.</v>
      </c>
      <c r="C459" s="446"/>
      <c r="D459" s="407">
        <f t="shared" ref="D459" si="70">IF(AC459="","",(1-$W$2)*(AC459/1.2))</f>
        <v>566.66666666666674</v>
      </c>
      <c r="E459" s="93">
        <f t="shared" ref="E459" si="71">IF($W$5=0.2,D459*1.2,D459)/$W$4</f>
        <v>680.00000000000011</v>
      </c>
      <c r="F459" s="26"/>
      <c r="G459" s="26"/>
      <c r="H459" s="5"/>
      <c r="AC459" s="298">
        <v>680</v>
      </c>
      <c r="AD459" s="289"/>
      <c r="AE459" s="289"/>
      <c r="AF459" s="289"/>
      <c r="AG459" s="289"/>
      <c r="AH459" s="289"/>
      <c r="AI459" s="289"/>
      <c r="AJ459" s="289"/>
      <c r="AK459" s="289"/>
      <c r="AL459" s="289"/>
    </row>
    <row r="460" spans="1:43">
      <c r="B460" s="445" t="str">
        <f>IF($C$1="ENG","door lock Magnet","замок Magnet")</f>
        <v>замок Magnet</v>
      </c>
      <c r="C460" s="446"/>
      <c r="D460" s="407">
        <f t="shared" si="67"/>
        <v>666.66666666666674</v>
      </c>
      <c r="E460" s="93">
        <f t="shared" si="68"/>
        <v>800.00000000000011</v>
      </c>
      <c r="F460" s="26"/>
      <c r="G460" s="26"/>
      <c r="H460" s="5"/>
      <c r="AC460" s="298">
        <v>800</v>
      </c>
      <c r="AD460" s="289">
        <v>800</v>
      </c>
      <c r="AE460" s="289">
        <f t="shared" si="69"/>
        <v>0</v>
      </c>
      <c r="AF460" s="289"/>
      <c r="AG460" s="289"/>
      <c r="AH460" s="289"/>
      <c r="AI460" s="289"/>
      <c r="AJ460" s="289"/>
      <c r="AK460" s="289"/>
      <c r="AL460" s="289"/>
    </row>
    <row r="461" spans="1:43">
      <c r="B461" s="445" t="s">
        <v>76</v>
      </c>
      <c r="C461" s="446"/>
      <c r="D461" s="407">
        <f t="shared" ref="D461" si="72">IF(AC461="","",(1-$W$2)*(AC461/1.2))</f>
        <v>833.33333333333337</v>
      </c>
      <c r="E461" s="93">
        <f t="shared" ref="E461" si="73">IF($W$5=0.2,D461*1.2,D461)/$W$4</f>
        <v>1000</v>
      </c>
      <c r="F461" s="26"/>
      <c r="G461" s="26"/>
      <c r="H461" s="5"/>
      <c r="AC461" s="298">
        <v>1000</v>
      </c>
      <c r="AD461" s="289"/>
      <c r="AE461" s="289"/>
      <c r="AF461" s="289"/>
      <c r="AG461" s="289"/>
      <c r="AH461" s="289"/>
      <c r="AI461" s="289"/>
      <c r="AJ461" s="289"/>
      <c r="AK461" s="289"/>
      <c r="AL461" s="289"/>
    </row>
    <row r="462" spans="1:43">
      <c r="B462" s="445" t="str">
        <f>IF($C$1="ENG","door handle-lock (for sliding doors)","ручка-замок (для дверей купе)")</f>
        <v>ручка-замок (для дверей купе)</v>
      </c>
      <c r="C462" s="446"/>
      <c r="D462" s="405">
        <f t="shared" si="67"/>
        <v>466.66666666666669</v>
      </c>
      <c r="E462" s="93">
        <f t="shared" si="68"/>
        <v>560</v>
      </c>
      <c r="F462" s="26"/>
      <c r="G462" s="26"/>
      <c r="I462" s="11"/>
      <c r="J462" s="11"/>
      <c r="K462" s="19"/>
      <c r="AC462" s="298">
        <v>560</v>
      </c>
      <c r="AD462" s="289">
        <v>560</v>
      </c>
      <c r="AE462" s="289">
        <f t="shared" si="69"/>
        <v>0</v>
      </c>
      <c r="AF462" s="289"/>
      <c r="AG462" s="289"/>
      <c r="AH462" s="289"/>
      <c r="AI462" s="289"/>
      <c r="AJ462" s="289"/>
      <c r="AK462" s="289"/>
      <c r="AL462" s="289"/>
    </row>
    <row r="463" spans="1:43">
      <c r="B463" s="445" t="str">
        <f>IF($C$1="ENG","cylinder incert","циліндр несиметричний")</f>
        <v>циліндр несиметричний</v>
      </c>
      <c r="C463" s="446"/>
      <c r="D463" s="405">
        <f t="shared" si="67"/>
        <v>325</v>
      </c>
      <c r="E463" s="93">
        <f t="shared" si="68"/>
        <v>390</v>
      </c>
      <c r="F463" s="26"/>
      <c r="G463" s="26"/>
      <c r="AC463" s="298">
        <v>390</v>
      </c>
      <c r="AD463" s="289">
        <v>390</v>
      </c>
      <c r="AE463" s="289">
        <f t="shared" si="69"/>
        <v>0</v>
      </c>
      <c r="AF463" s="289"/>
      <c r="AG463" s="289"/>
      <c r="AH463" s="289"/>
      <c r="AI463" s="289"/>
      <c r="AJ463" s="289"/>
      <c r="AK463" s="289"/>
      <c r="AL463" s="289"/>
    </row>
    <row r="464" spans="1:43">
      <c r="B464" s="445" t="str">
        <f>IF($C$1="ENG","door hindge Prestige (1 unit)","завіса Prestige (1 шт)")</f>
        <v>завіса Prestige (1 шт)</v>
      </c>
      <c r="C464" s="446"/>
      <c r="D464" s="408">
        <f t="shared" si="67"/>
        <v>216.66666666666669</v>
      </c>
      <c r="E464" s="93">
        <f t="shared" si="68"/>
        <v>260</v>
      </c>
      <c r="F464" s="26"/>
      <c r="G464" s="26"/>
      <c r="AC464" s="298">
        <v>260</v>
      </c>
      <c r="AD464" s="289">
        <v>260</v>
      </c>
      <c r="AE464" s="289">
        <f t="shared" si="69"/>
        <v>0</v>
      </c>
      <c r="AF464" s="289"/>
      <c r="AG464" s="289"/>
      <c r="AH464" s="289"/>
      <c r="AI464" s="289"/>
      <c r="AJ464" s="289"/>
      <c r="AK464" s="289"/>
      <c r="AL464" s="289"/>
    </row>
    <row r="465" spans="2:38">
      <c r="B465" s="445" t="str">
        <f>IF($C$1="ENG","door hinge caps (1 set)","накладка на завіси (1 к-т)")</f>
        <v>накладка на завіси (1 к-т)</v>
      </c>
      <c r="C465" s="446"/>
      <c r="D465" s="408">
        <f t="shared" si="67"/>
        <v>66.666666666666671</v>
      </c>
      <c r="E465" s="93">
        <f t="shared" si="68"/>
        <v>80</v>
      </c>
      <c r="F465" s="26"/>
      <c r="G465" s="26"/>
      <c r="AC465" s="298">
        <v>80</v>
      </c>
      <c r="AD465" s="289">
        <v>80</v>
      </c>
      <c r="AE465" s="289">
        <f t="shared" si="69"/>
        <v>0</v>
      </c>
      <c r="AF465" s="289"/>
      <c r="AG465" s="289"/>
      <c r="AH465" s="289"/>
      <c r="AI465" s="289"/>
      <c r="AJ465" s="289"/>
      <c r="AK465" s="289"/>
      <c r="AL465" s="289"/>
    </row>
    <row r="466" spans="2:38">
      <c r="B466" s="445" t="str">
        <f>IF($C$1="ENG","door handle","дверна ручка")</f>
        <v>дверна ручка</v>
      </c>
      <c r="C466" s="446"/>
      <c r="D466" s="409" t="str">
        <f t="shared" si="67"/>
        <v/>
      </c>
      <c r="E466" s="247" t="str">
        <f>IF($C$1="ENG","see Handles Price","див. Таблицю Ручки")</f>
        <v>див. Таблицю Ручки</v>
      </c>
      <c r="F466" s="26"/>
      <c r="G466" s="26"/>
      <c r="AC466" s="289"/>
      <c r="AD466" s="289"/>
      <c r="AE466" s="289"/>
      <c r="AF466" s="289"/>
      <c r="AG466" s="289"/>
      <c r="AH466" s="289"/>
      <c r="AI466" s="289"/>
      <c r="AJ466" s="289"/>
      <c r="AK466" s="289"/>
      <c r="AL466" s="289"/>
    </row>
    <row r="467" spans="2:38" ht="14.25" customHeight="1">
      <c r="C467" s="245"/>
      <c r="D467" s="26"/>
      <c r="E467" s="26"/>
      <c r="F467" s="26"/>
      <c r="G467" s="26"/>
      <c r="H467" s="5"/>
      <c r="T467" s="465" t="str">
        <f>IF($C$1="ENG",CONCATENATE("down to: ",B517),CONCATENATE("вниз до: ",B517))</f>
        <v>вниз до: Полотна збірні: ЛАДА B</v>
      </c>
      <c r="U467" s="465"/>
      <c r="V467" s="465"/>
      <c r="W467" s="465"/>
    </row>
    <row r="468" spans="2:38" ht="14.25" customHeight="1">
      <c r="C468" s="245"/>
      <c r="D468" s="26"/>
      <c r="E468" s="26"/>
      <c r="F468" s="26"/>
      <c r="G468" s="26"/>
      <c r="H468" s="5"/>
    </row>
    <row r="469" spans="2:38" ht="14.25" customHeight="1">
      <c r="C469" s="245"/>
      <c r="D469" s="26"/>
      <c r="E469" s="26"/>
      <c r="F469" s="26"/>
      <c r="G469" s="26"/>
      <c r="H469" s="5"/>
    </row>
    <row r="470" spans="2:38" ht="14.25" customHeight="1">
      <c r="C470" s="245"/>
      <c r="D470" s="26"/>
      <c r="E470" s="26"/>
      <c r="F470" s="26"/>
      <c r="G470" s="26"/>
      <c r="H470" s="5"/>
    </row>
    <row r="471" spans="2:38" ht="14.25" customHeight="1">
      <c r="C471" s="245"/>
      <c r="D471" s="26"/>
      <c r="E471" s="26"/>
      <c r="F471" s="26"/>
      <c r="G471" s="26"/>
      <c r="H471" s="5"/>
    </row>
    <row r="472" spans="2:38" ht="14.25" customHeight="1">
      <c r="C472" s="245"/>
      <c r="D472" s="26"/>
      <c r="E472" s="26"/>
      <c r="F472" s="26"/>
      <c r="G472" s="26"/>
      <c r="H472" s="5"/>
    </row>
    <row r="473" spans="2:38" ht="14.25" customHeight="1">
      <c r="C473" s="245"/>
      <c r="D473" s="26"/>
      <c r="E473" s="26"/>
      <c r="F473" s="26"/>
      <c r="G473" s="26"/>
      <c r="H473" s="5"/>
    </row>
    <row r="474" spans="2:38" ht="14.25" customHeight="1">
      <c r="C474" s="245"/>
      <c r="D474" s="26"/>
      <c r="E474" s="26"/>
      <c r="F474" s="26"/>
      <c r="G474" s="26"/>
      <c r="H474" s="5"/>
    </row>
    <row r="475" spans="2:38" ht="14.25" customHeight="1">
      <c r="C475" s="245"/>
      <c r="D475" s="26"/>
      <c r="E475" s="26"/>
      <c r="F475" s="26"/>
      <c r="G475" s="26"/>
      <c r="H475" s="5"/>
    </row>
    <row r="476" spans="2:38" ht="14.25" customHeight="1">
      <c r="C476" s="245"/>
      <c r="D476" s="26"/>
      <c r="E476" s="26"/>
      <c r="F476" s="26"/>
      <c r="G476" s="26"/>
      <c r="H476" s="5"/>
    </row>
    <row r="477" spans="2:38" ht="14.25" customHeight="1">
      <c r="C477" s="245"/>
      <c r="D477" s="26"/>
      <c r="E477" s="26"/>
      <c r="F477" s="26"/>
      <c r="G477" s="26"/>
      <c r="H477" s="5"/>
    </row>
    <row r="478" spans="2:38" ht="14.25" customHeight="1">
      <c r="C478" s="245"/>
      <c r="D478" s="26"/>
      <c r="E478" s="26"/>
      <c r="F478" s="26"/>
      <c r="G478" s="26"/>
      <c r="H478" s="5"/>
    </row>
    <row r="479" spans="2:38" ht="14.25" customHeight="1">
      <c r="C479" s="245"/>
      <c r="D479" s="26"/>
      <c r="E479" s="26"/>
      <c r="F479" s="26"/>
      <c r="G479" s="26"/>
      <c r="H479" s="5"/>
    </row>
    <row r="480" spans="2:38" ht="14.25" customHeight="1">
      <c r="C480" s="245"/>
      <c r="D480" s="26"/>
      <c r="E480" s="26"/>
      <c r="F480" s="26"/>
      <c r="G480" s="26"/>
      <c r="H480" s="5"/>
    </row>
    <row r="481" spans="3:8" ht="14.25" customHeight="1">
      <c r="C481" s="245"/>
      <c r="D481" s="26"/>
      <c r="E481" s="26"/>
      <c r="F481" s="26"/>
      <c r="G481" s="26"/>
      <c r="H481" s="5"/>
    </row>
    <row r="482" spans="3:8" ht="14.25" customHeight="1">
      <c r="C482" s="245"/>
      <c r="D482" s="26"/>
      <c r="E482" s="26"/>
      <c r="F482" s="26"/>
      <c r="G482" s="26"/>
      <c r="H482" s="5"/>
    </row>
    <row r="483" spans="3:8" ht="14.25" customHeight="1">
      <c r="C483" s="245"/>
      <c r="D483" s="26"/>
      <c r="E483" s="26"/>
      <c r="F483" s="26"/>
      <c r="G483" s="26"/>
      <c r="H483" s="5"/>
    </row>
    <row r="484" spans="3:8" ht="14.25" customHeight="1">
      <c r="C484" s="245"/>
      <c r="D484" s="26"/>
      <c r="E484" s="26"/>
      <c r="F484" s="26"/>
      <c r="G484" s="26"/>
      <c r="H484" s="5"/>
    </row>
    <row r="485" spans="3:8" ht="14.25" customHeight="1">
      <c r="C485" s="245"/>
      <c r="D485" s="26"/>
      <c r="E485" s="26"/>
      <c r="F485" s="26"/>
      <c r="G485" s="26"/>
      <c r="H485" s="5"/>
    </row>
    <row r="486" spans="3:8" ht="14.25" customHeight="1">
      <c r="C486" s="245"/>
      <c r="D486" s="26"/>
      <c r="E486" s="26"/>
      <c r="F486" s="26"/>
      <c r="G486" s="26"/>
      <c r="H486" s="5"/>
    </row>
    <row r="487" spans="3:8" ht="14.25" customHeight="1">
      <c r="C487" s="245"/>
      <c r="D487" s="26"/>
      <c r="E487" s="26"/>
      <c r="F487" s="26"/>
      <c r="G487" s="26"/>
      <c r="H487" s="5"/>
    </row>
    <row r="488" spans="3:8" ht="14.25" customHeight="1">
      <c r="C488" s="245"/>
      <c r="D488" s="26"/>
      <c r="E488" s="26"/>
      <c r="F488" s="26"/>
      <c r="G488" s="26"/>
      <c r="H488" s="5"/>
    </row>
    <row r="489" spans="3:8" ht="14.25" customHeight="1">
      <c r="C489" s="245"/>
      <c r="D489" s="26"/>
      <c r="E489" s="26"/>
      <c r="F489" s="26"/>
      <c r="G489" s="26"/>
      <c r="H489" s="5"/>
    </row>
    <row r="490" spans="3:8" ht="14.25" customHeight="1">
      <c r="C490" s="245"/>
      <c r="D490" s="26"/>
      <c r="E490" s="26"/>
      <c r="F490" s="26"/>
      <c r="G490" s="26"/>
      <c r="H490" s="5"/>
    </row>
    <row r="491" spans="3:8" ht="14.25" customHeight="1">
      <c r="C491" s="245"/>
      <c r="D491" s="26"/>
      <c r="E491" s="26"/>
      <c r="F491" s="26"/>
      <c r="G491" s="26"/>
      <c r="H491" s="5"/>
    </row>
    <row r="492" spans="3:8" ht="14.25" customHeight="1">
      <c r="C492" s="245"/>
      <c r="D492" s="26"/>
      <c r="E492" s="26"/>
      <c r="F492" s="26"/>
      <c r="G492" s="26"/>
      <c r="H492" s="5"/>
    </row>
    <row r="493" spans="3:8" ht="14.25" customHeight="1">
      <c r="C493" s="245"/>
      <c r="D493" s="26"/>
      <c r="E493" s="26"/>
      <c r="F493" s="26"/>
      <c r="G493" s="26"/>
      <c r="H493" s="5"/>
    </row>
    <row r="494" spans="3:8" ht="14.25" customHeight="1">
      <c r="C494" s="245"/>
      <c r="D494" s="26"/>
      <c r="E494" s="26"/>
      <c r="F494" s="26"/>
      <c r="G494" s="26"/>
      <c r="H494" s="5"/>
    </row>
    <row r="495" spans="3:8" ht="14.25" customHeight="1">
      <c r="C495" s="245"/>
      <c r="D495" s="26"/>
      <c r="E495" s="26"/>
      <c r="F495" s="26"/>
      <c r="G495" s="26"/>
      <c r="H495" s="5"/>
    </row>
    <row r="496" spans="3:8" ht="14.25" customHeight="1">
      <c r="C496" s="245"/>
      <c r="D496" s="26"/>
      <c r="E496" s="26"/>
      <c r="F496" s="26"/>
      <c r="G496" s="26"/>
      <c r="H496" s="5"/>
    </row>
    <row r="497" spans="3:8" ht="14.25" customHeight="1">
      <c r="C497" s="245"/>
      <c r="D497" s="26"/>
      <c r="E497" s="26"/>
      <c r="F497" s="26"/>
      <c r="G497" s="26"/>
      <c r="H497" s="5"/>
    </row>
    <row r="498" spans="3:8" ht="14.25" customHeight="1">
      <c r="C498" s="245"/>
      <c r="D498" s="26"/>
      <c r="E498" s="26"/>
      <c r="F498" s="26"/>
      <c r="G498" s="26"/>
      <c r="H498" s="5"/>
    </row>
    <row r="499" spans="3:8" ht="14.25" customHeight="1">
      <c r="C499" s="245"/>
      <c r="D499" s="26"/>
      <c r="E499" s="26"/>
      <c r="F499" s="26"/>
      <c r="G499" s="26"/>
      <c r="H499" s="5"/>
    </row>
    <row r="500" spans="3:8" ht="14.25" customHeight="1">
      <c r="C500" s="245"/>
      <c r="D500" s="26"/>
      <c r="E500" s="26"/>
      <c r="F500" s="26"/>
      <c r="G500" s="26"/>
      <c r="H500" s="5"/>
    </row>
    <row r="501" spans="3:8" ht="14.25" customHeight="1">
      <c r="C501" s="245"/>
      <c r="D501" s="26"/>
      <c r="E501" s="26"/>
      <c r="F501" s="26"/>
      <c r="G501" s="26"/>
      <c r="H501" s="5"/>
    </row>
    <row r="502" spans="3:8" ht="14.25" customHeight="1">
      <c r="C502" s="245"/>
      <c r="D502" s="26"/>
      <c r="E502" s="26"/>
      <c r="F502" s="26"/>
      <c r="G502" s="26"/>
      <c r="H502" s="5"/>
    </row>
    <row r="503" spans="3:8" ht="14.25" customHeight="1">
      <c r="C503" s="245"/>
      <c r="D503" s="26"/>
      <c r="E503" s="26"/>
      <c r="F503" s="26"/>
      <c r="G503" s="26"/>
      <c r="H503" s="5"/>
    </row>
    <row r="504" spans="3:8" ht="14.25" customHeight="1">
      <c r="C504" s="245"/>
      <c r="D504" s="26"/>
      <c r="E504" s="26"/>
      <c r="F504" s="26"/>
      <c r="G504" s="26"/>
      <c r="H504" s="5"/>
    </row>
    <row r="505" spans="3:8" ht="14.25" customHeight="1">
      <c r="C505" s="245"/>
      <c r="D505" s="26"/>
      <c r="E505" s="26"/>
      <c r="F505" s="26"/>
      <c r="G505" s="26"/>
      <c r="H505" s="5"/>
    </row>
    <row r="506" spans="3:8" ht="14.25" customHeight="1">
      <c r="C506" s="245"/>
      <c r="D506" s="26"/>
      <c r="E506" s="26"/>
      <c r="F506" s="26"/>
      <c r="G506" s="26"/>
      <c r="H506" s="5"/>
    </row>
    <row r="507" spans="3:8" ht="14.25" customHeight="1">
      <c r="C507" s="245"/>
      <c r="D507" s="26"/>
      <c r="E507" s="26"/>
      <c r="F507" s="26"/>
      <c r="G507" s="26"/>
      <c r="H507" s="5"/>
    </row>
    <row r="508" spans="3:8" ht="14.25" customHeight="1">
      <c r="C508" s="245"/>
      <c r="D508" s="26"/>
      <c r="E508" s="26"/>
      <c r="F508" s="26"/>
      <c r="G508" s="26"/>
      <c r="H508" s="5"/>
    </row>
    <row r="509" spans="3:8" ht="14.25" customHeight="1">
      <c r="C509" s="245"/>
      <c r="D509" s="26"/>
      <c r="E509" s="26"/>
      <c r="F509" s="26"/>
      <c r="G509" s="26"/>
      <c r="H509" s="5"/>
    </row>
    <row r="510" spans="3:8" ht="14.25" customHeight="1">
      <c r="C510" s="245"/>
      <c r="D510" s="26"/>
      <c r="E510" s="26"/>
      <c r="F510" s="26"/>
      <c r="G510" s="26"/>
      <c r="H510" s="5"/>
    </row>
    <row r="511" spans="3:8" ht="14.25" customHeight="1">
      <c r="C511" s="245"/>
      <c r="D511" s="26"/>
      <c r="E511" s="26"/>
      <c r="F511" s="26"/>
      <c r="G511" s="26"/>
      <c r="H511" s="5"/>
    </row>
    <row r="512" spans="3:8" ht="14.25" customHeight="1">
      <c r="C512" s="245"/>
      <c r="D512" s="26"/>
      <c r="E512" s="26"/>
      <c r="F512" s="26"/>
      <c r="G512" s="26"/>
      <c r="H512" s="5"/>
    </row>
    <row r="513" spans="1:46" ht="14.25" customHeight="1">
      <c r="C513" s="245"/>
      <c r="D513" s="26"/>
      <c r="E513" s="26"/>
      <c r="F513" s="26"/>
      <c r="G513" s="26"/>
      <c r="H513" s="5"/>
    </row>
    <row r="514" spans="1:46" ht="14.25" customHeight="1">
      <c r="C514" s="245"/>
      <c r="D514" s="26"/>
      <c r="E514" s="26"/>
      <c r="F514" s="26"/>
      <c r="G514" s="26"/>
      <c r="H514" s="5"/>
    </row>
    <row r="515" spans="1:46" ht="14.25" customHeight="1">
      <c r="C515" s="245"/>
      <c r="D515" s="26"/>
      <c r="E515" s="26"/>
      <c r="F515" s="26"/>
      <c r="G515" s="26"/>
      <c r="H515" s="5"/>
    </row>
    <row r="516" spans="1:46" ht="14.25" customHeight="1">
      <c r="C516" s="245"/>
      <c r="D516" s="26"/>
      <c r="E516" s="26"/>
      <c r="F516" s="26"/>
      <c r="G516" s="26"/>
      <c r="H516" s="5"/>
    </row>
    <row r="517" spans="1:46" s="8" customFormat="1">
      <c r="B517" s="451" t="str">
        <f>TITLE!C15</f>
        <v>Полотна збірні: ЛАДА B</v>
      </c>
      <c r="C517" s="451"/>
      <c r="D517" s="118"/>
      <c r="E517" s="118"/>
      <c r="F517" s="118"/>
      <c r="G517" s="118"/>
      <c r="H517" s="455"/>
      <c r="I517" s="455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462" t="str">
        <f>IF($C$1="ENG",CONCATENATE("up to: ",B444),CONCATENATE("вгору до: ",B444))</f>
        <v>вгору до: Полотна збірні: ЛАДА A</v>
      </c>
      <c r="U517" s="462"/>
      <c r="V517" s="462"/>
      <c r="W517" s="462"/>
      <c r="AN517" s="280"/>
      <c r="AO517" s="280"/>
      <c r="AP517" s="280"/>
      <c r="AQ517" s="280"/>
      <c r="AR517" s="280"/>
      <c r="AS517" s="280"/>
      <c r="AT517" s="280"/>
    </row>
    <row r="518" spans="1:46" s="8" customFormat="1" ht="5.0999999999999996" customHeight="1">
      <c r="B518" s="117"/>
      <c r="C518" s="420"/>
      <c r="D518" s="9"/>
      <c r="E518" s="9"/>
      <c r="F518" s="9"/>
      <c r="G518" s="9"/>
      <c r="H518" s="120"/>
      <c r="I518" s="120"/>
      <c r="T518" s="115"/>
      <c r="U518" s="115"/>
      <c r="V518" s="115"/>
      <c r="W518" s="115"/>
      <c r="AN518" s="280"/>
      <c r="AO518" s="280"/>
      <c r="AP518" s="280"/>
      <c r="AQ518" s="280"/>
      <c r="AR518" s="280"/>
      <c r="AS518" s="280"/>
      <c r="AT518" s="280"/>
    </row>
    <row r="519" spans="1:46" s="8" customFormat="1" ht="12.75" customHeight="1">
      <c r="B519" s="452" t="str">
        <f>IF($C$1="ENG","model","модель")</f>
        <v>модель</v>
      </c>
      <c r="C519" s="122" t="str">
        <f>IF($C$1="ENG","cover:","покриття:")</f>
        <v>покриття:</v>
      </c>
      <c r="D519" s="458" t="str">
        <f>IF($C$1="ENG","Verto-CELL","Verto-CELL")</f>
        <v>Verto-CELL</v>
      </c>
      <c r="E519" s="459"/>
      <c r="F519" s="458" t="str">
        <f>IF($C$1="ENG","UNI-MAT","UNI-MAT")</f>
        <v>UNI-MAT</v>
      </c>
      <c r="G519" s="459"/>
      <c r="H519" s="458" t="str">
        <f>IF($C$1="ENG","RESIST","RESIST")</f>
        <v>RESIST</v>
      </c>
      <c r="I519" s="459"/>
      <c r="J519" s="458" t="str">
        <f>IF($C$1="ENG","Verto LINE-3D","Verto LINE-3D")</f>
        <v>Verto LINE-3D</v>
      </c>
      <c r="K519" s="459"/>
      <c r="L519" s="458" t="str">
        <f>IF($C$1="ENG","ECO Shpon","ЕКО Шпон")</f>
        <v>ЕКО Шпон</v>
      </c>
      <c r="M519" s="459"/>
      <c r="P519" s="1"/>
      <c r="Q519" s="1"/>
      <c r="T519" s="115"/>
      <c r="U519" s="115"/>
      <c r="V519" s="115"/>
      <c r="W519" s="115"/>
      <c r="AN519" s="280"/>
      <c r="AO519" s="280"/>
      <c r="AP519" s="280"/>
      <c r="AQ519" s="280"/>
      <c r="AR519" s="280"/>
      <c r="AS519" s="280"/>
      <c r="AT519" s="280"/>
    </row>
    <row r="520" spans="1:46" s="8" customFormat="1" ht="24.75" customHeight="1">
      <c r="B520" s="453"/>
      <c r="C520" s="123" t="str">
        <f>IF($C$1="ENG","filling:","заповнення:")</f>
        <v>заповнення:</v>
      </c>
      <c r="D520" s="460" t="str">
        <f>IF($C$1="ENG","softwood","клеєний сосновий брус")</f>
        <v>клеєний сосновий брус</v>
      </c>
      <c r="E520" s="461"/>
      <c r="F520" s="460" t="str">
        <f>IF($C$1="ENG","softwood","клеєний сосновий брус")</f>
        <v>клеєний сосновий брус</v>
      </c>
      <c r="G520" s="461"/>
      <c r="H520" s="460" t="str">
        <f>IF($C$1="ENG","softwood","клеєний сосновий брус")</f>
        <v>клеєний сосновий брус</v>
      </c>
      <c r="I520" s="461"/>
      <c r="J520" s="460" t="str">
        <f>IF($C$1="ENG","softwood","клеєний сосновий брус")</f>
        <v>клеєний сосновий брус</v>
      </c>
      <c r="K520" s="461"/>
      <c r="L520" s="460" t="str">
        <f>IF($C$1="ENG","softwood","клеєний сосновий брус")</f>
        <v>клеєний сосновий брус</v>
      </c>
      <c r="M520" s="461"/>
      <c r="P520" s="1"/>
      <c r="Q520" s="1"/>
      <c r="T520" s="115"/>
      <c r="U520" s="115"/>
      <c r="V520" s="115"/>
      <c r="W520" s="115"/>
      <c r="AD520" s="383">
        <f>AD522/AC522-1</f>
        <v>0.1396468699839486</v>
      </c>
      <c r="AE520" s="383">
        <f>AE522/AD522-1</f>
        <v>4.2253521126760507E-2</v>
      </c>
      <c r="AF520" s="383">
        <f>AF522/AE522-1</f>
        <v>8.783783783783794E-2</v>
      </c>
      <c r="AG520" s="383">
        <f>AG522/AF522-1</f>
        <v>5.2173913043478182E-2</v>
      </c>
      <c r="AN520" s="280"/>
      <c r="AO520" s="280"/>
      <c r="AP520" s="280"/>
      <c r="AQ520" s="280"/>
      <c r="AR520" s="280"/>
      <c r="AS520" s="280"/>
      <c r="AT520" s="280"/>
    </row>
    <row r="521" spans="1:46" ht="12.75" customHeight="1">
      <c r="A521" s="8"/>
      <c r="B521" s="454"/>
      <c r="C521" s="124" t="str">
        <f>IF($C$1="ENG","glazing:","скління:")</f>
        <v>скління:</v>
      </c>
      <c r="D521" s="449" t="str">
        <f>IF($C$1="ENG","Satin","Сатин")</f>
        <v>Сатин</v>
      </c>
      <c r="E521" s="450"/>
      <c r="F521" s="449" t="str">
        <f>IF($C$1="ENG","Satin","Сатин")</f>
        <v>Сатин</v>
      </c>
      <c r="G521" s="450"/>
      <c r="H521" s="449" t="str">
        <f>IF($C$1="ENG","Satin","Сатин")</f>
        <v>Сатин</v>
      </c>
      <c r="I521" s="450"/>
      <c r="J521" s="449" t="str">
        <f>IF($C$1="ENG","Satin","Сатин")</f>
        <v>Сатин</v>
      </c>
      <c r="K521" s="450"/>
      <c r="L521" s="449" t="str">
        <f>IF($C$1="ENG","Satin","Сатин")</f>
        <v>Сатин</v>
      </c>
      <c r="M521" s="450"/>
    </row>
    <row r="522" spans="1:46" ht="35.1" customHeight="1">
      <c r="A522" s="8"/>
      <c r="B522" s="13" t="s">
        <v>39</v>
      </c>
      <c r="C522" s="14"/>
      <c r="D522" s="15">
        <f>IF(AC522="","",(1-$W$2)*(AC522/1.2))</f>
        <v>5191.666666666667</v>
      </c>
      <c r="E522" s="64">
        <f>IF($W$5=0.2,D522*1.2,D522)/$W$4</f>
        <v>6230</v>
      </c>
      <c r="F522" s="15">
        <f>IF(AD522="","",(1-$W$2)*(AD522/1.2))</f>
        <v>5916.666666666667</v>
      </c>
      <c r="G522" s="64">
        <f>IF($W$5=0.2,F522*1.2,F522)/$W$4</f>
        <v>7100</v>
      </c>
      <c r="H522" s="15">
        <f>IF(AE522="","",(1-$W$2)*(AE522/1.2))</f>
        <v>6166.666666666667</v>
      </c>
      <c r="I522" s="64">
        <f>IF($W$5=0.2,H522*1.2,H522)/$W$4</f>
        <v>7400</v>
      </c>
      <c r="J522" s="15">
        <f>IF(AF522="","",(1-$W$2)*(AF522/1.2))</f>
        <v>6708.3333333333339</v>
      </c>
      <c r="K522" s="64">
        <f>IF($W$5=0.2,J522*1.2,J522)/$W$4</f>
        <v>8050</v>
      </c>
      <c r="L522" s="15">
        <f>IF(AG522="","",(1-$W$2)*(AG522/1.2))</f>
        <v>7058.3333333333339</v>
      </c>
      <c r="M522" s="64">
        <f>IF($W$5=0.2,L522*1.2,L522)/$W$4</f>
        <v>8470</v>
      </c>
      <c r="N522" s="104"/>
      <c r="R522" s="104"/>
      <c r="T522" s="104"/>
      <c r="U522" s="20"/>
      <c r="V522" s="104"/>
      <c r="W522" s="20"/>
      <c r="X522" s="104"/>
      <c r="Y522" s="104"/>
      <c r="Z522" s="104"/>
      <c r="AA522" s="104"/>
      <c r="AB522" s="104"/>
      <c r="AC522" s="332">
        <v>6230</v>
      </c>
      <c r="AD522" s="391">
        <v>7100</v>
      </c>
      <c r="AE522" s="332">
        <v>7400</v>
      </c>
      <c r="AF522" s="332">
        <v>8050</v>
      </c>
      <c r="AG522" s="332">
        <v>8470</v>
      </c>
      <c r="AH522" s="289">
        <v>6230</v>
      </c>
      <c r="AI522" s="289">
        <f>AH522/AC522-1</f>
        <v>0</v>
      </c>
      <c r="AJ522" s="289">
        <v>7100</v>
      </c>
      <c r="AK522" s="289">
        <f>AJ522/AD522-1</f>
        <v>0</v>
      </c>
      <c r="AL522" s="289">
        <v>7400</v>
      </c>
      <c r="AM522" s="1">
        <f>AL522/AE522-1</f>
        <v>0</v>
      </c>
      <c r="AN522" s="30">
        <v>8050</v>
      </c>
      <c r="AO522" s="1">
        <f>AN522/AF522-1</f>
        <v>0</v>
      </c>
      <c r="AP522" s="1">
        <v>8470</v>
      </c>
      <c r="AQ522" s="1">
        <f>AP522/AG522-1</f>
        <v>0</v>
      </c>
    </row>
    <row r="523" spans="1:46" ht="35.1" customHeight="1">
      <c r="A523" s="8"/>
      <c r="B523" s="16" t="s">
        <v>28</v>
      </c>
      <c r="C523" s="17"/>
      <c r="D523" s="18">
        <f>IF(AC523="","",(1-$W$2)*(AC523/1.2))</f>
        <v>5191.666666666667</v>
      </c>
      <c r="E523" s="66">
        <f>IF($W$5=0.2,D523*1.2,D523)/$W$4</f>
        <v>6230</v>
      </c>
      <c r="F523" s="18">
        <f>IF(AD523="","",(1-$W$2)*(AD523/1.2))</f>
        <v>5916.666666666667</v>
      </c>
      <c r="G523" s="66">
        <f>IF($W$5=0.2,F523*1.2,F523)/$W$4</f>
        <v>7100</v>
      </c>
      <c r="H523" s="18">
        <f>IF(AE523="","",(1-$W$2)*(AE523/1.2))</f>
        <v>6166.666666666667</v>
      </c>
      <c r="I523" s="66">
        <f>IF($W$5=0.2,H523*1.2,H523)/$W$4</f>
        <v>7400</v>
      </c>
      <c r="J523" s="18">
        <f>IF(AF523="","",(1-$W$2)*(AF523/1.2))</f>
        <v>6708.3333333333339</v>
      </c>
      <c r="K523" s="66">
        <f>IF($W$5=0.2,J523*1.2,J523)/$W$4</f>
        <v>8050</v>
      </c>
      <c r="L523" s="18">
        <f>IF(AG523="","",(1-$W$2)*(AG523/1.2))</f>
        <v>7058.3333333333339</v>
      </c>
      <c r="M523" s="66">
        <f>IF($W$5=0.2,L523*1.2,L523)/$W$4</f>
        <v>8470</v>
      </c>
      <c r="N523" s="104"/>
      <c r="R523" s="104"/>
      <c r="T523" s="104"/>
      <c r="U523" s="20"/>
      <c r="V523" s="104"/>
      <c r="W523" s="20"/>
      <c r="X523" s="104"/>
      <c r="Y523" s="104"/>
      <c r="Z523" s="104"/>
      <c r="AA523" s="104"/>
      <c r="AB523" s="104"/>
      <c r="AC523" s="332">
        <v>6230</v>
      </c>
      <c r="AD523" s="391">
        <v>7100</v>
      </c>
      <c r="AE523" s="332">
        <v>7400</v>
      </c>
      <c r="AF523" s="332">
        <v>8050</v>
      </c>
      <c r="AG523" s="332">
        <v>8470</v>
      </c>
      <c r="AH523" s="289">
        <v>6230</v>
      </c>
      <c r="AI523" s="289">
        <f t="shared" ref="AI523:AI524" si="74">AH523/AC523-1</f>
        <v>0</v>
      </c>
      <c r="AJ523" s="289">
        <v>7100</v>
      </c>
      <c r="AK523" s="289">
        <f t="shared" ref="AK523:AK524" si="75">AJ523/AD523-1</f>
        <v>0</v>
      </c>
      <c r="AL523" s="289">
        <v>7400</v>
      </c>
      <c r="AM523" s="1">
        <f t="shared" ref="AM523:AM524" si="76">AL523/AE523-1</f>
        <v>0</v>
      </c>
      <c r="AN523" s="30">
        <v>8050</v>
      </c>
      <c r="AO523" s="1">
        <f t="shared" ref="AO523:AO524" si="77">AN523/AF523-1</f>
        <v>0</v>
      </c>
      <c r="AP523" s="1">
        <v>8470</v>
      </c>
      <c r="AQ523" s="1">
        <f t="shared" ref="AQ523:AQ524" si="78">AP523/AG523-1</f>
        <v>0</v>
      </c>
    </row>
    <row r="524" spans="1:46" ht="35.1" customHeight="1">
      <c r="A524" s="8"/>
      <c r="B524" s="23" t="s">
        <v>40</v>
      </c>
      <c r="C524" s="24"/>
      <c r="D524" s="25">
        <f>IF(AC524="","",(1-$W$2)*(AC524/1.2))</f>
        <v>5416.666666666667</v>
      </c>
      <c r="E524" s="69">
        <f>IF($W$5=0.2,D524*1.2,D524)/$W$4</f>
        <v>6500</v>
      </c>
      <c r="F524" s="25">
        <f>IF(AD524="","",(1-$W$2)*(AD524/1.2))</f>
        <v>6166.666666666667</v>
      </c>
      <c r="G524" s="69">
        <f>IF($W$5=0.2,F524*1.2,F524)/$W$4</f>
        <v>7400</v>
      </c>
      <c r="H524" s="25">
        <f>IF(AE524="","",(1-$W$2)*(AE524/1.2))</f>
        <v>6441.666666666667</v>
      </c>
      <c r="I524" s="69">
        <f>IF($W$5=0.2,H524*1.2,H524)/$W$4</f>
        <v>7730</v>
      </c>
      <c r="J524" s="25">
        <f>IF(AF524="","",(1-$W$2)*(AF524/1.2))</f>
        <v>6950</v>
      </c>
      <c r="K524" s="69">
        <f>IF($W$5=0.2,J524*1.2,J524)/$W$4</f>
        <v>8340</v>
      </c>
      <c r="L524" s="25">
        <f>IF(AG524="","",(1-$W$2)*(AG524/1.2))</f>
        <v>7375</v>
      </c>
      <c r="M524" s="69">
        <f>IF($W$5=0.2,L524*1.2,L524)/$W$4</f>
        <v>8850</v>
      </c>
      <c r="N524" s="104"/>
      <c r="R524" s="104"/>
      <c r="T524" s="104"/>
      <c r="V524" s="104"/>
      <c r="X524" s="104"/>
      <c r="Y524" s="104"/>
      <c r="Z524" s="104"/>
      <c r="AA524" s="104"/>
      <c r="AB524" s="104"/>
      <c r="AC524" s="332">
        <v>6500</v>
      </c>
      <c r="AD524" s="391">
        <v>7400</v>
      </c>
      <c r="AE524" s="332">
        <v>7730</v>
      </c>
      <c r="AF524" s="332">
        <v>8340</v>
      </c>
      <c r="AG524" s="332">
        <v>8850</v>
      </c>
      <c r="AH524" s="289">
        <v>6500</v>
      </c>
      <c r="AI524" s="289">
        <f t="shared" si="74"/>
        <v>0</v>
      </c>
      <c r="AJ524" s="289">
        <v>7400</v>
      </c>
      <c r="AK524" s="289">
        <f t="shared" si="75"/>
        <v>0</v>
      </c>
      <c r="AL524" s="289">
        <v>7730</v>
      </c>
      <c r="AM524" s="1">
        <f t="shared" si="76"/>
        <v>0</v>
      </c>
      <c r="AN524" s="30">
        <v>8340</v>
      </c>
      <c r="AO524" s="1">
        <f t="shared" si="77"/>
        <v>0</v>
      </c>
      <c r="AP524" s="1">
        <v>8850</v>
      </c>
      <c r="AQ524" s="1">
        <f t="shared" si="78"/>
        <v>0</v>
      </c>
    </row>
    <row r="525" spans="1:46">
      <c r="C525" s="245"/>
      <c r="D525" s="26"/>
      <c r="E525" s="57"/>
      <c r="F525" s="26"/>
      <c r="G525" s="57"/>
      <c r="H525" s="10"/>
      <c r="I525" s="8"/>
      <c r="J525" s="8"/>
      <c r="K525" s="8"/>
    </row>
    <row r="526" spans="1:46">
      <c r="B526" s="212" t="str">
        <f>IF($C$1="ENG","For additonal charge:","Послуги за додаткову плату:")</f>
        <v>Послуги за додаткову плату:</v>
      </c>
      <c r="C526" s="421"/>
      <c r="D526" s="213"/>
      <c r="E526" s="214"/>
      <c r="F526" s="26"/>
      <c r="G526" s="57"/>
      <c r="H526" s="10"/>
      <c r="I526" s="8"/>
      <c r="J526" s="8"/>
      <c r="K526" s="8"/>
    </row>
    <row r="527" spans="1:46" ht="5.0999999999999996" customHeight="1">
      <c r="B527" s="27"/>
      <c r="C527" s="245"/>
      <c r="D527" s="26"/>
      <c r="E527" s="57"/>
      <c r="F527" s="26"/>
      <c r="G527" s="57"/>
      <c r="H527" s="10"/>
      <c r="I527" s="8"/>
      <c r="J527" s="8"/>
      <c r="K527" s="8"/>
    </row>
    <row r="528" spans="1:46">
      <c r="B528" s="447" t="str">
        <f>IF($C$1="ENG","door leaf with width 100","полотно розміром 100")</f>
        <v>полотно розміром 100</v>
      </c>
      <c r="C528" s="448"/>
      <c r="D528" s="410">
        <f t="shared" ref="D528:D540" si="79">IF(AC528="","",(1-$W$2)*(AC528/1.2))</f>
        <v>600</v>
      </c>
      <c r="E528" s="92">
        <f t="shared" ref="E528:E539" si="80">IF($W$5=0.2,D528*1.2,D528)/$W$4</f>
        <v>720</v>
      </c>
      <c r="F528" s="26"/>
      <c r="G528" s="26"/>
      <c r="H528" s="10"/>
      <c r="I528" s="8"/>
      <c r="J528" s="8"/>
      <c r="K528" s="8"/>
      <c r="AC528" s="298">
        <v>720</v>
      </c>
      <c r="AD528" s="298">
        <v>720</v>
      </c>
      <c r="AE528" s="289">
        <f>AD528/AC528-1</f>
        <v>0</v>
      </c>
      <c r="AF528" s="289"/>
      <c r="AG528" s="289"/>
      <c r="AH528" s="289"/>
      <c r="AI528" s="289"/>
      <c r="AJ528" s="289"/>
      <c r="AK528" s="289"/>
      <c r="AL528" s="289"/>
    </row>
    <row r="529" spans="2:38">
      <c r="B529" s="447" t="str">
        <f>IF($C$1="ENG","Ventilation cut","вентиляційний підріз")</f>
        <v>вентиляційний підріз</v>
      </c>
      <c r="C529" s="448"/>
      <c r="D529" s="405">
        <f t="shared" si="79"/>
        <v>141.66666666666669</v>
      </c>
      <c r="E529" s="66">
        <f t="shared" si="80"/>
        <v>170.00000000000003</v>
      </c>
      <c r="F529" s="26"/>
      <c r="G529" s="26"/>
      <c r="I529" s="59"/>
      <c r="J529" s="28"/>
      <c r="AC529" s="298">
        <v>170</v>
      </c>
      <c r="AD529" s="298">
        <v>170</v>
      </c>
      <c r="AE529" s="289">
        <f t="shared" ref="AE529:AE539" si="81">AD529/AC529-1</f>
        <v>0</v>
      </c>
      <c r="AF529" s="289"/>
      <c r="AG529" s="289"/>
      <c r="AH529" s="289"/>
      <c r="AI529" s="289"/>
      <c r="AJ529" s="289"/>
      <c r="AK529" s="289"/>
      <c r="AL529" s="289"/>
    </row>
    <row r="530" spans="2:38">
      <c r="B530" s="445" t="str">
        <f>IF($C$1="ENG","glazing Graphite / Bronze","скло Графіт / Бронза")</f>
        <v>скло Графіт / Бронза</v>
      </c>
      <c r="C530" s="446"/>
      <c r="D530" s="407">
        <f t="shared" si="79"/>
        <v>458.33333333333337</v>
      </c>
      <c r="E530" s="93">
        <f>IF($W$5=0.2,D530*1.2,D530)/$W$4</f>
        <v>550</v>
      </c>
      <c r="F530" s="26"/>
      <c r="G530" s="26"/>
      <c r="H530" s="5"/>
      <c r="AC530" s="298">
        <v>550</v>
      </c>
      <c r="AD530" s="298">
        <v>550</v>
      </c>
      <c r="AE530" s="289">
        <f t="shared" si="81"/>
        <v>0</v>
      </c>
      <c r="AF530" s="289"/>
      <c r="AG530" s="289"/>
      <c r="AH530" s="289"/>
      <c r="AI530" s="289"/>
      <c r="AJ530" s="289"/>
      <c r="AK530" s="289"/>
      <c r="AL530" s="289"/>
    </row>
    <row r="531" spans="2:38">
      <c r="B531" s="445" t="str">
        <f>IF($C$1="ENG","glazing Lacobel black ","скло Lacobel чорне")</f>
        <v>скло Lacobel чорне</v>
      </c>
      <c r="C531" s="446"/>
      <c r="D531" s="407">
        <f t="shared" si="79"/>
        <v>458.33333333333337</v>
      </c>
      <c r="E531" s="93">
        <f>IF($W$5=0.2,D531*1.2,D531)/$W$4</f>
        <v>550</v>
      </c>
      <c r="F531" s="26"/>
      <c r="G531" s="26"/>
      <c r="H531" s="5"/>
      <c r="AC531" s="298">
        <v>550</v>
      </c>
      <c r="AD531" s="298">
        <v>550</v>
      </c>
      <c r="AE531" s="289"/>
      <c r="AF531" s="289"/>
      <c r="AG531" s="289"/>
      <c r="AH531" s="289"/>
      <c r="AI531" s="289"/>
      <c r="AJ531" s="289"/>
      <c r="AK531" s="289"/>
      <c r="AL531" s="289"/>
    </row>
    <row r="532" spans="2:38">
      <c r="B532" s="445" t="str">
        <f>IF($C$1="ENG","door lock Soft","замок Soft")</f>
        <v>замок Soft</v>
      </c>
      <c r="C532" s="446"/>
      <c r="D532" s="407">
        <f t="shared" si="79"/>
        <v>458.33333333333337</v>
      </c>
      <c r="E532" s="93">
        <f t="shared" si="80"/>
        <v>550</v>
      </c>
      <c r="F532" s="26"/>
      <c r="G532" s="26"/>
      <c r="H532" s="5"/>
      <c r="AC532" s="298">
        <v>550</v>
      </c>
      <c r="AD532" s="298">
        <v>550</v>
      </c>
      <c r="AE532" s="289">
        <f t="shared" si="81"/>
        <v>0</v>
      </c>
      <c r="AF532" s="289"/>
      <c r="AG532" s="289"/>
      <c r="AH532" s="289"/>
      <c r="AI532" s="289"/>
      <c r="AJ532" s="289"/>
      <c r="AK532" s="289"/>
      <c r="AL532" s="289"/>
    </row>
    <row r="533" spans="2:38">
      <c r="B533" s="445" t="str">
        <f>IF($C$1="ENG","door lock Soft black","замок Soft чорн.")</f>
        <v>замок Soft чорн.</v>
      </c>
      <c r="C533" s="446"/>
      <c r="D533" s="407">
        <f t="shared" ref="D533" si="82">IF(AC533="","",(1-$W$2)*(AC533/1.2))</f>
        <v>566.66666666666674</v>
      </c>
      <c r="E533" s="93">
        <f t="shared" ref="E533" si="83">IF($W$5=0.2,D533*1.2,D533)/$W$4</f>
        <v>680.00000000000011</v>
      </c>
      <c r="F533" s="26"/>
      <c r="G533" s="26"/>
      <c r="H533" s="5"/>
      <c r="AC533" s="298">
        <v>680</v>
      </c>
      <c r="AD533" s="298"/>
      <c r="AE533" s="289"/>
      <c r="AF533" s="289"/>
      <c r="AG533" s="289"/>
      <c r="AH533" s="289"/>
      <c r="AI533" s="289"/>
      <c r="AJ533" s="289"/>
      <c r="AK533" s="289"/>
      <c r="AL533" s="289"/>
    </row>
    <row r="534" spans="2:38">
      <c r="B534" s="445" t="str">
        <f>IF($C$1="ENG","door lock Magnet","замок Magnet")</f>
        <v>замок Magnet</v>
      </c>
      <c r="C534" s="446"/>
      <c r="D534" s="407">
        <f t="shared" si="79"/>
        <v>666.66666666666674</v>
      </c>
      <c r="E534" s="93">
        <f t="shared" si="80"/>
        <v>800.00000000000011</v>
      </c>
      <c r="F534" s="26"/>
      <c r="G534" s="26"/>
      <c r="H534" s="5"/>
      <c r="AC534" s="298">
        <v>800</v>
      </c>
      <c r="AD534" s="298">
        <v>800</v>
      </c>
      <c r="AE534" s="289">
        <f t="shared" si="81"/>
        <v>0</v>
      </c>
      <c r="AF534" s="289"/>
      <c r="AG534" s="289"/>
      <c r="AH534" s="289"/>
      <c r="AI534" s="289"/>
      <c r="AJ534" s="289"/>
      <c r="AK534" s="289"/>
      <c r="AL534" s="289"/>
    </row>
    <row r="535" spans="2:38">
      <c r="B535" s="445" t="s">
        <v>76</v>
      </c>
      <c r="C535" s="446"/>
      <c r="D535" s="407">
        <f t="shared" ref="D535" si="84">IF(AC535="","",(1-$W$2)*(AC535/1.2))</f>
        <v>833.33333333333337</v>
      </c>
      <c r="E535" s="93">
        <f t="shared" ref="E535" si="85">IF($W$5=0.2,D535*1.2,D535)/$W$4</f>
        <v>1000</v>
      </c>
      <c r="F535" s="26"/>
      <c r="G535" s="26"/>
      <c r="H535" s="5"/>
      <c r="AC535" s="298">
        <v>1000</v>
      </c>
      <c r="AD535" s="298"/>
      <c r="AE535" s="289"/>
      <c r="AF535" s="289"/>
      <c r="AG535" s="289"/>
      <c r="AH535" s="289"/>
      <c r="AI535" s="289"/>
      <c r="AJ535" s="289"/>
      <c r="AK535" s="289"/>
      <c r="AL535" s="289"/>
    </row>
    <row r="536" spans="2:38">
      <c r="B536" s="445" t="str">
        <f>IF($C$1="ENG","door handle-lock (for sliding doors)","ручка-замок (для дверей купе)")</f>
        <v>ручка-замок (для дверей купе)</v>
      </c>
      <c r="C536" s="446"/>
      <c r="D536" s="405">
        <f t="shared" si="79"/>
        <v>466.66666666666669</v>
      </c>
      <c r="E536" s="93">
        <f t="shared" si="80"/>
        <v>560</v>
      </c>
      <c r="F536" s="26"/>
      <c r="G536" s="26"/>
      <c r="I536" s="11"/>
      <c r="J536" s="11"/>
      <c r="K536" s="19"/>
      <c r="AC536" s="298">
        <v>560</v>
      </c>
      <c r="AD536" s="298">
        <v>560</v>
      </c>
      <c r="AE536" s="289">
        <f t="shared" si="81"/>
        <v>0</v>
      </c>
      <c r="AF536" s="289"/>
      <c r="AG536" s="289"/>
      <c r="AH536" s="289"/>
      <c r="AI536" s="289"/>
      <c r="AJ536" s="289"/>
      <c r="AK536" s="289"/>
      <c r="AL536" s="289"/>
    </row>
    <row r="537" spans="2:38">
      <c r="B537" s="445" t="str">
        <f>IF($C$1="ENG","cylinder incert","циліндр несиметричний")</f>
        <v>циліндр несиметричний</v>
      </c>
      <c r="C537" s="446"/>
      <c r="D537" s="405">
        <f t="shared" si="79"/>
        <v>325</v>
      </c>
      <c r="E537" s="93">
        <f t="shared" si="80"/>
        <v>390</v>
      </c>
      <c r="F537" s="26"/>
      <c r="G537" s="26"/>
      <c r="AC537" s="298">
        <v>390</v>
      </c>
      <c r="AD537" s="298">
        <v>390</v>
      </c>
      <c r="AE537" s="289">
        <f t="shared" si="81"/>
        <v>0</v>
      </c>
      <c r="AF537" s="289"/>
      <c r="AG537" s="289"/>
      <c r="AH537" s="289"/>
      <c r="AI537" s="289"/>
      <c r="AJ537" s="289"/>
      <c r="AK537" s="289"/>
      <c r="AL537" s="289"/>
    </row>
    <row r="538" spans="2:38">
      <c r="B538" s="445" t="str">
        <f>IF($C$1="ENG","door hindge Prestige (1 unit)","завіса Prestige (1 шт)")</f>
        <v>завіса Prestige (1 шт)</v>
      </c>
      <c r="C538" s="446"/>
      <c r="D538" s="408">
        <f t="shared" si="79"/>
        <v>216.66666666666669</v>
      </c>
      <c r="E538" s="93">
        <f t="shared" si="80"/>
        <v>260</v>
      </c>
      <c r="F538" s="26"/>
      <c r="G538" s="26"/>
      <c r="AC538" s="298">
        <v>260</v>
      </c>
      <c r="AD538" s="298">
        <v>260</v>
      </c>
      <c r="AE538" s="289">
        <f t="shared" si="81"/>
        <v>0</v>
      </c>
      <c r="AF538" s="289"/>
      <c r="AG538" s="289"/>
      <c r="AH538" s="289"/>
      <c r="AI538" s="289"/>
      <c r="AJ538" s="289"/>
      <c r="AK538" s="289"/>
      <c r="AL538" s="289"/>
    </row>
    <row r="539" spans="2:38">
      <c r="B539" s="445" t="str">
        <f>IF($C$1="ENG","door hinge caps (1 set)","накладка на завіси (1 к-т)")</f>
        <v>накладка на завіси (1 к-т)</v>
      </c>
      <c r="C539" s="446"/>
      <c r="D539" s="408">
        <f t="shared" si="79"/>
        <v>66.666666666666671</v>
      </c>
      <c r="E539" s="93">
        <f t="shared" si="80"/>
        <v>80</v>
      </c>
      <c r="F539" s="26"/>
      <c r="G539" s="26"/>
      <c r="AC539" s="298">
        <v>80</v>
      </c>
      <c r="AD539" s="298">
        <v>80</v>
      </c>
      <c r="AE539" s="289">
        <f t="shared" si="81"/>
        <v>0</v>
      </c>
      <c r="AF539" s="289"/>
      <c r="AG539" s="289"/>
      <c r="AH539" s="289"/>
      <c r="AI539" s="289"/>
      <c r="AJ539" s="289"/>
      <c r="AK539" s="289"/>
      <c r="AL539" s="289"/>
    </row>
    <row r="540" spans="2:38">
      <c r="B540" s="445" t="str">
        <f>IF($C$1="ENG","door handle","дверна ручка")</f>
        <v>дверна ручка</v>
      </c>
      <c r="C540" s="446"/>
      <c r="D540" s="409" t="str">
        <f t="shared" si="79"/>
        <v/>
      </c>
      <c r="E540" s="247" t="str">
        <f>IF($C$1="ENG","see Handles Price","див. Таблицю Ручки")</f>
        <v>див. Таблицю Ручки</v>
      </c>
      <c r="F540" s="26"/>
      <c r="G540" s="26"/>
      <c r="AC540" s="289"/>
      <c r="AD540" s="289"/>
      <c r="AE540" s="289"/>
      <c r="AF540" s="289"/>
      <c r="AG540" s="289"/>
      <c r="AH540" s="289"/>
      <c r="AI540" s="289"/>
      <c r="AJ540" s="289"/>
      <c r="AK540" s="289"/>
      <c r="AL540" s="289"/>
    </row>
    <row r="541" spans="2:38" ht="14.25" customHeight="1">
      <c r="C541" s="245"/>
      <c r="D541" s="26"/>
      <c r="E541" s="26"/>
      <c r="F541" s="26"/>
      <c r="G541" s="26"/>
      <c r="H541" s="5"/>
      <c r="T541" s="465" t="str">
        <f>IF($C$1="ENG",CONCATENATE("down to: ",B591),CONCATENATE("вниз до: ",B591))</f>
        <v>вниз до: Полотна збірні: ЛАДА C</v>
      </c>
      <c r="U541" s="465"/>
      <c r="V541" s="465"/>
      <c r="W541" s="465"/>
    </row>
    <row r="542" spans="2:38" ht="14.25" customHeight="1">
      <c r="C542" s="245"/>
      <c r="D542" s="26"/>
      <c r="E542" s="26"/>
      <c r="F542" s="26"/>
      <c r="G542" s="26"/>
      <c r="H542" s="5"/>
    </row>
    <row r="543" spans="2:38" ht="14.25" customHeight="1">
      <c r="C543" s="245"/>
      <c r="D543" s="26"/>
      <c r="E543" s="26"/>
      <c r="F543" s="26"/>
      <c r="G543" s="26"/>
      <c r="H543" s="5"/>
    </row>
    <row r="544" spans="2:38" ht="14.25" customHeight="1">
      <c r="C544" s="245"/>
      <c r="D544" s="26"/>
      <c r="E544" s="26"/>
      <c r="F544" s="26"/>
      <c r="G544" s="26"/>
      <c r="H544" s="5"/>
    </row>
    <row r="545" spans="3:8" ht="14.25" customHeight="1">
      <c r="C545" s="245"/>
      <c r="D545" s="26"/>
      <c r="E545" s="26"/>
      <c r="F545" s="26"/>
      <c r="G545" s="26"/>
      <c r="H545" s="5"/>
    </row>
    <row r="546" spans="3:8" ht="14.25" customHeight="1">
      <c r="C546" s="245"/>
      <c r="D546" s="26"/>
      <c r="E546" s="26"/>
      <c r="F546" s="26"/>
      <c r="G546" s="26"/>
      <c r="H546" s="5"/>
    </row>
    <row r="547" spans="3:8" ht="14.25" customHeight="1">
      <c r="C547" s="245"/>
      <c r="D547" s="26"/>
      <c r="E547" s="26"/>
      <c r="F547" s="26"/>
      <c r="G547" s="26"/>
      <c r="H547" s="5"/>
    </row>
    <row r="548" spans="3:8" ht="14.25" customHeight="1">
      <c r="C548" s="245"/>
      <c r="D548" s="26"/>
      <c r="E548" s="26"/>
      <c r="F548" s="26"/>
      <c r="G548" s="26"/>
      <c r="H548" s="5"/>
    </row>
    <row r="549" spans="3:8" ht="14.25" customHeight="1">
      <c r="C549" s="245"/>
      <c r="D549" s="26"/>
      <c r="E549" s="26"/>
      <c r="F549" s="26"/>
      <c r="G549" s="26"/>
      <c r="H549" s="5"/>
    </row>
    <row r="550" spans="3:8" ht="14.25" customHeight="1">
      <c r="C550" s="245"/>
      <c r="D550" s="26"/>
      <c r="E550" s="26"/>
      <c r="F550" s="26"/>
      <c r="G550" s="26"/>
      <c r="H550" s="5"/>
    </row>
    <row r="551" spans="3:8" ht="14.25" customHeight="1">
      <c r="C551" s="245"/>
      <c r="D551" s="26"/>
      <c r="E551" s="26"/>
      <c r="F551" s="26"/>
      <c r="G551" s="26"/>
      <c r="H551" s="5"/>
    </row>
    <row r="552" spans="3:8" ht="14.25" customHeight="1">
      <c r="C552" s="245"/>
      <c r="D552" s="26"/>
      <c r="E552" s="26"/>
      <c r="F552" s="26"/>
      <c r="G552" s="26"/>
      <c r="H552" s="5"/>
    </row>
    <row r="553" spans="3:8" ht="14.25" customHeight="1">
      <c r="C553" s="245"/>
      <c r="D553" s="26"/>
      <c r="E553" s="26"/>
      <c r="F553" s="26"/>
      <c r="G553" s="26"/>
      <c r="H553" s="5"/>
    </row>
    <row r="554" spans="3:8" ht="14.25" customHeight="1">
      <c r="C554" s="245"/>
      <c r="D554" s="26"/>
      <c r="E554" s="26"/>
      <c r="F554" s="26"/>
      <c r="G554" s="26"/>
      <c r="H554" s="5"/>
    </row>
    <row r="555" spans="3:8" ht="14.25" customHeight="1">
      <c r="C555" s="245"/>
      <c r="D555" s="26"/>
      <c r="E555" s="26"/>
      <c r="F555" s="26"/>
      <c r="G555" s="26"/>
      <c r="H555" s="5"/>
    </row>
    <row r="556" spans="3:8" ht="14.25" customHeight="1">
      <c r="C556" s="245"/>
      <c r="D556" s="26"/>
      <c r="E556" s="26"/>
      <c r="F556" s="26"/>
      <c r="G556" s="26"/>
      <c r="H556" s="5"/>
    </row>
    <row r="557" spans="3:8" ht="14.25" customHeight="1">
      <c r="C557" s="245"/>
      <c r="D557" s="26"/>
      <c r="E557" s="26"/>
      <c r="F557" s="26"/>
      <c r="G557" s="26"/>
      <c r="H557" s="5"/>
    </row>
    <row r="558" spans="3:8" ht="14.25" customHeight="1">
      <c r="C558" s="245"/>
      <c r="D558" s="26"/>
      <c r="E558" s="26"/>
      <c r="F558" s="26"/>
      <c r="G558" s="26"/>
      <c r="H558" s="5"/>
    </row>
    <row r="559" spans="3:8" ht="14.25" customHeight="1">
      <c r="C559" s="245"/>
      <c r="D559" s="26"/>
      <c r="E559" s="26"/>
      <c r="F559" s="26"/>
      <c r="G559" s="26"/>
      <c r="H559" s="5"/>
    </row>
    <row r="560" spans="3:8" ht="14.25" customHeight="1">
      <c r="C560" s="245"/>
      <c r="D560" s="26"/>
      <c r="E560" s="26"/>
      <c r="F560" s="26"/>
      <c r="G560" s="26"/>
      <c r="H560" s="5"/>
    </row>
    <row r="561" spans="3:8" ht="14.25" customHeight="1">
      <c r="C561" s="245"/>
      <c r="D561" s="26"/>
      <c r="E561" s="26"/>
      <c r="F561" s="26"/>
      <c r="G561" s="26"/>
      <c r="H561" s="5"/>
    </row>
    <row r="562" spans="3:8" ht="14.25" customHeight="1">
      <c r="C562" s="245"/>
      <c r="D562" s="26"/>
      <c r="E562" s="26"/>
      <c r="F562" s="26"/>
      <c r="G562" s="26"/>
      <c r="H562" s="5"/>
    </row>
    <row r="563" spans="3:8" ht="14.25" customHeight="1">
      <c r="C563" s="245"/>
      <c r="D563" s="26"/>
      <c r="E563" s="26"/>
      <c r="F563" s="26"/>
      <c r="G563" s="26"/>
      <c r="H563" s="5"/>
    </row>
    <row r="564" spans="3:8" ht="14.25" customHeight="1">
      <c r="C564" s="245"/>
      <c r="D564" s="26"/>
      <c r="E564" s="26"/>
      <c r="F564" s="26"/>
      <c r="G564" s="26"/>
      <c r="H564" s="5"/>
    </row>
    <row r="565" spans="3:8" ht="14.25" customHeight="1">
      <c r="C565" s="245"/>
      <c r="D565" s="26"/>
      <c r="E565" s="26"/>
      <c r="F565" s="26"/>
      <c r="G565" s="26"/>
      <c r="H565" s="5"/>
    </row>
    <row r="566" spans="3:8" ht="14.25" customHeight="1">
      <c r="C566" s="245"/>
      <c r="D566" s="26"/>
      <c r="E566" s="26"/>
      <c r="F566" s="26"/>
      <c r="G566" s="26"/>
      <c r="H566" s="5"/>
    </row>
    <row r="567" spans="3:8" ht="14.25" customHeight="1">
      <c r="C567" s="245"/>
      <c r="D567" s="26"/>
      <c r="E567" s="26"/>
      <c r="F567" s="26"/>
      <c r="G567" s="26"/>
      <c r="H567" s="5"/>
    </row>
    <row r="568" spans="3:8" ht="14.25" customHeight="1">
      <c r="C568" s="245"/>
      <c r="D568" s="26"/>
      <c r="E568" s="26"/>
      <c r="F568" s="26"/>
      <c r="G568" s="26"/>
      <c r="H568" s="5"/>
    </row>
    <row r="569" spans="3:8" ht="14.25" customHeight="1">
      <c r="C569" s="245"/>
      <c r="D569" s="26"/>
      <c r="E569" s="26"/>
      <c r="F569" s="26"/>
      <c r="G569" s="26"/>
      <c r="H569" s="5"/>
    </row>
    <row r="570" spans="3:8" ht="14.25" customHeight="1">
      <c r="C570" s="245"/>
      <c r="D570" s="26"/>
      <c r="E570" s="26"/>
      <c r="F570" s="26"/>
      <c r="G570" s="26"/>
      <c r="H570" s="5"/>
    </row>
    <row r="571" spans="3:8" ht="14.25" customHeight="1">
      <c r="C571" s="245"/>
      <c r="D571" s="26"/>
      <c r="E571" s="26"/>
      <c r="F571" s="26"/>
      <c r="G571" s="26"/>
      <c r="H571" s="5"/>
    </row>
    <row r="572" spans="3:8" ht="14.25" customHeight="1">
      <c r="C572" s="245"/>
      <c r="D572" s="26"/>
      <c r="E572" s="26"/>
      <c r="F572" s="26"/>
      <c r="G572" s="26"/>
      <c r="H572" s="5"/>
    </row>
    <row r="573" spans="3:8" ht="14.25" customHeight="1">
      <c r="C573" s="245"/>
      <c r="D573" s="26"/>
      <c r="E573" s="26"/>
      <c r="F573" s="26"/>
      <c r="G573" s="26"/>
      <c r="H573" s="5"/>
    </row>
    <row r="574" spans="3:8" ht="14.25" customHeight="1">
      <c r="C574" s="245"/>
      <c r="D574" s="26"/>
      <c r="E574" s="26"/>
      <c r="F574" s="26"/>
      <c r="G574" s="26"/>
      <c r="H574" s="5"/>
    </row>
    <row r="575" spans="3:8" ht="14.25" customHeight="1">
      <c r="C575" s="245"/>
      <c r="D575" s="26"/>
      <c r="E575" s="26"/>
      <c r="F575" s="26"/>
      <c r="G575" s="26"/>
      <c r="H575" s="5"/>
    </row>
    <row r="576" spans="3:8" ht="14.25" customHeight="1">
      <c r="C576" s="245"/>
      <c r="D576" s="26"/>
      <c r="E576" s="26"/>
      <c r="F576" s="26"/>
      <c r="G576" s="26"/>
      <c r="H576" s="5"/>
    </row>
    <row r="577" spans="2:46" ht="14.25" customHeight="1">
      <c r="C577" s="245"/>
      <c r="D577" s="26"/>
      <c r="E577" s="26"/>
      <c r="F577" s="26"/>
      <c r="G577" s="26"/>
      <c r="H577" s="5"/>
    </row>
    <row r="578" spans="2:46" ht="14.25" customHeight="1">
      <c r="C578" s="245"/>
      <c r="D578" s="26"/>
      <c r="E578" s="26"/>
      <c r="F578" s="26"/>
      <c r="G578" s="26"/>
      <c r="H578" s="5"/>
    </row>
    <row r="579" spans="2:46" ht="14.25" customHeight="1">
      <c r="C579" s="245"/>
      <c r="D579" s="26"/>
      <c r="E579" s="26"/>
      <c r="F579" s="26"/>
      <c r="G579" s="26"/>
      <c r="H579" s="5"/>
    </row>
    <row r="580" spans="2:46" ht="14.25" customHeight="1">
      <c r="C580" s="245"/>
      <c r="D580" s="26"/>
      <c r="E580" s="26"/>
      <c r="F580" s="26"/>
      <c r="G580" s="26"/>
      <c r="H580" s="5"/>
    </row>
    <row r="581" spans="2:46" ht="14.25" customHeight="1">
      <c r="C581" s="245"/>
      <c r="D581" s="26"/>
      <c r="E581" s="26"/>
      <c r="F581" s="26"/>
      <c r="G581" s="26"/>
      <c r="H581" s="5"/>
    </row>
    <row r="582" spans="2:46" ht="14.25" customHeight="1">
      <c r="C582" s="245"/>
      <c r="D582" s="26"/>
      <c r="E582" s="26"/>
      <c r="F582" s="26"/>
      <c r="G582" s="26"/>
      <c r="H582" s="5"/>
    </row>
    <row r="583" spans="2:46" ht="14.25" customHeight="1">
      <c r="C583" s="245"/>
      <c r="D583" s="26"/>
      <c r="E583" s="26"/>
      <c r="F583" s="26"/>
      <c r="G583" s="26"/>
      <c r="H583" s="5"/>
    </row>
    <row r="584" spans="2:46" ht="14.25" customHeight="1">
      <c r="C584" s="245"/>
      <c r="D584" s="26"/>
      <c r="E584" s="26"/>
      <c r="F584" s="26"/>
      <c r="G584" s="26"/>
      <c r="H584" s="5"/>
    </row>
    <row r="585" spans="2:46" ht="14.25" customHeight="1">
      <c r="C585" s="245"/>
      <c r="D585" s="26"/>
      <c r="E585" s="26"/>
      <c r="F585" s="26"/>
      <c r="G585" s="26"/>
      <c r="H585" s="5"/>
    </row>
    <row r="586" spans="2:46" ht="14.25" customHeight="1">
      <c r="C586" s="245"/>
      <c r="D586" s="26"/>
      <c r="E586" s="26"/>
      <c r="F586" s="26"/>
      <c r="G586" s="26"/>
      <c r="H586" s="5"/>
    </row>
    <row r="587" spans="2:46" ht="14.25" customHeight="1">
      <c r="C587" s="245"/>
      <c r="D587" s="26"/>
      <c r="E587" s="26"/>
      <c r="F587" s="26"/>
      <c r="G587" s="26"/>
      <c r="H587" s="5"/>
    </row>
    <row r="588" spans="2:46" ht="14.25" customHeight="1">
      <c r="C588" s="245"/>
      <c r="D588" s="26"/>
      <c r="E588" s="26"/>
      <c r="F588" s="26"/>
      <c r="G588" s="26"/>
      <c r="H588" s="5"/>
    </row>
    <row r="589" spans="2:46" ht="14.25" customHeight="1">
      <c r="C589" s="245"/>
      <c r="D589" s="26"/>
      <c r="E589" s="26"/>
      <c r="F589" s="26"/>
      <c r="G589" s="26"/>
      <c r="H589" s="5"/>
    </row>
    <row r="590" spans="2:46" ht="14.25" customHeight="1">
      <c r="C590" s="245"/>
      <c r="D590" s="26"/>
      <c r="E590" s="26"/>
      <c r="F590" s="26"/>
      <c r="G590" s="26"/>
      <c r="H590" s="5"/>
    </row>
    <row r="591" spans="2:46" s="8" customFormat="1">
      <c r="B591" s="451" t="str">
        <f>TITLE!C16</f>
        <v>Полотна збірні: ЛАДА C</v>
      </c>
      <c r="C591" s="451"/>
      <c r="D591" s="118"/>
      <c r="E591" s="118"/>
      <c r="F591" s="118"/>
      <c r="G591" s="118"/>
      <c r="H591" s="455"/>
      <c r="I591" s="455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462" t="str">
        <f>IF($C$1="ENG",CONCATENATE("up to: ",B517),CONCATENATE("вгору до: ",B517))</f>
        <v>вгору до: Полотна збірні: ЛАДА B</v>
      </c>
      <c r="U591" s="462"/>
      <c r="V591" s="462"/>
      <c r="W591" s="462"/>
      <c r="AN591" s="280"/>
      <c r="AO591" s="280"/>
      <c r="AP591" s="280"/>
      <c r="AQ591" s="280"/>
      <c r="AR591" s="280"/>
      <c r="AS591" s="280"/>
      <c r="AT591" s="280"/>
    </row>
    <row r="592" spans="2:46" s="8" customFormat="1" ht="5.0999999999999996" customHeight="1">
      <c r="B592" s="117"/>
      <c r="C592" s="420"/>
      <c r="D592" s="9"/>
      <c r="E592" s="9"/>
      <c r="F592" s="9"/>
      <c r="G592" s="9"/>
      <c r="H592" s="120"/>
      <c r="I592" s="120"/>
      <c r="T592" s="115"/>
      <c r="U592" s="115"/>
      <c r="V592" s="115"/>
      <c r="W592" s="115"/>
      <c r="AN592" s="280"/>
      <c r="AO592" s="280"/>
      <c r="AP592" s="280"/>
      <c r="AQ592" s="280"/>
      <c r="AR592" s="280"/>
      <c r="AS592" s="280"/>
      <c r="AT592" s="280"/>
    </row>
    <row r="593" spans="1:46" s="8" customFormat="1" ht="12.75" customHeight="1">
      <c r="B593" s="452" t="str">
        <f>IF($C$1="ENG","model","модель")</f>
        <v>модель</v>
      </c>
      <c r="C593" s="122" t="str">
        <f>IF($C$1="ENG","cover:","покриття:")</f>
        <v>покриття:</v>
      </c>
      <c r="D593" s="458" t="str">
        <f>IF($C$1="ENG","Verto-CELL","Verto-CELL")</f>
        <v>Verto-CELL</v>
      </c>
      <c r="E593" s="459"/>
      <c r="F593" s="458" t="str">
        <f>IF($C$1="ENG","UNI-MAT","UNI-MAT")</f>
        <v>UNI-MAT</v>
      </c>
      <c r="G593" s="459"/>
      <c r="H593" s="458" t="str">
        <f>IF($C$1="ENG","RESIST","RESIST")</f>
        <v>RESIST</v>
      </c>
      <c r="I593" s="459"/>
      <c r="J593" s="458" t="str">
        <f>IF($C$1="ENG","Verto LINE-3D","Verto LINE-3D")</f>
        <v>Verto LINE-3D</v>
      </c>
      <c r="K593" s="459"/>
      <c r="L593" s="458" t="str">
        <f>IF($C$1="ENG","ECO Shpon","ЕКО Шпон")</f>
        <v>ЕКО Шпон</v>
      </c>
      <c r="M593" s="459"/>
      <c r="P593" s="1"/>
      <c r="Q593" s="1"/>
      <c r="T593" s="115"/>
      <c r="U593" s="115"/>
      <c r="V593" s="115"/>
      <c r="W593" s="115"/>
      <c r="AN593" s="280"/>
      <c r="AO593" s="280"/>
      <c r="AP593" s="280"/>
      <c r="AQ593" s="280"/>
      <c r="AR593" s="280"/>
      <c r="AS593" s="280"/>
      <c r="AT593" s="280"/>
    </row>
    <row r="594" spans="1:46" s="8" customFormat="1" ht="24.75" customHeight="1">
      <c r="B594" s="453"/>
      <c r="C594" s="123" t="str">
        <f>IF($C$1="ENG","filling:","заповнення:")</f>
        <v>заповнення:</v>
      </c>
      <c r="D594" s="460" t="str">
        <f>IF($C$1="ENG","softwood","клеєний сосновий брус")</f>
        <v>клеєний сосновий брус</v>
      </c>
      <c r="E594" s="461"/>
      <c r="F594" s="460" t="str">
        <f>IF($C$1="ENG","softwood","клеєний сосновий брус")</f>
        <v>клеєний сосновий брус</v>
      </c>
      <c r="G594" s="461"/>
      <c r="H594" s="460" t="str">
        <f>IF($C$1="ENG","softwood","клеєний сосновий брус")</f>
        <v>клеєний сосновий брус</v>
      </c>
      <c r="I594" s="461"/>
      <c r="J594" s="460" t="str">
        <f>IF($C$1="ENG","softwood","клеєний сосновий брус")</f>
        <v>клеєний сосновий брус</v>
      </c>
      <c r="K594" s="461"/>
      <c r="L594" s="460" t="str">
        <f>IF($C$1="ENG","softwood","клеєний сосновий брус")</f>
        <v>клеєний сосновий брус</v>
      </c>
      <c r="M594" s="461"/>
      <c r="P594" s="1"/>
      <c r="Q594" s="1"/>
      <c r="T594" s="115"/>
      <c r="U594" s="115"/>
      <c r="V594" s="115"/>
      <c r="W594" s="115"/>
      <c r="AD594" s="383">
        <f>AD596/AC596-1</f>
        <v>0.13991163475699553</v>
      </c>
      <c r="AE594" s="383">
        <f>AE596/AD596-1</f>
        <v>4.0051679586563305E-2</v>
      </c>
      <c r="AF594" s="383">
        <f>AF596/AE596-1</f>
        <v>8.9440993788819867E-2</v>
      </c>
      <c r="AG594" s="383">
        <f>AG596/AF596-1</f>
        <v>4.903078677309014E-2</v>
      </c>
      <c r="AN594" s="280"/>
      <c r="AO594" s="280"/>
      <c r="AP594" s="280"/>
      <c r="AQ594" s="280"/>
      <c r="AR594" s="280"/>
      <c r="AS594" s="280"/>
      <c r="AT594" s="280"/>
    </row>
    <row r="595" spans="1:46" ht="12.75" customHeight="1">
      <c r="A595" s="8"/>
      <c r="B595" s="454"/>
      <c r="C595" s="124" t="str">
        <f>IF($C$1="ENG","glazing:","скління:")</f>
        <v>скління:</v>
      </c>
      <c r="D595" s="449" t="str">
        <f>IF($C$1="ENG","Satin","Сатин")</f>
        <v>Сатин</v>
      </c>
      <c r="E595" s="450"/>
      <c r="F595" s="449" t="str">
        <f>IF($C$1="ENG","Satin","Сатин")</f>
        <v>Сатин</v>
      </c>
      <c r="G595" s="450"/>
      <c r="H595" s="449" t="str">
        <f>IF($C$1="ENG","Satin","Сатин")</f>
        <v>Сатин</v>
      </c>
      <c r="I595" s="450"/>
      <c r="J595" s="449" t="str">
        <f>IF($C$1="ENG","Satin","Сатин")</f>
        <v>Сатин</v>
      </c>
      <c r="K595" s="450"/>
      <c r="L595" s="449" t="str">
        <f>IF($C$1="ENG","Satin","Сатин")</f>
        <v>Сатин</v>
      </c>
      <c r="M595" s="450"/>
    </row>
    <row r="596" spans="1:46" ht="35.1" customHeight="1">
      <c r="A596" s="8"/>
      <c r="B596" s="16" t="s">
        <v>41</v>
      </c>
      <c r="C596" s="17"/>
      <c r="D596" s="18">
        <f>IF(AC596="","",(1-$W$2)*(AC596/1.2))</f>
        <v>5658.3333333333339</v>
      </c>
      <c r="E596" s="66">
        <f>IF($W$5=0.2,D596*1.2,D596)/$W$4</f>
        <v>6790.0000000000009</v>
      </c>
      <c r="F596" s="18">
        <f>IF(AD596="","",(1-$W$2)*(AD596/1.2))</f>
        <v>6450</v>
      </c>
      <c r="G596" s="66">
        <f>IF($W$5=0.2,F596*1.2,F596)/$W$4</f>
        <v>7740</v>
      </c>
      <c r="H596" s="18">
        <f>IF(AE596="","",(1-$W$2)*(AE596/1.2))</f>
        <v>6708.3333333333339</v>
      </c>
      <c r="I596" s="66">
        <f>IF($W$5=0.2,H596*1.2,H596)/$W$4</f>
        <v>8050</v>
      </c>
      <c r="J596" s="18">
        <f>IF(AF596="","",(1-$W$2)*(AF596/1.2))</f>
        <v>7308.3333333333339</v>
      </c>
      <c r="K596" s="66">
        <f>IF($W$5=0.2,J596*1.2,J596)/$W$4</f>
        <v>8770</v>
      </c>
      <c r="L596" s="18">
        <f>IF(AG596="","",(1-$W$2)*(AG596/1.2))</f>
        <v>7666.666666666667</v>
      </c>
      <c r="M596" s="66">
        <f>IF($W$5=0.2,L596*1.2,L596)/$W$4</f>
        <v>9200</v>
      </c>
      <c r="N596" s="104"/>
      <c r="R596" s="104"/>
      <c r="T596" s="104"/>
      <c r="U596" s="20"/>
      <c r="V596" s="104"/>
      <c r="W596" s="20"/>
      <c r="X596" s="104"/>
      <c r="Y596" s="104"/>
      <c r="Z596" s="104"/>
      <c r="AA596" s="104"/>
      <c r="AB596" s="104"/>
      <c r="AC596" s="332">
        <v>6790</v>
      </c>
      <c r="AD596" s="391">
        <v>7740</v>
      </c>
      <c r="AE596" s="332">
        <v>8050</v>
      </c>
      <c r="AF596" s="332">
        <v>8770</v>
      </c>
      <c r="AG596" s="332">
        <v>9200</v>
      </c>
      <c r="AH596" s="289">
        <v>6790</v>
      </c>
      <c r="AI596" s="289">
        <f>AH596/AC596-1</f>
        <v>0</v>
      </c>
      <c r="AJ596" s="289">
        <v>7740</v>
      </c>
      <c r="AK596" s="289">
        <f>AJ596/AD596-1</f>
        <v>0</v>
      </c>
      <c r="AL596" s="289">
        <v>8050</v>
      </c>
      <c r="AM596" s="1">
        <f>AL596/AE596-1</f>
        <v>0</v>
      </c>
      <c r="AN596" s="30">
        <v>8770</v>
      </c>
      <c r="AO596" s="1">
        <f>AN596/AF596-1</f>
        <v>0</v>
      </c>
      <c r="AP596" s="1">
        <v>9200</v>
      </c>
      <c r="AQ596" s="1">
        <f>AP596/AG596-1</f>
        <v>0</v>
      </c>
    </row>
    <row r="597" spans="1:46" ht="35.1" customHeight="1">
      <c r="A597" s="8"/>
      <c r="B597" s="23" t="s">
        <v>42</v>
      </c>
      <c r="C597" s="24"/>
      <c r="D597" s="25">
        <f>IF(AC597="","",(1-$W$2)*(AC597/1.2))</f>
        <v>5658.3333333333339</v>
      </c>
      <c r="E597" s="69">
        <f>IF($W$5=0.2,D597*1.2,D597)/$W$4</f>
        <v>6790.0000000000009</v>
      </c>
      <c r="F597" s="25">
        <f>IF(AD597="","",(1-$W$2)*(AD597/1.2))</f>
        <v>6450</v>
      </c>
      <c r="G597" s="69">
        <f>IF($W$5=0.2,F597*1.2,F597)/$W$4</f>
        <v>7740</v>
      </c>
      <c r="H597" s="25">
        <f>IF(AE597="","",(1-$W$2)*(AE597/1.2))</f>
        <v>6708.3333333333339</v>
      </c>
      <c r="I597" s="69">
        <f>IF($W$5=0.2,H597*1.2,H597)/$W$4</f>
        <v>8050</v>
      </c>
      <c r="J597" s="25">
        <f>IF(AF597="","",(1-$W$2)*(AF597/1.2))</f>
        <v>7308.3333333333339</v>
      </c>
      <c r="K597" s="69">
        <f>IF($W$5=0.2,J597*1.2,J597)/$W$4</f>
        <v>8770</v>
      </c>
      <c r="L597" s="25">
        <f>IF(AG597="","",(1-$W$2)*(AG597/1.2))</f>
        <v>7666.666666666667</v>
      </c>
      <c r="M597" s="69">
        <f>IF($W$5=0.2,L597*1.2,L597)/$W$4</f>
        <v>9200</v>
      </c>
      <c r="N597" s="104"/>
      <c r="R597" s="104"/>
      <c r="T597" s="104"/>
      <c r="U597" s="20"/>
      <c r="V597" s="104"/>
      <c r="W597" s="20"/>
      <c r="X597" s="104"/>
      <c r="Y597" s="104"/>
      <c r="Z597" s="104"/>
      <c r="AA597" s="104"/>
      <c r="AB597" s="104"/>
      <c r="AC597" s="332">
        <v>6790</v>
      </c>
      <c r="AD597" s="391">
        <v>7740</v>
      </c>
      <c r="AE597" s="332">
        <v>8050</v>
      </c>
      <c r="AF597" s="332">
        <v>8770</v>
      </c>
      <c r="AG597" s="332">
        <v>9200</v>
      </c>
      <c r="AH597" s="289">
        <v>6790</v>
      </c>
      <c r="AI597" s="289">
        <f>AH597/AC597-1</f>
        <v>0</v>
      </c>
      <c r="AJ597" s="289">
        <v>7740</v>
      </c>
      <c r="AK597" s="289">
        <f>AJ597/AD597-1</f>
        <v>0</v>
      </c>
      <c r="AL597" s="289">
        <v>8050</v>
      </c>
      <c r="AM597" s="1">
        <f>AL597/AE597-1</f>
        <v>0</v>
      </c>
      <c r="AN597" s="30">
        <v>8770</v>
      </c>
      <c r="AO597" s="1">
        <f>AN597/AF597-1</f>
        <v>0</v>
      </c>
      <c r="AP597" s="1">
        <v>9200</v>
      </c>
      <c r="AQ597" s="1">
        <f>AP597/AG597-1</f>
        <v>0</v>
      </c>
    </row>
    <row r="598" spans="1:46">
      <c r="C598" s="245"/>
      <c r="D598" s="26"/>
      <c r="E598" s="57"/>
      <c r="F598" s="26"/>
      <c r="G598" s="57"/>
      <c r="H598" s="10"/>
      <c r="I598" s="8"/>
      <c r="J598" s="8"/>
      <c r="K598" s="8"/>
    </row>
    <row r="599" spans="1:46">
      <c r="B599" s="212" t="str">
        <f>IF($C$1="ENG","For additonal charge:","Послуги за додаткову плату:")</f>
        <v>Послуги за додаткову плату:</v>
      </c>
      <c r="C599" s="421"/>
      <c r="D599" s="213"/>
      <c r="E599" s="214"/>
      <c r="F599" s="26"/>
      <c r="G599" s="57"/>
      <c r="H599" s="10"/>
      <c r="I599" s="8"/>
      <c r="J599" s="8"/>
      <c r="K599" s="8"/>
    </row>
    <row r="600" spans="1:46" ht="5.0999999999999996" customHeight="1">
      <c r="B600" s="27"/>
      <c r="C600" s="245"/>
      <c r="D600" s="26"/>
      <c r="E600" s="57"/>
      <c r="F600" s="26"/>
      <c r="G600" s="57"/>
      <c r="H600" s="10"/>
      <c r="I600" s="8"/>
      <c r="J600" s="8"/>
      <c r="K600" s="8"/>
    </row>
    <row r="601" spans="1:46">
      <c r="B601" s="447" t="str">
        <f>IF($C$1="ENG","door leaf with width 100","полотно розміром 100")</f>
        <v>полотно розміром 100</v>
      </c>
      <c r="C601" s="448"/>
      <c r="D601" s="410">
        <f t="shared" ref="D601:D612" si="86">IF(AC601="","",(1-$W$2)*(AC601/1.2))</f>
        <v>600</v>
      </c>
      <c r="E601" s="92">
        <f t="shared" ref="E601:E611" si="87">IF($W$5=0.2,D601*1.2,D601)/$W$4</f>
        <v>720</v>
      </c>
      <c r="F601" s="26"/>
      <c r="G601" s="26"/>
      <c r="H601" s="10"/>
      <c r="I601" s="8"/>
      <c r="J601" s="8"/>
      <c r="K601" s="8"/>
      <c r="AC601" s="289">
        <v>720</v>
      </c>
      <c r="AD601" s="298">
        <v>720</v>
      </c>
      <c r="AE601" s="289">
        <f>AD601/AC601-1</f>
        <v>0</v>
      </c>
      <c r="AF601" s="289"/>
      <c r="AG601" s="289"/>
      <c r="AH601" s="289"/>
      <c r="AI601" s="289"/>
      <c r="AJ601" s="289"/>
      <c r="AK601" s="289"/>
      <c r="AL601" s="289"/>
    </row>
    <row r="602" spans="1:46">
      <c r="B602" s="447" t="str">
        <f>IF($C$1="ENG","Ventilation cut","вентиляційний підріз")</f>
        <v>вентиляційний підріз</v>
      </c>
      <c r="C602" s="448"/>
      <c r="D602" s="405">
        <f t="shared" si="86"/>
        <v>141.66666666666669</v>
      </c>
      <c r="E602" s="66">
        <f t="shared" si="87"/>
        <v>170.00000000000003</v>
      </c>
      <c r="F602" s="26"/>
      <c r="G602" s="26"/>
      <c r="I602" s="59"/>
      <c r="J602" s="28"/>
      <c r="AC602" s="289">
        <v>170</v>
      </c>
      <c r="AD602" s="298">
        <v>170</v>
      </c>
      <c r="AE602" s="289"/>
      <c r="AF602" s="289"/>
      <c r="AG602" s="289"/>
      <c r="AH602" s="289"/>
      <c r="AI602" s="289"/>
      <c r="AJ602" s="289"/>
      <c r="AK602" s="289"/>
      <c r="AL602" s="289"/>
    </row>
    <row r="603" spans="1:46">
      <c r="B603" s="445" t="str">
        <f>IF($C$1="ENG","glazing Graphite / Bronze","скло Графіт / Бронза")</f>
        <v>скло Графіт / Бронза</v>
      </c>
      <c r="C603" s="446"/>
      <c r="D603" s="407">
        <f t="shared" si="86"/>
        <v>458.33333333333337</v>
      </c>
      <c r="E603" s="93">
        <f t="shared" si="87"/>
        <v>550</v>
      </c>
      <c r="F603" s="26"/>
      <c r="G603" s="26"/>
      <c r="H603" s="5"/>
      <c r="AC603" s="289">
        <v>550</v>
      </c>
      <c r="AD603" s="298">
        <v>550</v>
      </c>
      <c r="AE603" s="289"/>
      <c r="AF603" s="289"/>
      <c r="AG603" s="289"/>
      <c r="AH603" s="289"/>
      <c r="AI603" s="289"/>
      <c r="AJ603" s="289"/>
      <c r="AK603" s="289"/>
      <c r="AL603" s="289"/>
    </row>
    <row r="604" spans="1:46">
      <c r="B604" s="445" t="str">
        <f>IF($C$1="ENG","door lock Soft","замок Soft")</f>
        <v>замок Soft</v>
      </c>
      <c r="C604" s="446"/>
      <c r="D604" s="407">
        <f t="shared" si="86"/>
        <v>458.33333333333337</v>
      </c>
      <c r="E604" s="93">
        <f t="shared" si="87"/>
        <v>550</v>
      </c>
      <c r="F604" s="26"/>
      <c r="G604" s="26"/>
      <c r="H604" s="5"/>
      <c r="AC604" s="289">
        <v>550</v>
      </c>
      <c r="AD604" s="298">
        <v>550</v>
      </c>
      <c r="AE604" s="289"/>
      <c r="AF604" s="289"/>
      <c r="AG604" s="289"/>
      <c r="AH604" s="289"/>
      <c r="AI604" s="289"/>
      <c r="AJ604" s="289"/>
      <c r="AK604" s="289"/>
      <c r="AL604" s="289"/>
    </row>
    <row r="605" spans="1:46">
      <c r="B605" s="445" t="str">
        <f>IF($C$1="ENG","door lock Soft black","замок Soft чорн.")</f>
        <v>замок Soft чорн.</v>
      </c>
      <c r="C605" s="446"/>
      <c r="D605" s="407">
        <f t="shared" ref="D605" si="88">IF(AC605="","",(1-$W$2)*(AC605/1.2))</f>
        <v>566.66666666666674</v>
      </c>
      <c r="E605" s="93">
        <f t="shared" ref="E605" si="89">IF($W$5=0.2,D605*1.2,D605)/$W$4</f>
        <v>680.00000000000011</v>
      </c>
      <c r="F605" s="26"/>
      <c r="G605" s="26"/>
      <c r="H605" s="5"/>
      <c r="AC605" s="289">
        <v>680</v>
      </c>
      <c r="AD605" s="298"/>
      <c r="AE605" s="289"/>
      <c r="AF605" s="289"/>
      <c r="AG605" s="289"/>
      <c r="AH605" s="289"/>
      <c r="AI605" s="289"/>
      <c r="AJ605" s="289"/>
      <c r="AK605" s="289"/>
      <c r="AL605" s="289"/>
    </row>
    <row r="606" spans="1:46">
      <c r="B606" s="445" t="str">
        <f>IF($C$1="ENG","door lock Magnet","замок Magnet")</f>
        <v>замок Magnet</v>
      </c>
      <c r="C606" s="446"/>
      <c r="D606" s="407">
        <f t="shared" si="86"/>
        <v>666.66666666666674</v>
      </c>
      <c r="E606" s="93">
        <f t="shared" si="87"/>
        <v>800.00000000000011</v>
      </c>
      <c r="F606" s="26"/>
      <c r="G606" s="26"/>
      <c r="H606" s="5"/>
      <c r="AC606" s="289">
        <v>800</v>
      </c>
      <c r="AD606" s="298">
        <v>800</v>
      </c>
      <c r="AE606" s="289"/>
      <c r="AF606" s="289"/>
      <c r="AG606" s="289"/>
      <c r="AH606" s="289"/>
      <c r="AI606" s="289"/>
      <c r="AJ606" s="289"/>
      <c r="AK606" s="289"/>
      <c r="AL606" s="289"/>
    </row>
    <row r="607" spans="1:46">
      <c r="B607" s="445" t="s">
        <v>76</v>
      </c>
      <c r="C607" s="446"/>
      <c r="D607" s="407">
        <f t="shared" ref="D607" si="90">IF(AC607="","",(1-$W$2)*(AC607/1.2))</f>
        <v>833.33333333333337</v>
      </c>
      <c r="E607" s="93">
        <f t="shared" ref="E607" si="91">IF($W$5=0.2,D607*1.2,D607)/$W$4</f>
        <v>1000</v>
      </c>
      <c r="F607" s="26"/>
      <c r="G607" s="26"/>
      <c r="H607" s="5"/>
      <c r="AC607" s="289">
        <v>1000</v>
      </c>
      <c r="AD607" s="298"/>
      <c r="AE607" s="289"/>
      <c r="AF607" s="289"/>
      <c r="AG607" s="289"/>
      <c r="AH607" s="289"/>
      <c r="AI607" s="289"/>
      <c r="AJ607" s="289"/>
      <c r="AK607" s="289"/>
      <c r="AL607" s="289"/>
    </row>
    <row r="608" spans="1:46">
      <c r="B608" s="445" t="str">
        <f>IF($C$1="ENG","door handle-lock (for sliding doors)","ручка-замок (для дверей купе)")</f>
        <v>ручка-замок (для дверей купе)</v>
      </c>
      <c r="C608" s="446"/>
      <c r="D608" s="405">
        <f t="shared" si="86"/>
        <v>466.66666666666669</v>
      </c>
      <c r="E608" s="93">
        <f t="shared" si="87"/>
        <v>560</v>
      </c>
      <c r="F608" s="26"/>
      <c r="G608" s="26"/>
      <c r="I608" s="11"/>
      <c r="J608" s="11"/>
      <c r="K608" s="19"/>
      <c r="AC608" s="289">
        <v>560</v>
      </c>
      <c r="AD608" s="298">
        <v>560</v>
      </c>
      <c r="AE608" s="289"/>
      <c r="AF608" s="289"/>
      <c r="AG608" s="289"/>
      <c r="AH608" s="289"/>
      <c r="AI608" s="289"/>
      <c r="AJ608" s="289"/>
      <c r="AK608" s="289"/>
      <c r="AL608" s="289"/>
    </row>
    <row r="609" spans="2:38">
      <c r="B609" s="445" t="str">
        <f>IF($C$1="ENG","cylinder incert","циліндр несиметричний")</f>
        <v>циліндр несиметричний</v>
      </c>
      <c r="C609" s="446"/>
      <c r="D609" s="405">
        <f t="shared" si="86"/>
        <v>325</v>
      </c>
      <c r="E609" s="93">
        <f t="shared" si="87"/>
        <v>390</v>
      </c>
      <c r="F609" s="26"/>
      <c r="G609" s="26"/>
      <c r="AC609" s="289">
        <v>390</v>
      </c>
      <c r="AD609" s="298">
        <v>390</v>
      </c>
      <c r="AE609" s="289"/>
      <c r="AF609" s="289"/>
      <c r="AG609" s="289"/>
      <c r="AH609" s="289"/>
      <c r="AI609" s="289"/>
      <c r="AJ609" s="289"/>
      <c r="AK609" s="289"/>
      <c r="AL609" s="289"/>
    </row>
    <row r="610" spans="2:38">
      <c r="B610" s="445" t="str">
        <f>IF($C$1="ENG","door hindge Prestige (1 unit)","завіса Prestige (1 шт)")</f>
        <v>завіса Prestige (1 шт)</v>
      </c>
      <c r="C610" s="446"/>
      <c r="D610" s="408">
        <f t="shared" si="86"/>
        <v>216.66666666666669</v>
      </c>
      <c r="E610" s="93">
        <f t="shared" si="87"/>
        <v>260</v>
      </c>
      <c r="F610" s="26"/>
      <c r="G610" s="26"/>
      <c r="AC610" s="289">
        <v>260</v>
      </c>
      <c r="AD610" s="298">
        <v>260</v>
      </c>
      <c r="AE610" s="289"/>
      <c r="AF610" s="289"/>
      <c r="AG610" s="289"/>
      <c r="AH610" s="289"/>
      <c r="AI610" s="289"/>
      <c r="AJ610" s="289"/>
      <c r="AK610" s="289"/>
      <c r="AL610" s="289"/>
    </row>
    <row r="611" spans="2:38">
      <c r="B611" s="445" t="str">
        <f>IF($C$1="ENG","door hinge caps (1 set)","накладка на завіси (1 к-т)")</f>
        <v>накладка на завіси (1 к-т)</v>
      </c>
      <c r="C611" s="446"/>
      <c r="D611" s="408">
        <f t="shared" si="86"/>
        <v>66.666666666666671</v>
      </c>
      <c r="E611" s="93">
        <f t="shared" si="87"/>
        <v>80</v>
      </c>
      <c r="F611" s="26"/>
      <c r="G611" s="26"/>
      <c r="AC611" s="289">
        <v>80</v>
      </c>
      <c r="AD611" s="298">
        <v>80</v>
      </c>
      <c r="AE611" s="289"/>
      <c r="AF611" s="289"/>
      <c r="AG611" s="289"/>
      <c r="AH611" s="289"/>
      <c r="AI611" s="289"/>
      <c r="AJ611" s="289"/>
      <c r="AK611" s="289"/>
      <c r="AL611" s="289"/>
    </row>
    <row r="612" spans="2:38">
      <c r="B612" s="445" t="str">
        <f>IF($C$1="ENG","door handle","дверна ручка")</f>
        <v>дверна ручка</v>
      </c>
      <c r="C612" s="446"/>
      <c r="D612" s="409" t="str">
        <f t="shared" si="86"/>
        <v/>
      </c>
      <c r="E612" s="247" t="str">
        <f>IF($C$1="ENG","see Handles Price","див. Таблицю Ручки")</f>
        <v>див. Таблицю Ручки</v>
      </c>
      <c r="F612" s="26"/>
      <c r="G612" s="26"/>
      <c r="AC612" s="289"/>
      <c r="AD612" s="289"/>
      <c r="AE612" s="289"/>
      <c r="AF612" s="289"/>
      <c r="AG612" s="289"/>
      <c r="AH612" s="289"/>
      <c r="AI612" s="289"/>
      <c r="AJ612" s="289"/>
      <c r="AK612" s="289"/>
      <c r="AL612" s="289"/>
    </row>
    <row r="613" spans="2:38" ht="14.25" customHeight="1">
      <c r="C613" s="245"/>
      <c r="D613" s="26"/>
      <c r="E613" s="26"/>
      <c r="F613" s="26"/>
      <c r="G613" s="26"/>
      <c r="H613" s="5"/>
      <c r="T613" s="465" t="str">
        <f>IF($C$1="ENG",CONCATENATE("down to: ",B663),CONCATENATE("вниз до: ",B663))</f>
        <v>вниз до: Полотна збірні: ЛАДА D</v>
      </c>
      <c r="U613" s="465"/>
      <c r="V613" s="465"/>
      <c r="W613" s="465"/>
    </row>
    <row r="614" spans="2:38" ht="14.25" customHeight="1">
      <c r="C614" s="245"/>
      <c r="D614" s="26"/>
      <c r="E614" s="26"/>
      <c r="F614" s="26"/>
      <c r="G614" s="26"/>
      <c r="H614" s="5"/>
    </row>
    <row r="615" spans="2:38" ht="14.25" customHeight="1">
      <c r="C615" s="245"/>
      <c r="D615" s="26"/>
      <c r="E615" s="26"/>
      <c r="F615" s="26"/>
      <c r="G615" s="26"/>
      <c r="H615" s="5"/>
    </row>
    <row r="616" spans="2:38" ht="14.25" customHeight="1">
      <c r="C616" s="245"/>
      <c r="D616" s="26"/>
      <c r="E616" s="26"/>
      <c r="F616" s="26"/>
      <c r="G616" s="26"/>
      <c r="H616" s="5"/>
    </row>
    <row r="617" spans="2:38" ht="14.25" customHeight="1">
      <c r="C617" s="245"/>
      <c r="D617" s="26"/>
      <c r="E617" s="26"/>
      <c r="F617" s="26"/>
      <c r="G617" s="26"/>
      <c r="H617" s="5"/>
    </row>
    <row r="618" spans="2:38" ht="14.25" customHeight="1">
      <c r="C618" s="245"/>
      <c r="D618" s="26"/>
      <c r="E618" s="26"/>
      <c r="F618" s="26"/>
      <c r="G618" s="26"/>
      <c r="H618" s="5"/>
    </row>
    <row r="619" spans="2:38" ht="14.25" customHeight="1">
      <c r="C619" s="245"/>
      <c r="D619" s="26"/>
      <c r="E619" s="26"/>
      <c r="F619" s="26"/>
      <c r="G619" s="26"/>
      <c r="H619" s="5"/>
    </row>
    <row r="620" spans="2:38" ht="14.25" customHeight="1">
      <c r="C620" s="245"/>
      <c r="D620" s="26"/>
      <c r="E620" s="26"/>
      <c r="F620" s="26"/>
      <c r="G620" s="26"/>
      <c r="H620" s="5"/>
    </row>
    <row r="621" spans="2:38" ht="14.25" customHeight="1">
      <c r="C621" s="245"/>
      <c r="D621" s="26"/>
      <c r="E621" s="26"/>
      <c r="F621" s="26"/>
      <c r="G621" s="26"/>
      <c r="H621" s="5"/>
    </row>
    <row r="622" spans="2:38" ht="14.25" customHeight="1">
      <c r="C622" s="245"/>
      <c r="D622" s="26"/>
      <c r="E622" s="26"/>
      <c r="F622" s="26"/>
      <c r="G622" s="26"/>
      <c r="H622" s="5"/>
    </row>
    <row r="623" spans="2:38" ht="14.25" customHeight="1">
      <c r="C623" s="245"/>
      <c r="D623" s="26"/>
      <c r="E623" s="26"/>
      <c r="F623" s="26"/>
      <c r="G623" s="26"/>
      <c r="H623" s="5"/>
    </row>
    <row r="624" spans="2:38" ht="14.25" customHeight="1">
      <c r="C624" s="245"/>
      <c r="D624" s="26"/>
      <c r="E624" s="26"/>
      <c r="F624" s="26"/>
      <c r="G624" s="26"/>
      <c r="H624" s="5"/>
    </row>
    <row r="625" spans="3:8" ht="14.25" customHeight="1">
      <c r="C625" s="245"/>
      <c r="D625" s="26"/>
      <c r="E625" s="26"/>
      <c r="F625" s="26"/>
      <c r="G625" s="26"/>
      <c r="H625" s="5"/>
    </row>
    <row r="626" spans="3:8" ht="14.25" customHeight="1">
      <c r="C626" s="245"/>
      <c r="D626" s="26"/>
      <c r="E626" s="26"/>
      <c r="F626" s="26"/>
      <c r="G626" s="26"/>
      <c r="H626" s="5"/>
    </row>
    <row r="627" spans="3:8" ht="14.25" customHeight="1">
      <c r="C627" s="245"/>
      <c r="D627" s="26"/>
      <c r="E627" s="26"/>
      <c r="F627" s="26"/>
      <c r="G627" s="26"/>
      <c r="H627" s="5"/>
    </row>
    <row r="628" spans="3:8" ht="14.25" customHeight="1">
      <c r="C628" s="245"/>
      <c r="D628" s="26"/>
      <c r="E628" s="26"/>
      <c r="F628" s="26"/>
      <c r="G628" s="26"/>
      <c r="H628" s="5"/>
    </row>
    <row r="629" spans="3:8" ht="14.25" customHeight="1">
      <c r="C629" s="245"/>
      <c r="D629" s="26"/>
      <c r="E629" s="26"/>
      <c r="F629" s="26"/>
      <c r="G629" s="26"/>
      <c r="H629" s="5"/>
    </row>
    <row r="630" spans="3:8" ht="14.25" customHeight="1">
      <c r="C630" s="245"/>
      <c r="D630" s="26"/>
      <c r="E630" s="26"/>
      <c r="F630" s="26"/>
      <c r="G630" s="26"/>
      <c r="H630" s="5"/>
    </row>
    <row r="631" spans="3:8" ht="14.25" customHeight="1">
      <c r="C631" s="245"/>
      <c r="D631" s="26"/>
      <c r="E631" s="26"/>
      <c r="F631" s="26"/>
      <c r="G631" s="26"/>
      <c r="H631" s="5"/>
    </row>
    <row r="632" spans="3:8" ht="14.25" customHeight="1">
      <c r="C632" s="245"/>
      <c r="D632" s="26"/>
      <c r="E632" s="26"/>
      <c r="F632" s="26"/>
      <c r="G632" s="26"/>
      <c r="H632" s="5"/>
    </row>
    <row r="633" spans="3:8" ht="14.25" customHeight="1">
      <c r="C633" s="245"/>
      <c r="D633" s="26"/>
      <c r="E633" s="26"/>
      <c r="F633" s="26"/>
      <c r="G633" s="26"/>
      <c r="H633" s="5"/>
    </row>
    <row r="634" spans="3:8" ht="14.25" customHeight="1">
      <c r="C634" s="245"/>
      <c r="D634" s="26"/>
      <c r="E634" s="26"/>
      <c r="F634" s="26"/>
      <c r="G634" s="26"/>
      <c r="H634" s="5"/>
    </row>
    <row r="635" spans="3:8" ht="14.25" customHeight="1">
      <c r="C635" s="245"/>
      <c r="D635" s="26"/>
      <c r="E635" s="26"/>
      <c r="F635" s="26"/>
      <c r="G635" s="26"/>
      <c r="H635" s="5"/>
    </row>
    <row r="636" spans="3:8" ht="14.25" customHeight="1">
      <c r="C636" s="245"/>
      <c r="D636" s="26"/>
      <c r="E636" s="26"/>
      <c r="F636" s="26"/>
      <c r="G636" s="26"/>
      <c r="H636" s="5"/>
    </row>
    <row r="637" spans="3:8" ht="14.25" customHeight="1">
      <c r="C637" s="245"/>
      <c r="D637" s="26"/>
      <c r="E637" s="26"/>
      <c r="F637" s="26"/>
      <c r="G637" s="26"/>
      <c r="H637" s="5"/>
    </row>
    <row r="638" spans="3:8" ht="14.25" customHeight="1">
      <c r="C638" s="245"/>
      <c r="D638" s="26"/>
      <c r="E638" s="26"/>
      <c r="F638" s="26"/>
      <c r="G638" s="26"/>
      <c r="H638" s="5"/>
    </row>
    <row r="639" spans="3:8" ht="14.25" customHeight="1">
      <c r="C639" s="245"/>
      <c r="D639" s="26"/>
      <c r="E639" s="26"/>
      <c r="F639" s="26"/>
      <c r="G639" s="26"/>
      <c r="H639" s="5"/>
    </row>
    <row r="640" spans="3:8" ht="14.25" customHeight="1">
      <c r="C640" s="245"/>
      <c r="D640" s="26"/>
      <c r="E640" s="26"/>
      <c r="F640" s="26"/>
      <c r="G640" s="26"/>
      <c r="H640" s="5"/>
    </row>
    <row r="641" spans="3:8" ht="14.25" customHeight="1">
      <c r="C641" s="245"/>
      <c r="D641" s="26"/>
      <c r="E641" s="26"/>
      <c r="F641" s="26"/>
      <c r="G641" s="26"/>
      <c r="H641" s="5"/>
    </row>
    <row r="642" spans="3:8" ht="14.25" customHeight="1">
      <c r="C642" s="245"/>
      <c r="D642" s="26"/>
      <c r="E642" s="26"/>
      <c r="F642" s="26"/>
      <c r="G642" s="26"/>
      <c r="H642" s="5"/>
    </row>
    <row r="643" spans="3:8" ht="14.25" customHeight="1">
      <c r="C643" s="245"/>
      <c r="D643" s="26"/>
      <c r="E643" s="26"/>
      <c r="F643" s="26"/>
      <c r="G643" s="26"/>
      <c r="H643" s="5"/>
    </row>
    <row r="644" spans="3:8" ht="14.25" customHeight="1">
      <c r="C644" s="245"/>
      <c r="D644" s="26"/>
      <c r="E644" s="26"/>
      <c r="F644" s="26"/>
      <c r="G644" s="26"/>
      <c r="H644" s="5"/>
    </row>
    <row r="645" spans="3:8" ht="14.25" customHeight="1">
      <c r="C645" s="245"/>
      <c r="D645" s="26"/>
      <c r="E645" s="26"/>
      <c r="F645" s="26"/>
      <c r="G645" s="26"/>
      <c r="H645" s="5"/>
    </row>
    <row r="646" spans="3:8" ht="14.25" customHeight="1">
      <c r="C646" s="245"/>
      <c r="D646" s="26"/>
      <c r="E646" s="26"/>
      <c r="F646" s="26"/>
      <c r="G646" s="26"/>
      <c r="H646" s="5"/>
    </row>
    <row r="647" spans="3:8" ht="14.25" customHeight="1">
      <c r="C647" s="245"/>
      <c r="D647" s="26"/>
      <c r="E647" s="26"/>
      <c r="F647" s="26"/>
      <c r="G647" s="26"/>
      <c r="H647" s="5"/>
    </row>
    <row r="648" spans="3:8" ht="14.25" customHeight="1">
      <c r="C648" s="245"/>
      <c r="D648" s="26"/>
      <c r="E648" s="26"/>
      <c r="F648" s="26"/>
      <c r="G648" s="26"/>
      <c r="H648" s="5"/>
    </row>
    <row r="649" spans="3:8" ht="14.25" customHeight="1">
      <c r="C649" s="245"/>
      <c r="D649" s="26"/>
      <c r="E649" s="26"/>
      <c r="F649" s="26"/>
      <c r="G649" s="26"/>
      <c r="H649" s="5"/>
    </row>
    <row r="650" spans="3:8" ht="14.25" customHeight="1">
      <c r="C650" s="245"/>
      <c r="D650" s="26"/>
      <c r="E650" s="26"/>
      <c r="F650" s="26"/>
      <c r="G650" s="26"/>
      <c r="H650" s="5"/>
    </row>
    <row r="651" spans="3:8" ht="14.25" customHeight="1">
      <c r="C651" s="245"/>
      <c r="D651" s="26"/>
      <c r="E651" s="26"/>
      <c r="F651" s="26"/>
      <c r="G651" s="26"/>
      <c r="H651" s="5"/>
    </row>
    <row r="652" spans="3:8" ht="14.25" customHeight="1">
      <c r="C652" s="245"/>
      <c r="D652" s="26"/>
      <c r="E652" s="26"/>
      <c r="F652" s="26"/>
      <c r="G652" s="26"/>
      <c r="H652" s="5"/>
    </row>
    <row r="653" spans="3:8" ht="14.25" customHeight="1">
      <c r="C653" s="245"/>
      <c r="D653" s="26"/>
      <c r="E653" s="26"/>
      <c r="F653" s="26"/>
      <c r="G653" s="26"/>
      <c r="H653" s="5"/>
    </row>
    <row r="654" spans="3:8" ht="14.25" customHeight="1">
      <c r="C654" s="245"/>
      <c r="D654" s="26"/>
      <c r="E654" s="26"/>
      <c r="F654" s="26"/>
      <c r="G654" s="26"/>
      <c r="H654" s="5"/>
    </row>
    <row r="655" spans="3:8" ht="14.25" customHeight="1">
      <c r="C655" s="245"/>
      <c r="D655" s="26"/>
      <c r="E655" s="26"/>
      <c r="F655" s="26"/>
      <c r="G655" s="26"/>
      <c r="H655" s="5"/>
    </row>
    <row r="656" spans="3:8" ht="14.25" customHeight="1">
      <c r="C656" s="245"/>
      <c r="D656" s="26"/>
      <c r="E656" s="26"/>
      <c r="F656" s="26"/>
      <c r="G656" s="26"/>
      <c r="H656" s="5"/>
    </row>
    <row r="657" spans="1:46" ht="14.25" customHeight="1">
      <c r="C657" s="245"/>
      <c r="D657" s="26"/>
      <c r="E657" s="26"/>
      <c r="F657" s="26"/>
      <c r="G657" s="26"/>
      <c r="H657" s="5"/>
    </row>
    <row r="658" spans="1:46" ht="14.25" customHeight="1">
      <c r="C658" s="245"/>
      <c r="D658" s="26"/>
      <c r="E658" s="26"/>
      <c r="F658" s="26"/>
      <c r="G658" s="26"/>
      <c r="H658" s="5"/>
    </row>
    <row r="659" spans="1:46" ht="14.25" customHeight="1">
      <c r="C659" s="245"/>
      <c r="D659" s="26"/>
      <c r="E659" s="26"/>
      <c r="F659" s="26"/>
      <c r="G659" s="26"/>
      <c r="H659" s="5"/>
    </row>
    <row r="660" spans="1:46" ht="14.25" customHeight="1">
      <c r="C660" s="245"/>
      <c r="D660" s="26"/>
      <c r="E660" s="26"/>
      <c r="F660" s="26"/>
      <c r="G660" s="26"/>
      <c r="H660" s="5"/>
    </row>
    <row r="661" spans="1:46" ht="14.25" customHeight="1">
      <c r="C661" s="245"/>
      <c r="D661" s="26"/>
      <c r="E661" s="26"/>
      <c r="F661" s="26"/>
      <c r="G661" s="26"/>
      <c r="H661" s="5"/>
    </row>
    <row r="662" spans="1:46" ht="14.25" customHeight="1">
      <c r="C662" s="245"/>
      <c r="D662" s="26"/>
      <c r="E662" s="26"/>
      <c r="F662" s="26"/>
      <c r="G662" s="26"/>
      <c r="H662" s="5"/>
    </row>
    <row r="663" spans="1:46" s="8" customFormat="1">
      <c r="B663" s="451" t="str">
        <f>TITLE!C17</f>
        <v>Полотна збірні: ЛАДА D</v>
      </c>
      <c r="C663" s="451"/>
      <c r="D663" s="118"/>
      <c r="E663" s="118"/>
      <c r="F663" s="118"/>
      <c r="G663" s="118"/>
      <c r="H663" s="455"/>
      <c r="I663" s="455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462" t="str">
        <f>IF($C$1="ENG",CONCATENATE("up to: ",B591),CONCATENATE("вгору до: ",B591))</f>
        <v>вгору до: Полотна збірні: ЛАДА C</v>
      </c>
      <c r="U663" s="462"/>
      <c r="V663" s="462"/>
      <c r="W663" s="462"/>
      <c r="AN663" s="280"/>
      <c r="AO663" s="280"/>
      <c r="AP663" s="280"/>
      <c r="AQ663" s="280"/>
      <c r="AR663" s="280"/>
      <c r="AS663" s="280"/>
      <c r="AT663" s="280"/>
    </row>
    <row r="664" spans="1:46" s="8" customFormat="1" ht="5.0999999999999996" customHeight="1">
      <c r="B664" s="117"/>
      <c r="C664" s="420"/>
      <c r="D664" s="9"/>
      <c r="E664" s="9"/>
      <c r="F664" s="9"/>
      <c r="G664" s="9"/>
      <c r="H664" s="120"/>
      <c r="I664" s="120"/>
      <c r="T664" s="115"/>
      <c r="U664" s="115"/>
      <c r="V664" s="115"/>
      <c r="W664" s="115"/>
      <c r="AN664" s="280"/>
      <c r="AO664" s="280"/>
      <c r="AP664" s="280"/>
      <c r="AQ664" s="280"/>
      <c r="AR664" s="280"/>
      <c r="AS664" s="280"/>
      <c r="AT664" s="280"/>
    </row>
    <row r="665" spans="1:46" s="8" customFormat="1" ht="12.75" customHeight="1">
      <c r="B665" s="452" t="str">
        <f>IF($C$1="ENG","model","модель")</f>
        <v>модель</v>
      </c>
      <c r="C665" s="122" t="str">
        <f>IF($C$1="ENG","cover:","покриття:")</f>
        <v>покриття:</v>
      </c>
      <c r="D665" s="458" t="str">
        <f>IF($C$1="ENG","Verto-CELL","Verto-CELL")</f>
        <v>Verto-CELL</v>
      </c>
      <c r="E665" s="459"/>
      <c r="F665" s="458" t="str">
        <f>IF($C$1="ENG","UNI-MAT","UNI-MAT")</f>
        <v>UNI-MAT</v>
      </c>
      <c r="G665" s="459"/>
      <c r="H665" s="458" t="str">
        <f>IF($C$1="ENG","RESIST","RESIST")</f>
        <v>RESIST</v>
      </c>
      <c r="I665" s="459"/>
      <c r="J665" s="458" t="str">
        <f>IF($C$1="ENG","Verto LINE-3D","Verto LINE-3D")</f>
        <v>Verto LINE-3D</v>
      </c>
      <c r="K665" s="459"/>
      <c r="L665" s="458" t="str">
        <f>IF($C$1="ENG","ECO Shpon","ЕКО Шпон")</f>
        <v>ЕКО Шпон</v>
      </c>
      <c r="M665" s="459"/>
      <c r="P665" s="1"/>
      <c r="Q665" s="1"/>
      <c r="T665" s="115"/>
      <c r="U665" s="115"/>
      <c r="V665" s="115"/>
      <c r="W665" s="115"/>
      <c r="AN665" s="280"/>
      <c r="AO665" s="280"/>
      <c r="AP665" s="280"/>
      <c r="AQ665" s="280"/>
      <c r="AR665" s="280"/>
      <c r="AS665" s="280"/>
      <c r="AT665" s="280"/>
    </row>
    <row r="666" spans="1:46" s="8" customFormat="1" ht="24.75" customHeight="1">
      <c r="B666" s="453"/>
      <c r="C666" s="123" t="str">
        <f>IF($C$1="ENG","filling:","заповнення:")</f>
        <v>заповнення:</v>
      </c>
      <c r="D666" s="460" t="str">
        <f>IF($C$1="ENG","softwood","клеєний сосновий брус")</f>
        <v>клеєний сосновий брус</v>
      </c>
      <c r="E666" s="461"/>
      <c r="F666" s="460" t="str">
        <f>IF($C$1="ENG","softwood","клеєний сосновий брус")</f>
        <v>клеєний сосновий брус</v>
      </c>
      <c r="G666" s="461"/>
      <c r="H666" s="460" t="str">
        <f>IF($C$1="ENG","softwood","клеєний сосновий брус")</f>
        <v>клеєний сосновий брус</v>
      </c>
      <c r="I666" s="461"/>
      <c r="J666" s="460" t="str">
        <f>IF($C$1="ENG","softwood","клеєний сосновий брус")</f>
        <v>клеєний сосновий брус</v>
      </c>
      <c r="K666" s="461"/>
      <c r="L666" s="460" t="str">
        <f>IF($C$1="ENG","softwood","клеєний сосновий брус")</f>
        <v>клеєний сосновий брус</v>
      </c>
      <c r="M666" s="461"/>
      <c r="P666" s="1"/>
      <c r="Q666" s="1"/>
      <c r="T666" s="115"/>
      <c r="U666" s="115"/>
      <c r="V666" s="115"/>
      <c r="W666" s="115"/>
      <c r="AD666" s="383">
        <f>AD668/AC668-1</f>
        <v>0.13991163475699553</v>
      </c>
      <c r="AE666" s="383">
        <f>AE668/AD668-1</f>
        <v>4.0051679586563305E-2</v>
      </c>
      <c r="AF666" s="383">
        <f>AF668/AE668-1</f>
        <v>8.9440993788819867E-2</v>
      </c>
      <c r="AG666" s="383">
        <f>AG668/AF668-1</f>
        <v>4.7890535917902044E-2</v>
      </c>
      <c r="AN666" s="280"/>
      <c r="AO666" s="280"/>
      <c r="AP666" s="280"/>
      <c r="AQ666" s="280"/>
      <c r="AR666" s="280"/>
      <c r="AS666" s="280"/>
      <c r="AT666" s="280"/>
    </row>
    <row r="667" spans="1:46" ht="12.75" customHeight="1">
      <c r="A667" s="8"/>
      <c r="B667" s="454"/>
      <c r="C667" s="124" t="str">
        <f>IF($C$1="ENG","glazing:","скління:")</f>
        <v>скління:</v>
      </c>
      <c r="D667" s="449" t="str">
        <f>IF($C$1="ENG","Satin","Сатин")</f>
        <v>Сатин</v>
      </c>
      <c r="E667" s="450"/>
      <c r="F667" s="449" t="str">
        <f>IF($C$1="ENG","Satin","Сатин")</f>
        <v>Сатин</v>
      </c>
      <c r="G667" s="450"/>
      <c r="H667" s="449" t="str">
        <f>IF($C$1="ENG","Satin","Сатин")</f>
        <v>Сатин</v>
      </c>
      <c r="I667" s="450"/>
      <c r="J667" s="449" t="str">
        <f>IF($C$1="ENG","Satin","Сатин")</f>
        <v>Сатин</v>
      </c>
      <c r="K667" s="450"/>
      <c r="L667" s="449" t="str">
        <f>IF($C$1="ENG","Satin","Сатин")</f>
        <v>Сатин</v>
      </c>
      <c r="M667" s="450"/>
    </row>
    <row r="668" spans="1:46" ht="35.1" customHeight="1">
      <c r="A668" s="8"/>
      <c r="B668" s="16" t="s">
        <v>43</v>
      </c>
      <c r="C668" s="17"/>
      <c r="D668" s="18">
        <f>IF(AC668="","",(1-$W$2)*(AC668/1.2))</f>
        <v>5658.3333333333339</v>
      </c>
      <c r="E668" s="66">
        <f>IF($W$5=0.2,D668*1.2,D668)/$W$4</f>
        <v>6790.0000000000009</v>
      </c>
      <c r="F668" s="18">
        <f>IF(AD668="","",(1-$W$2)*(AD668/1.2))</f>
        <v>6450</v>
      </c>
      <c r="G668" s="66">
        <f>IF($W$5=0.2,F668*1.2,F668)/$W$4</f>
        <v>7740</v>
      </c>
      <c r="H668" s="18">
        <f>IF(AE668="","",(1-$W$2)*(AE668/1.2))</f>
        <v>6708.3333333333339</v>
      </c>
      <c r="I668" s="66">
        <f>IF($W$5=0.2,H668*1.2,H668)/$W$4</f>
        <v>8050</v>
      </c>
      <c r="J668" s="18">
        <f>IF(AF668="","",(1-$W$2)*(AF668/1.2))</f>
        <v>7308.3333333333339</v>
      </c>
      <c r="K668" s="66">
        <f>IF($W$5=0.2,J668*1.2,J668)/$W$4</f>
        <v>8770</v>
      </c>
      <c r="L668" s="18">
        <f>IF(AG668="","",(1-$W$2)*(AG668/1.2))</f>
        <v>7658.3333333333339</v>
      </c>
      <c r="M668" s="66">
        <f>IF($W$5=0.2,L668*1.2,L668)/$W$4</f>
        <v>9190</v>
      </c>
      <c r="N668" s="104"/>
      <c r="R668" s="104"/>
      <c r="T668" s="104"/>
      <c r="U668" s="20"/>
      <c r="V668" s="104"/>
      <c r="W668" s="20"/>
      <c r="X668" s="104"/>
      <c r="Y668" s="104"/>
      <c r="Z668" s="104"/>
      <c r="AA668" s="104"/>
      <c r="AB668" s="104"/>
      <c r="AC668" s="332">
        <v>6790</v>
      </c>
      <c r="AD668" s="391">
        <v>7740</v>
      </c>
      <c r="AE668" s="332">
        <v>8050</v>
      </c>
      <c r="AF668" s="332">
        <v>8770</v>
      </c>
      <c r="AG668" s="332">
        <v>9190</v>
      </c>
      <c r="AH668" s="289">
        <v>6790</v>
      </c>
      <c r="AI668" s="289">
        <f>AH668/AC668-1</f>
        <v>0</v>
      </c>
      <c r="AJ668" s="289">
        <v>7740</v>
      </c>
      <c r="AK668" s="289">
        <f>AJ668/AD668-1</f>
        <v>0</v>
      </c>
      <c r="AL668" s="289">
        <v>8050</v>
      </c>
      <c r="AM668" s="1">
        <f>AL668/AE668-1</f>
        <v>0</v>
      </c>
      <c r="AN668" s="30">
        <v>8770</v>
      </c>
      <c r="AO668" s="1">
        <f>AN668/AF668-1</f>
        <v>0</v>
      </c>
      <c r="AP668" s="1">
        <v>9190</v>
      </c>
      <c r="AQ668" s="1">
        <f>AP668/AG668-1</f>
        <v>0</v>
      </c>
    </row>
    <row r="669" spans="1:46" ht="35.1" customHeight="1">
      <c r="A669" s="8"/>
      <c r="B669" s="23" t="s">
        <v>31</v>
      </c>
      <c r="C669" s="24"/>
      <c r="D669" s="25">
        <f>IF(AC669="","",(1-$W$2)*(AC669/1.2))</f>
        <v>5608.3333333333339</v>
      </c>
      <c r="E669" s="69">
        <f>IF($W$5=0.2,D669*1.2,D669)/$W$4</f>
        <v>6730.0000000000009</v>
      </c>
      <c r="F669" s="25">
        <f>IF(AD669="","",(1-$W$2)*(AD669/1.2))</f>
        <v>6391.666666666667</v>
      </c>
      <c r="G669" s="69">
        <f>IF($W$5=0.2,F669*1.2,F669)/$W$4</f>
        <v>7670</v>
      </c>
      <c r="H669" s="25">
        <f>IF(AE669="","",(1-$W$2)*(AE669/1.2))</f>
        <v>6675</v>
      </c>
      <c r="I669" s="69">
        <f>IF($W$5=0.2,H669*1.2,H669)/$W$4</f>
        <v>8010</v>
      </c>
      <c r="J669" s="25">
        <f>IF(AF669="","",(1-$W$2)*(AF669/1.2))</f>
        <v>7208.3333333333339</v>
      </c>
      <c r="K669" s="69">
        <f>IF($W$5=0.2,J669*1.2,J669)/$W$4</f>
        <v>8650</v>
      </c>
      <c r="L669" s="25">
        <f>IF(AG669="","",(1-$W$2)*(AG669/1.2))</f>
        <v>7641.666666666667</v>
      </c>
      <c r="M669" s="69">
        <f>IF($W$5=0.2,L669*1.2,L669)/$W$4</f>
        <v>9170</v>
      </c>
      <c r="N669" s="104"/>
      <c r="R669" s="104"/>
      <c r="T669" s="104"/>
      <c r="U669" s="20"/>
      <c r="V669" s="104"/>
      <c r="W669" s="20"/>
      <c r="X669" s="104"/>
      <c r="Y669" s="104"/>
      <c r="Z669" s="104"/>
      <c r="AA669" s="104"/>
      <c r="AB669" s="104"/>
      <c r="AC669" s="332">
        <v>6730</v>
      </c>
      <c r="AD669" s="391">
        <v>7670</v>
      </c>
      <c r="AE669" s="332">
        <v>8010</v>
      </c>
      <c r="AF669" s="332">
        <v>8650</v>
      </c>
      <c r="AG669" s="332">
        <v>9170</v>
      </c>
      <c r="AH669" s="289">
        <v>6730</v>
      </c>
      <c r="AI669" s="289">
        <f>AH669/AC669-1</f>
        <v>0</v>
      </c>
      <c r="AJ669" s="289">
        <v>7670</v>
      </c>
      <c r="AK669" s="289">
        <f>AJ669/AD669-1</f>
        <v>0</v>
      </c>
      <c r="AL669" s="289">
        <v>8010</v>
      </c>
      <c r="AM669" s="1">
        <f>AL669/AE669-1</f>
        <v>0</v>
      </c>
      <c r="AN669" s="30">
        <v>8650</v>
      </c>
      <c r="AO669" s="1">
        <f>AN669/AF669-1</f>
        <v>0</v>
      </c>
      <c r="AP669" s="1">
        <v>9170</v>
      </c>
      <c r="AQ669" s="1">
        <f>AP669/AG669-1</f>
        <v>0</v>
      </c>
    </row>
    <row r="670" spans="1:46">
      <c r="C670" s="245"/>
      <c r="D670" s="26"/>
      <c r="E670" s="57"/>
      <c r="F670" s="26"/>
      <c r="G670" s="57"/>
      <c r="H670" s="10"/>
      <c r="I670" s="8"/>
      <c r="J670" s="8"/>
      <c r="K670" s="8"/>
    </row>
    <row r="671" spans="1:46">
      <c r="B671" s="212" t="str">
        <f>IF($C$1="ENG","For additonal charge:","Послуги за додаткову плату:")</f>
        <v>Послуги за додаткову плату:</v>
      </c>
      <c r="C671" s="421"/>
      <c r="D671" s="213"/>
      <c r="E671" s="214"/>
      <c r="F671" s="26"/>
      <c r="G671" s="57"/>
      <c r="H671" s="10"/>
      <c r="I671" s="8"/>
      <c r="J671" s="8"/>
      <c r="K671" s="8"/>
    </row>
    <row r="672" spans="1:46" ht="5.0999999999999996" customHeight="1">
      <c r="B672" s="27"/>
      <c r="C672" s="245"/>
      <c r="D672" s="26"/>
      <c r="E672" s="57"/>
      <c r="F672" s="26"/>
      <c r="G672" s="57"/>
      <c r="H672" s="10"/>
      <c r="I672" s="8"/>
      <c r="J672" s="8"/>
      <c r="K672" s="8"/>
    </row>
    <row r="673" spans="2:38">
      <c r="B673" s="447" t="str">
        <f>IF($C$1="ENG","door leaf with width 100","полотно розміром 100")</f>
        <v>полотно розміром 100</v>
      </c>
      <c r="C673" s="448"/>
      <c r="D673" s="410">
        <f t="shared" ref="D673:D685" si="92">IF(AC673="","",(1-$W$2)*(AC673/1.2))</f>
        <v>600</v>
      </c>
      <c r="E673" s="92">
        <f t="shared" ref="E673:E684" si="93">IF($W$5=0.2,D673*1.2,D673)/$W$4</f>
        <v>720</v>
      </c>
      <c r="F673" s="26"/>
      <c r="G673" s="26"/>
      <c r="H673" s="10"/>
      <c r="I673" s="8"/>
      <c r="J673" s="8"/>
      <c r="K673" s="8"/>
      <c r="AC673" s="298">
        <v>720</v>
      </c>
      <c r="AD673" s="298">
        <v>720</v>
      </c>
      <c r="AE673" s="289">
        <f>AD673/AC673-1</f>
        <v>0</v>
      </c>
      <c r="AF673" s="289"/>
      <c r="AG673" s="289"/>
      <c r="AH673" s="289"/>
      <c r="AI673" s="289"/>
      <c r="AJ673" s="289"/>
      <c r="AK673" s="289"/>
      <c r="AL673" s="289"/>
    </row>
    <row r="674" spans="2:38">
      <c r="B674" s="447" t="str">
        <f>IF($C$1="ENG","Ventilation cut","вентиляційний підріз")</f>
        <v>вентиляційний підріз</v>
      </c>
      <c r="C674" s="448"/>
      <c r="D674" s="405">
        <f t="shared" si="92"/>
        <v>141.66666666666669</v>
      </c>
      <c r="E674" s="66">
        <f t="shared" si="93"/>
        <v>170.00000000000003</v>
      </c>
      <c r="F674" s="26"/>
      <c r="G674" s="26"/>
      <c r="I674" s="59"/>
      <c r="J674" s="28"/>
      <c r="AC674" s="298">
        <v>170</v>
      </c>
      <c r="AD674" s="298">
        <v>170</v>
      </c>
      <c r="AE674" s="289">
        <f t="shared" ref="AE674:AE684" si="94">AD674/AC674-1</f>
        <v>0</v>
      </c>
      <c r="AF674" s="289"/>
      <c r="AG674" s="289"/>
      <c r="AH674" s="289"/>
      <c r="AI674" s="289"/>
      <c r="AJ674" s="289"/>
      <c r="AK674" s="289"/>
      <c r="AL674" s="289"/>
    </row>
    <row r="675" spans="2:38">
      <c r="B675" s="445" t="str">
        <f>IF($C$1="ENG","glazing Graphite / Bronze","скло Графіт / Бронза")</f>
        <v>скло Графіт / Бронза</v>
      </c>
      <c r="C675" s="446"/>
      <c r="D675" s="407">
        <f t="shared" si="92"/>
        <v>458.33333333333337</v>
      </c>
      <c r="E675" s="93">
        <f t="shared" si="93"/>
        <v>550</v>
      </c>
      <c r="F675" s="26"/>
      <c r="G675" s="26"/>
      <c r="H675" s="5"/>
      <c r="AC675" s="298">
        <v>550</v>
      </c>
      <c r="AD675" s="298">
        <v>550</v>
      </c>
      <c r="AE675" s="289">
        <f t="shared" si="94"/>
        <v>0</v>
      </c>
      <c r="AF675" s="289"/>
      <c r="AG675" s="289"/>
      <c r="AH675" s="289"/>
      <c r="AI675" s="289"/>
      <c r="AJ675" s="289"/>
      <c r="AK675" s="289"/>
      <c r="AL675" s="289"/>
    </row>
    <row r="676" spans="2:38">
      <c r="B676" s="445" t="str">
        <f>IF($C$1="ENG","glazing Lacobel black ","скло Lacobel чорне")</f>
        <v>скло Lacobel чорне</v>
      </c>
      <c r="C676" s="446"/>
      <c r="D676" s="407">
        <f t="shared" si="92"/>
        <v>458.33333333333337</v>
      </c>
      <c r="E676" s="93">
        <f>IF($W$5=0.2,D676*1.2,D676)/$W$4</f>
        <v>550</v>
      </c>
      <c r="F676" s="26"/>
      <c r="G676" s="26"/>
      <c r="H676" s="5"/>
      <c r="AC676" s="298">
        <v>550</v>
      </c>
      <c r="AD676" s="298">
        <v>550</v>
      </c>
      <c r="AE676" s="289"/>
      <c r="AF676" s="289"/>
      <c r="AG676" s="289"/>
      <c r="AH676" s="289"/>
      <c r="AI676" s="289"/>
      <c r="AJ676" s="289"/>
      <c r="AK676" s="289"/>
      <c r="AL676" s="289"/>
    </row>
    <row r="677" spans="2:38">
      <c r="B677" s="445" t="str">
        <f>IF($C$1="ENG","door lock Soft","замок Soft")</f>
        <v>замок Soft</v>
      </c>
      <c r="C677" s="446"/>
      <c r="D677" s="407">
        <f t="shared" si="92"/>
        <v>458.33333333333337</v>
      </c>
      <c r="E677" s="93">
        <f t="shared" si="93"/>
        <v>550</v>
      </c>
      <c r="F677" s="26"/>
      <c r="G677" s="26"/>
      <c r="H677" s="5"/>
      <c r="AC677" s="298">
        <v>550</v>
      </c>
      <c r="AD677" s="298">
        <v>550</v>
      </c>
      <c r="AE677" s="289">
        <f t="shared" si="94"/>
        <v>0</v>
      </c>
      <c r="AF677" s="289"/>
      <c r="AG677" s="289"/>
      <c r="AH677" s="289"/>
      <c r="AI677" s="289"/>
      <c r="AJ677" s="289"/>
      <c r="AK677" s="289"/>
      <c r="AL677" s="289"/>
    </row>
    <row r="678" spans="2:38">
      <c r="B678" s="445" t="str">
        <f>IF($C$1="ENG","door lock Soft black","замок Soft чорн.")</f>
        <v>замок Soft чорн.</v>
      </c>
      <c r="C678" s="446"/>
      <c r="D678" s="407">
        <f t="shared" ref="D678" si="95">IF(AC678="","",(1-$W$2)*(AC678/1.2))</f>
        <v>566.66666666666674</v>
      </c>
      <c r="E678" s="93">
        <f t="shared" ref="E678" si="96">IF($W$5=0.2,D678*1.2,D678)/$W$4</f>
        <v>680.00000000000011</v>
      </c>
      <c r="F678" s="26"/>
      <c r="G678" s="26"/>
      <c r="H678" s="5"/>
      <c r="AC678" s="298">
        <v>680</v>
      </c>
      <c r="AD678" s="298"/>
      <c r="AE678" s="289"/>
      <c r="AF678" s="289"/>
      <c r="AG678" s="289"/>
      <c r="AH678" s="289"/>
      <c r="AI678" s="289"/>
      <c r="AJ678" s="289"/>
      <c r="AK678" s="289"/>
      <c r="AL678" s="289"/>
    </row>
    <row r="679" spans="2:38">
      <c r="B679" s="445" t="str">
        <f>IF($C$1="ENG","door lock Magnet","замок Magnet")</f>
        <v>замок Magnet</v>
      </c>
      <c r="C679" s="446"/>
      <c r="D679" s="407">
        <f t="shared" si="92"/>
        <v>666.66666666666674</v>
      </c>
      <c r="E679" s="93">
        <f t="shared" si="93"/>
        <v>800.00000000000011</v>
      </c>
      <c r="F679" s="26"/>
      <c r="G679" s="26"/>
      <c r="H679" s="5"/>
      <c r="AC679" s="298">
        <v>800</v>
      </c>
      <c r="AD679" s="298">
        <v>800</v>
      </c>
      <c r="AE679" s="289">
        <f t="shared" si="94"/>
        <v>0</v>
      </c>
      <c r="AF679" s="289"/>
      <c r="AG679" s="289"/>
      <c r="AH679" s="289"/>
      <c r="AI679" s="289"/>
      <c r="AJ679" s="289"/>
      <c r="AK679" s="289"/>
      <c r="AL679" s="289"/>
    </row>
    <row r="680" spans="2:38">
      <c r="B680" s="445" t="s">
        <v>76</v>
      </c>
      <c r="C680" s="446"/>
      <c r="D680" s="407">
        <f t="shared" si="92"/>
        <v>833.33333333333337</v>
      </c>
      <c r="E680" s="93">
        <f t="shared" si="93"/>
        <v>1000</v>
      </c>
      <c r="F680" s="26"/>
      <c r="G680" s="26"/>
      <c r="H680" s="5"/>
      <c r="AC680" s="298">
        <v>1000</v>
      </c>
      <c r="AD680" s="298"/>
      <c r="AE680" s="289"/>
      <c r="AF680" s="289"/>
      <c r="AG680" s="289"/>
      <c r="AH680" s="289"/>
      <c r="AI680" s="289"/>
      <c r="AJ680" s="289"/>
      <c r="AK680" s="289"/>
      <c r="AL680" s="289"/>
    </row>
    <row r="681" spans="2:38">
      <c r="B681" s="445" t="str">
        <f>IF($C$1="ENG","door handle-lock (for sliding doors)","ручка-замок (для дверей купе)")</f>
        <v>ручка-замок (для дверей купе)</v>
      </c>
      <c r="C681" s="446"/>
      <c r="D681" s="405">
        <f t="shared" si="92"/>
        <v>466.66666666666669</v>
      </c>
      <c r="E681" s="93">
        <f t="shared" si="93"/>
        <v>560</v>
      </c>
      <c r="F681" s="26"/>
      <c r="G681" s="26"/>
      <c r="I681" s="11"/>
      <c r="J681" s="11"/>
      <c r="K681" s="19"/>
      <c r="AC681" s="298">
        <v>560</v>
      </c>
      <c r="AD681" s="298">
        <v>560</v>
      </c>
      <c r="AE681" s="289">
        <f t="shared" si="94"/>
        <v>0</v>
      </c>
      <c r="AF681" s="289"/>
      <c r="AG681" s="289"/>
      <c r="AH681" s="289"/>
      <c r="AI681" s="289"/>
      <c r="AJ681" s="289"/>
      <c r="AK681" s="289"/>
      <c r="AL681" s="289"/>
    </row>
    <row r="682" spans="2:38">
      <c r="B682" s="445" t="str">
        <f>IF($C$1="ENG","cylinder incert","циліндр несиметричний")</f>
        <v>циліндр несиметричний</v>
      </c>
      <c r="C682" s="446"/>
      <c r="D682" s="405">
        <f t="shared" si="92"/>
        <v>325</v>
      </c>
      <c r="E682" s="93">
        <f t="shared" si="93"/>
        <v>390</v>
      </c>
      <c r="F682" s="26"/>
      <c r="G682" s="26"/>
      <c r="AC682" s="298">
        <v>390</v>
      </c>
      <c r="AD682" s="298">
        <v>390</v>
      </c>
      <c r="AE682" s="289">
        <f t="shared" si="94"/>
        <v>0</v>
      </c>
      <c r="AF682" s="289"/>
      <c r="AG682" s="289"/>
      <c r="AH682" s="289"/>
      <c r="AI682" s="289"/>
      <c r="AJ682" s="289"/>
      <c r="AK682" s="289"/>
      <c r="AL682" s="289"/>
    </row>
    <row r="683" spans="2:38">
      <c r="B683" s="445" t="str">
        <f>IF($C$1="ENG","door hindge Prestige (1 unit)","завіса Prestige (1 шт)")</f>
        <v>завіса Prestige (1 шт)</v>
      </c>
      <c r="C683" s="446"/>
      <c r="D683" s="408">
        <f t="shared" si="92"/>
        <v>216.66666666666669</v>
      </c>
      <c r="E683" s="93">
        <f t="shared" si="93"/>
        <v>260</v>
      </c>
      <c r="F683" s="26"/>
      <c r="G683" s="26"/>
      <c r="AC683" s="298">
        <v>260</v>
      </c>
      <c r="AD683" s="298">
        <v>260</v>
      </c>
      <c r="AE683" s="289">
        <f t="shared" si="94"/>
        <v>0</v>
      </c>
      <c r="AF683" s="289"/>
      <c r="AG683" s="289"/>
      <c r="AH683" s="289"/>
      <c r="AI683" s="289"/>
      <c r="AJ683" s="289"/>
      <c r="AK683" s="289"/>
      <c r="AL683" s="289"/>
    </row>
    <row r="684" spans="2:38">
      <c r="B684" s="445" t="str">
        <f>IF($C$1="ENG","door hinge caps (1 set)","накладка на завіси (1 к-т)")</f>
        <v>накладка на завіси (1 к-т)</v>
      </c>
      <c r="C684" s="446"/>
      <c r="D684" s="408">
        <f t="shared" si="92"/>
        <v>66.666666666666671</v>
      </c>
      <c r="E684" s="93">
        <f t="shared" si="93"/>
        <v>80</v>
      </c>
      <c r="F684" s="26"/>
      <c r="G684" s="26"/>
      <c r="AC684" s="298">
        <v>80</v>
      </c>
      <c r="AD684" s="298">
        <v>80</v>
      </c>
      <c r="AE684" s="289">
        <f t="shared" si="94"/>
        <v>0</v>
      </c>
      <c r="AF684" s="289"/>
      <c r="AG684" s="289"/>
      <c r="AH684" s="289"/>
      <c r="AI684" s="289"/>
      <c r="AJ684" s="289"/>
      <c r="AK684" s="289"/>
      <c r="AL684" s="289"/>
    </row>
    <row r="685" spans="2:38">
      <c r="B685" s="445" t="str">
        <f>IF($C$1="ENG","door handle","дверна ручка")</f>
        <v>дверна ручка</v>
      </c>
      <c r="C685" s="446"/>
      <c r="D685" s="409" t="str">
        <f t="shared" si="92"/>
        <v/>
      </c>
      <c r="E685" s="247" t="str">
        <f>IF($C$1="ENG","see Handles Price","див. Таблицю Ручки")</f>
        <v>див. Таблицю Ручки</v>
      </c>
      <c r="F685" s="26"/>
      <c r="G685" s="26"/>
      <c r="AC685" s="332"/>
      <c r="AD685" s="289"/>
      <c r="AE685" s="289"/>
      <c r="AF685" s="289"/>
      <c r="AG685" s="289"/>
      <c r="AH685" s="289"/>
      <c r="AI685" s="289"/>
      <c r="AJ685" s="289"/>
      <c r="AK685" s="289"/>
      <c r="AL685" s="289"/>
    </row>
    <row r="686" spans="2:38" ht="14.25" customHeight="1">
      <c r="C686" s="245"/>
      <c r="D686" s="26"/>
      <c r="E686" s="26"/>
      <c r="F686" s="26"/>
      <c r="G686" s="26"/>
      <c r="H686" s="5"/>
      <c r="T686" s="465" t="str">
        <f>IF($C$1="ENG",CONCATENATE("down to: ",B736),CONCATENATE("вниз до: ",B736))</f>
        <v>вниз до: Полотна збірні: НІКА</v>
      </c>
      <c r="U686" s="465"/>
      <c r="V686" s="465"/>
      <c r="W686" s="465"/>
    </row>
    <row r="687" spans="2:38" ht="14.25" customHeight="1">
      <c r="C687" s="245"/>
      <c r="D687" s="26"/>
      <c r="E687" s="26"/>
      <c r="F687" s="26"/>
      <c r="G687" s="26"/>
      <c r="H687" s="5"/>
    </row>
    <row r="688" spans="2:38" ht="14.25" customHeight="1">
      <c r="C688" s="245"/>
      <c r="D688" s="26"/>
      <c r="E688" s="26"/>
      <c r="F688" s="26"/>
      <c r="G688" s="26"/>
      <c r="H688" s="5"/>
    </row>
    <row r="689" spans="3:8" ht="14.25" customHeight="1">
      <c r="C689" s="245"/>
      <c r="D689" s="26"/>
      <c r="E689" s="26"/>
      <c r="F689" s="26"/>
      <c r="G689" s="26"/>
      <c r="H689" s="5"/>
    </row>
    <row r="690" spans="3:8" ht="14.25" customHeight="1">
      <c r="C690" s="245"/>
      <c r="D690" s="26"/>
      <c r="E690" s="26"/>
      <c r="F690" s="26"/>
      <c r="G690" s="26"/>
      <c r="H690" s="5"/>
    </row>
    <row r="691" spans="3:8" ht="14.25" customHeight="1">
      <c r="C691" s="245"/>
      <c r="D691" s="26"/>
      <c r="E691" s="26"/>
      <c r="F691" s="26"/>
      <c r="G691" s="26"/>
      <c r="H691" s="5"/>
    </row>
    <row r="692" spans="3:8" ht="14.25" customHeight="1">
      <c r="C692" s="245"/>
      <c r="D692" s="26"/>
      <c r="E692" s="26"/>
      <c r="F692" s="26"/>
      <c r="G692" s="26"/>
      <c r="H692" s="5"/>
    </row>
    <row r="693" spans="3:8" ht="14.25" customHeight="1">
      <c r="C693" s="245"/>
      <c r="D693" s="26"/>
      <c r="E693" s="26"/>
      <c r="F693" s="26"/>
      <c r="G693" s="26"/>
      <c r="H693" s="5"/>
    </row>
    <row r="694" spans="3:8" ht="14.25" customHeight="1">
      <c r="C694" s="245"/>
      <c r="D694" s="26"/>
      <c r="E694" s="26"/>
      <c r="F694" s="26"/>
      <c r="G694" s="26"/>
      <c r="H694" s="5"/>
    </row>
    <row r="695" spans="3:8" ht="14.25" customHeight="1">
      <c r="C695" s="245"/>
      <c r="D695" s="26"/>
      <c r="E695" s="26"/>
      <c r="F695" s="26"/>
      <c r="G695" s="26"/>
      <c r="H695" s="5"/>
    </row>
    <row r="696" spans="3:8" ht="14.25" customHeight="1">
      <c r="C696" s="245"/>
      <c r="D696" s="26"/>
      <c r="E696" s="26"/>
      <c r="F696" s="26"/>
      <c r="G696" s="26"/>
      <c r="H696" s="5"/>
    </row>
    <row r="697" spans="3:8" ht="14.25" customHeight="1">
      <c r="C697" s="245"/>
      <c r="D697" s="26"/>
      <c r="E697" s="26"/>
      <c r="F697" s="26"/>
      <c r="G697" s="26"/>
      <c r="H697" s="5"/>
    </row>
    <row r="698" spans="3:8" ht="14.25" customHeight="1">
      <c r="C698" s="245"/>
      <c r="D698" s="26"/>
      <c r="E698" s="26"/>
      <c r="F698" s="26"/>
      <c r="G698" s="26"/>
      <c r="H698" s="5"/>
    </row>
    <row r="699" spans="3:8" ht="14.25" customHeight="1">
      <c r="C699" s="245"/>
      <c r="D699" s="26"/>
      <c r="E699" s="26"/>
      <c r="F699" s="26"/>
      <c r="G699" s="26"/>
      <c r="H699" s="5"/>
    </row>
    <row r="700" spans="3:8" ht="14.25" customHeight="1">
      <c r="C700" s="245"/>
      <c r="D700" s="26"/>
      <c r="E700" s="26"/>
      <c r="F700" s="26"/>
      <c r="G700" s="26"/>
      <c r="H700" s="5"/>
    </row>
    <row r="701" spans="3:8" ht="14.25" customHeight="1">
      <c r="C701" s="245"/>
      <c r="D701" s="26"/>
      <c r="E701" s="26"/>
      <c r="F701" s="26"/>
      <c r="G701" s="26"/>
      <c r="H701" s="5"/>
    </row>
    <row r="702" spans="3:8" ht="14.25" customHeight="1">
      <c r="C702" s="245"/>
      <c r="D702" s="26"/>
      <c r="E702" s="26"/>
      <c r="F702" s="26"/>
      <c r="G702" s="26"/>
      <c r="H702" s="5"/>
    </row>
    <row r="703" spans="3:8" ht="14.25" customHeight="1">
      <c r="C703" s="245"/>
      <c r="D703" s="26"/>
      <c r="E703" s="26"/>
      <c r="F703" s="26"/>
      <c r="G703" s="26"/>
      <c r="H703" s="5"/>
    </row>
    <row r="704" spans="3:8" ht="14.25" customHeight="1">
      <c r="C704" s="245"/>
      <c r="D704" s="26"/>
      <c r="E704" s="26"/>
      <c r="F704" s="26"/>
      <c r="G704" s="26"/>
      <c r="H704" s="5"/>
    </row>
    <row r="705" spans="3:8" ht="14.25" customHeight="1">
      <c r="C705" s="245"/>
      <c r="D705" s="26"/>
      <c r="E705" s="26"/>
      <c r="F705" s="26"/>
      <c r="G705" s="26"/>
      <c r="H705" s="5"/>
    </row>
    <row r="706" spans="3:8" ht="14.25" customHeight="1">
      <c r="C706" s="245"/>
      <c r="D706" s="26"/>
      <c r="E706" s="26"/>
      <c r="F706" s="26"/>
      <c r="G706" s="26"/>
      <c r="H706" s="5"/>
    </row>
    <row r="707" spans="3:8" ht="14.25" customHeight="1">
      <c r="C707" s="245"/>
      <c r="D707" s="26"/>
      <c r="E707" s="26"/>
      <c r="F707" s="26"/>
      <c r="G707" s="26"/>
      <c r="H707" s="5"/>
    </row>
    <row r="708" spans="3:8" ht="14.25" customHeight="1">
      <c r="C708" s="245"/>
      <c r="D708" s="26"/>
      <c r="E708" s="26"/>
      <c r="F708" s="26"/>
      <c r="G708" s="26"/>
      <c r="H708" s="5"/>
    </row>
    <row r="709" spans="3:8" ht="14.25" customHeight="1">
      <c r="C709" s="245"/>
      <c r="D709" s="26"/>
      <c r="E709" s="26"/>
      <c r="F709" s="26"/>
      <c r="G709" s="26"/>
      <c r="H709" s="5"/>
    </row>
    <row r="710" spans="3:8" ht="14.25" customHeight="1">
      <c r="C710" s="245"/>
      <c r="D710" s="26"/>
      <c r="E710" s="26"/>
      <c r="F710" s="26"/>
      <c r="G710" s="26"/>
      <c r="H710" s="5"/>
    </row>
    <row r="711" spans="3:8" ht="14.25" customHeight="1">
      <c r="C711" s="245"/>
      <c r="D711" s="26"/>
      <c r="E711" s="26"/>
      <c r="F711" s="26"/>
      <c r="G711" s="26"/>
      <c r="H711" s="5"/>
    </row>
    <row r="712" spans="3:8" ht="14.25" customHeight="1">
      <c r="C712" s="245"/>
      <c r="D712" s="26"/>
      <c r="E712" s="26"/>
      <c r="F712" s="26"/>
      <c r="G712" s="26"/>
      <c r="H712" s="5"/>
    </row>
    <row r="713" spans="3:8" ht="14.25" customHeight="1">
      <c r="C713" s="245"/>
      <c r="D713" s="26"/>
      <c r="E713" s="26"/>
      <c r="F713" s="26"/>
      <c r="G713" s="26"/>
      <c r="H713" s="5"/>
    </row>
    <row r="714" spans="3:8" ht="14.25" customHeight="1">
      <c r="C714" s="245"/>
      <c r="D714" s="26"/>
      <c r="E714" s="26"/>
      <c r="F714" s="26"/>
      <c r="G714" s="26"/>
      <c r="H714" s="5"/>
    </row>
    <row r="715" spans="3:8" ht="14.25" customHeight="1">
      <c r="C715" s="245"/>
      <c r="D715" s="26"/>
      <c r="E715" s="26"/>
      <c r="F715" s="26"/>
      <c r="G715" s="26"/>
      <c r="H715" s="5"/>
    </row>
    <row r="716" spans="3:8" ht="14.25" customHeight="1">
      <c r="C716" s="245"/>
      <c r="D716" s="26"/>
      <c r="E716" s="26"/>
      <c r="F716" s="26"/>
      <c r="G716" s="26"/>
      <c r="H716" s="5"/>
    </row>
    <row r="717" spans="3:8" ht="14.25" customHeight="1">
      <c r="C717" s="245"/>
      <c r="D717" s="26"/>
      <c r="E717" s="26"/>
      <c r="F717" s="26"/>
      <c r="G717" s="26"/>
      <c r="H717" s="5"/>
    </row>
    <row r="718" spans="3:8" ht="14.25" customHeight="1">
      <c r="C718" s="245"/>
      <c r="D718" s="26"/>
      <c r="E718" s="26"/>
      <c r="F718" s="26"/>
      <c r="G718" s="26"/>
      <c r="H718" s="5"/>
    </row>
    <row r="719" spans="3:8" ht="14.25" customHeight="1">
      <c r="C719" s="245"/>
      <c r="D719" s="26"/>
      <c r="E719" s="26"/>
      <c r="F719" s="26"/>
      <c r="G719" s="26"/>
      <c r="H719" s="5"/>
    </row>
    <row r="720" spans="3:8" ht="14.25" customHeight="1">
      <c r="C720" s="245"/>
      <c r="D720" s="26"/>
      <c r="E720" s="26"/>
      <c r="F720" s="26"/>
      <c r="G720" s="26"/>
      <c r="H720" s="5"/>
    </row>
    <row r="721" spans="2:46" ht="14.25" customHeight="1">
      <c r="C721" s="245"/>
      <c r="D721" s="26"/>
      <c r="E721" s="26"/>
      <c r="F721" s="26"/>
      <c r="G721" s="26"/>
      <c r="H721" s="5"/>
    </row>
    <row r="722" spans="2:46" ht="14.25" customHeight="1">
      <c r="C722" s="245"/>
      <c r="D722" s="26"/>
      <c r="E722" s="26"/>
      <c r="F722" s="26"/>
      <c r="G722" s="26"/>
      <c r="H722" s="5"/>
    </row>
    <row r="723" spans="2:46" ht="14.25" customHeight="1">
      <c r="C723" s="245"/>
      <c r="D723" s="26"/>
      <c r="E723" s="26"/>
      <c r="F723" s="26"/>
      <c r="G723" s="26"/>
      <c r="H723" s="5"/>
    </row>
    <row r="724" spans="2:46" ht="14.25" customHeight="1">
      <c r="C724" s="245"/>
      <c r="D724" s="26"/>
      <c r="E724" s="26"/>
      <c r="F724" s="26"/>
      <c r="G724" s="26"/>
      <c r="H724" s="5"/>
    </row>
    <row r="725" spans="2:46" ht="14.25" customHeight="1">
      <c r="C725" s="245"/>
      <c r="D725" s="26"/>
      <c r="E725" s="26"/>
      <c r="F725" s="26"/>
      <c r="G725" s="26"/>
      <c r="H725" s="5"/>
    </row>
    <row r="726" spans="2:46" ht="14.25" customHeight="1">
      <c r="C726" s="245"/>
      <c r="D726" s="26"/>
      <c r="E726" s="26"/>
      <c r="F726" s="26"/>
      <c r="G726" s="26"/>
      <c r="H726" s="5"/>
    </row>
    <row r="727" spans="2:46" ht="14.25" customHeight="1">
      <c r="C727" s="245"/>
      <c r="D727" s="26"/>
      <c r="E727" s="26"/>
      <c r="F727" s="26"/>
      <c r="G727" s="26"/>
      <c r="H727" s="5"/>
    </row>
    <row r="728" spans="2:46" ht="14.25" customHeight="1">
      <c r="C728" s="245"/>
      <c r="D728" s="26"/>
      <c r="E728" s="26"/>
      <c r="F728" s="26"/>
      <c r="G728" s="26"/>
      <c r="H728" s="5"/>
    </row>
    <row r="729" spans="2:46" ht="14.25" customHeight="1">
      <c r="C729" s="245"/>
      <c r="D729" s="26"/>
      <c r="E729" s="26"/>
      <c r="F729" s="26"/>
      <c r="G729" s="26"/>
      <c r="H729" s="5"/>
    </row>
    <row r="730" spans="2:46" ht="14.25" customHeight="1">
      <c r="C730" s="245"/>
      <c r="D730" s="26"/>
      <c r="E730" s="26"/>
      <c r="F730" s="26"/>
      <c r="G730" s="26"/>
      <c r="H730" s="5"/>
    </row>
    <row r="731" spans="2:46" ht="14.25" customHeight="1">
      <c r="C731" s="245"/>
      <c r="D731" s="26"/>
      <c r="E731" s="26"/>
      <c r="F731" s="26"/>
      <c r="G731" s="26"/>
      <c r="H731" s="5"/>
    </row>
    <row r="732" spans="2:46" ht="14.25" customHeight="1">
      <c r="C732" s="245"/>
      <c r="D732" s="26"/>
      <c r="E732" s="26"/>
      <c r="F732" s="26"/>
      <c r="G732" s="26"/>
      <c r="H732" s="5"/>
    </row>
    <row r="733" spans="2:46" ht="14.25" customHeight="1">
      <c r="C733" s="245"/>
      <c r="D733" s="26"/>
      <c r="E733" s="26"/>
      <c r="F733" s="26"/>
      <c r="G733" s="26"/>
      <c r="H733" s="5"/>
    </row>
    <row r="734" spans="2:46" ht="14.25" customHeight="1">
      <c r="C734" s="245"/>
      <c r="D734" s="26"/>
      <c r="E734" s="26"/>
      <c r="F734" s="26"/>
      <c r="G734" s="26"/>
      <c r="H734" s="5"/>
    </row>
    <row r="735" spans="2:46" ht="14.25" customHeight="1">
      <c r="C735" s="245"/>
      <c r="D735" s="26"/>
      <c r="E735" s="26"/>
      <c r="F735" s="26"/>
      <c r="G735" s="26"/>
      <c r="H735" s="5"/>
    </row>
    <row r="736" spans="2:46" s="8" customFormat="1">
      <c r="B736" s="451" t="str">
        <f>TITLE!C18</f>
        <v>Полотна збірні: НІКА</v>
      </c>
      <c r="C736" s="451"/>
      <c r="D736" s="118"/>
      <c r="E736" s="118"/>
      <c r="F736" s="118"/>
      <c r="G736" s="118"/>
      <c r="H736" s="455"/>
      <c r="I736" s="455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462" t="str">
        <f>IF($C$1="ENG",CONCATENATE("up to: ",B663),CONCATENATE("вгору до: ",B663))</f>
        <v>вгору до: Полотна збірні: ЛАДА D</v>
      </c>
      <c r="U736" s="462"/>
      <c r="V736" s="462"/>
      <c r="W736" s="462"/>
      <c r="AN736" s="280"/>
      <c r="AO736" s="280"/>
      <c r="AP736" s="280"/>
      <c r="AQ736" s="280"/>
      <c r="AR736" s="280"/>
      <c r="AS736" s="280"/>
      <c r="AT736" s="280"/>
    </row>
    <row r="737" spans="1:46" s="8" customFormat="1" ht="5.0999999999999996" customHeight="1">
      <c r="B737" s="117"/>
      <c r="C737" s="420"/>
      <c r="D737" s="9"/>
      <c r="E737" s="9"/>
      <c r="F737" s="9"/>
      <c r="G737" s="9"/>
      <c r="H737" s="120"/>
      <c r="I737" s="120"/>
      <c r="T737" s="115"/>
      <c r="U737" s="115"/>
      <c r="V737" s="115"/>
      <c r="W737" s="115"/>
      <c r="AN737" s="280"/>
      <c r="AO737" s="280"/>
      <c r="AP737" s="280"/>
      <c r="AQ737" s="280"/>
      <c r="AR737" s="280"/>
      <c r="AS737" s="280"/>
      <c r="AT737" s="280"/>
    </row>
    <row r="738" spans="1:46" s="8" customFormat="1" ht="12.75" customHeight="1">
      <c r="B738" s="452" t="str">
        <f>IF($C$1="ENG","model","модель")</f>
        <v>модель</v>
      </c>
      <c r="C738" s="122" t="str">
        <f>IF($C$1="ENG","cover:","покриття:")</f>
        <v>покриття:</v>
      </c>
      <c r="D738" s="458" t="str">
        <f>IF($C$1="ENG","Verto-CELL","Verto-CELL")</f>
        <v>Verto-CELL</v>
      </c>
      <c r="E738" s="459"/>
      <c r="F738" s="458" t="str">
        <f>IF($C$1="ENG","UNI-MAT","UNI-MAT")</f>
        <v>UNI-MAT</v>
      </c>
      <c r="G738" s="459"/>
      <c r="H738" s="458" t="str">
        <f>IF($C$1="ENG","RESIST","RESIST")</f>
        <v>RESIST</v>
      </c>
      <c r="I738" s="459"/>
      <c r="J738" s="458" t="str">
        <f>IF($C$1="ENG","Verto LINE-3D","Verto LINE-3D")</f>
        <v>Verto LINE-3D</v>
      </c>
      <c r="K738" s="459"/>
      <c r="L738" s="458" t="str">
        <f>IF($C$1="ENG","ECO Shpon","ЕКО Шпон")</f>
        <v>ЕКО Шпон</v>
      </c>
      <c r="M738" s="459"/>
      <c r="P738" s="1"/>
      <c r="Q738" s="1"/>
      <c r="T738" s="115"/>
      <c r="U738" s="115"/>
      <c r="V738" s="115"/>
      <c r="W738" s="115"/>
      <c r="AN738" s="280"/>
      <c r="AO738" s="280"/>
      <c r="AP738" s="280"/>
      <c r="AQ738" s="280"/>
      <c r="AR738" s="280"/>
      <c r="AS738" s="280"/>
      <c r="AT738" s="280"/>
    </row>
    <row r="739" spans="1:46" s="8" customFormat="1" ht="24.75" customHeight="1">
      <c r="B739" s="453"/>
      <c r="C739" s="123" t="str">
        <f>IF($C$1="ENG","filling:","заповнення:")</f>
        <v>заповнення:</v>
      </c>
      <c r="D739" s="460" t="str">
        <f>IF($C$1="ENG","softwood","клеєний сосновий брус")</f>
        <v>клеєний сосновий брус</v>
      </c>
      <c r="E739" s="461"/>
      <c r="F739" s="460" t="str">
        <f>IF($C$1="ENG","softwood","клеєний сосновий брус")</f>
        <v>клеєний сосновий брус</v>
      </c>
      <c r="G739" s="461"/>
      <c r="H739" s="460" t="str">
        <f>IF($C$1="ENG","softwood","клеєний сосновий брус")</f>
        <v>клеєний сосновий брус</v>
      </c>
      <c r="I739" s="461"/>
      <c r="J739" s="460" t="str">
        <f>IF($C$1="ENG","softwood","клеєний сосновий брус")</f>
        <v>клеєний сосновий брус</v>
      </c>
      <c r="K739" s="461"/>
      <c r="L739" s="460" t="str">
        <f>IF($C$1="ENG","softwood","клеєний сосновий брус")</f>
        <v>клеєний сосновий брус</v>
      </c>
      <c r="M739" s="461"/>
      <c r="P739" s="1"/>
      <c r="Q739" s="1"/>
      <c r="T739" s="115"/>
      <c r="U739" s="115"/>
      <c r="V739" s="115"/>
      <c r="W739" s="115"/>
      <c r="AD739" s="383">
        <f>AD741/AC741-1</f>
        <v>0.13808801213960553</v>
      </c>
      <c r="AE739" s="383">
        <f>AE741/AD741-1</f>
        <v>3.2000000000000028E-2</v>
      </c>
      <c r="AF739" s="383">
        <f>AF741/AE741-1</f>
        <v>8.5271317829457294E-2</v>
      </c>
      <c r="AG739" s="383">
        <f>AG741/AF741-1</f>
        <v>4.4047619047619113E-2</v>
      </c>
      <c r="AN739" s="280"/>
      <c r="AO739" s="280"/>
      <c r="AP739" s="280"/>
      <c r="AQ739" s="280"/>
      <c r="AR739" s="280"/>
      <c r="AS739" s="280"/>
      <c r="AT739" s="280"/>
    </row>
    <row r="740" spans="1:46" ht="12.75" customHeight="1">
      <c r="A740" s="8"/>
      <c r="B740" s="454"/>
      <c r="C740" s="124" t="str">
        <f>IF($C$1="ENG","glazing:","скління:")</f>
        <v>скління:</v>
      </c>
      <c r="D740" s="449" t="str">
        <f>IF($C$1="ENG","Satin","Сатин")</f>
        <v>Сатин</v>
      </c>
      <c r="E740" s="450"/>
      <c r="F740" s="449" t="str">
        <f>IF($C$1="ENG","Satin","Сатин")</f>
        <v>Сатин</v>
      </c>
      <c r="G740" s="450"/>
      <c r="H740" s="449" t="str">
        <f>IF($C$1="ENG","Satin","Сатин")</f>
        <v>Сатин</v>
      </c>
      <c r="I740" s="450"/>
      <c r="J740" s="449" t="str">
        <f>IF($C$1="ENG","Satin","Сатин")</f>
        <v>Сатин</v>
      </c>
      <c r="K740" s="450"/>
      <c r="L740" s="449" t="str">
        <f>IF($C$1="ENG","Satin","Сатин")</f>
        <v>Сатин</v>
      </c>
      <c r="M740" s="450"/>
    </row>
    <row r="741" spans="1:46" ht="35.1" customHeight="1">
      <c r="A741" s="8"/>
      <c r="B741" s="16" t="s">
        <v>45</v>
      </c>
      <c r="C741" s="17"/>
      <c r="D741" s="18">
        <f>IF(AC741="","",(1-$W$2)*(AC741/1.2))</f>
        <v>5491.666666666667</v>
      </c>
      <c r="E741" s="66">
        <f>IF($W$5=0.2,D741*1.2,D741)/$W$4</f>
        <v>6590</v>
      </c>
      <c r="F741" s="18">
        <f>IF(AD741="","",(1-$W$2)*(AD741/1.2))</f>
        <v>6250</v>
      </c>
      <c r="G741" s="66">
        <f>IF($W$5=0.2,F741*1.2,F741)/$W$4</f>
        <v>7500</v>
      </c>
      <c r="H741" s="18">
        <f>IF(AE741="","",(1-$W$2)*(AE741/1.2))</f>
        <v>6450</v>
      </c>
      <c r="I741" s="66">
        <f>IF($W$5=0.2,H741*1.2,H741)/$W$4</f>
        <v>7740</v>
      </c>
      <c r="J741" s="18">
        <f>IF(AF741="","",(1-$W$2)*(AF741/1.2))</f>
        <v>7000</v>
      </c>
      <c r="K741" s="66">
        <f>IF($W$5=0.2,J741*1.2,J741)/$W$4</f>
        <v>8400</v>
      </c>
      <c r="L741" s="18">
        <f>IF(AG741="","",(1-$W$2)*(AG741/1.2))</f>
        <v>7308.3333333333339</v>
      </c>
      <c r="M741" s="66">
        <f>IF($W$5=0.2,L741*1.2,L741)/$W$4</f>
        <v>8770</v>
      </c>
      <c r="N741" s="104"/>
      <c r="R741" s="104"/>
      <c r="T741" s="104"/>
      <c r="U741" s="20"/>
      <c r="V741" s="104"/>
      <c r="W741" s="20"/>
      <c r="X741" s="104"/>
      <c r="Y741" s="104"/>
      <c r="Z741" s="104"/>
      <c r="AA741" s="104"/>
      <c r="AB741" s="104"/>
      <c r="AC741" s="332">
        <v>6590</v>
      </c>
      <c r="AD741" s="391">
        <v>7500</v>
      </c>
      <c r="AE741" s="332">
        <v>7740</v>
      </c>
      <c r="AF741" s="332">
        <v>8400</v>
      </c>
      <c r="AG741" s="332">
        <v>8770</v>
      </c>
      <c r="AH741" s="289">
        <v>6590</v>
      </c>
      <c r="AI741" s="289">
        <f>AH741/AC741-1</f>
        <v>0</v>
      </c>
      <c r="AJ741" s="289">
        <v>7500</v>
      </c>
      <c r="AK741" s="289">
        <f>AJ741/AD741-1</f>
        <v>0</v>
      </c>
      <c r="AL741" s="289">
        <v>7740</v>
      </c>
      <c r="AM741" s="289">
        <f>AL741/AE741-1</f>
        <v>0</v>
      </c>
      <c r="AN741" s="30">
        <f>AF741/100*12+AF741</f>
        <v>9408</v>
      </c>
      <c r="AO741" s="1">
        <f>AN741/AF741-1</f>
        <v>0.12000000000000011</v>
      </c>
      <c r="AP741" s="30">
        <v>8770</v>
      </c>
      <c r="AQ741" s="1">
        <f>AP741/AG741-1</f>
        <v>0</v>
      </c>
    </row>
    <row r="742" spans="1:46" ht="35.1" customHeight="1">
      <c r="A742" s="8"/>
      <c r="B742" s="23" t="s">
        <v>46</v>
      </c>
      <c r="C742" s="24"/>
      <c r="D742" s="25">
        <f>IF(AC742="","",(1-$W$2)*(AC742/1.2))</f>
        <v>5491.666666666667</v>
      </c>
      <c r="E742" s="69">
        <f>IF($W$5=0.2,D742*1.2,D742)/$W$4</f>
        <v>6590</v>
      </c>
      <c r="F742" s="25">
        <f>IF(AD742="","",(1-$W$2)*(AD742/1.2))</f>
        <v>6250</v>
      </c>
      <c r="G742" s="69">
        <f>IF($W$5=0.2,F742*1.2,F742)/$W$4</f>
        <v>7500</v>
      </c>
      <c r="H742" s="25">
        <f>IF(AE742="","",(1-$W$2)*(AE742/1.2))</f>
        <v>6450</v>
      </c>
      <c r="I742" s="69">
        <f>IF($W$5=0.2,H742*1.2,H742)/$W$4</f>
        <v>7740</v>
      </c>
      <c r="J742" s="25">
        <f>IF(AF742="","",(1-$W$2)*(AF742/1.2))</f>
        <v>7000</v>
      </c>
      <c r="K742" s="69">
        <f>IF($W$5=0.2,J742*1.2,J742)/$W$4</f>
        <v>8400</v>
      </c>
      <c r="L742" s="25">
        <f>IF(AG742="","",(1-$W$2)*(AG742/1.2))</f>
        <v>7308.3333333333339</v>
      </c>
      <c r="M742" s="69">
        <f>IF($W$5=0.2,L742*1.2,L742)/$W$4</f>
        <v>8770</v>
      </c>
      <c r="N742" s="104"/>
      <c r="R742" s="104"/>
      <c r="T742" s="104"/>
      <c r="U742" s="20"/>
      <c r="V742" s="104"/>
      <c r="W742" s="20"/>
      <c r="X742" s="104"/>
      <c r="Y742" s="104"/>
      <c r="Z742" s="104"/>
      <c r="AA742" s="104"/>
      <c r="AB742" s="104"/>
      <c r="AC742" s="332">
        <v>6590</v>
      </c>
      <c r="AD742" s="391">
        <v>7500</v>
      </c>
      <c r="AE742" s="332">
        <v>7740</v>
      </c>
      <c r="AF742" s="332">
        <v>8400</v>
      </c>
      <c r="AG742" s="332">
        <v>8770</v>
      </c>
      <c r="AH742" s="289">
        <v>6590</v>
      </c>
      <c r="AI742" s="289">
        <f>AH742/AC742-1</f>
        <v>0</v>
      </c>
      <c r="AJ742" s="289">
        <v>7500</v>
      </c>
      <c r="AK742" s="289">
        <f>AJ742/AD742-1</f>
        <v>0</v>
      </c>
      <c r="AL742" s="289">
        <v>7740</v>
      </c>
      <c r="AM742" s="289">
        <f>AL742/AE742-1</f>
        <v>0</v>
      </c>
      <c r="AN742" s="30">
        <f>AF742/100*12+AF742</f>
        <v>9408</v>
      </c>
      <c r="AO742" s="1">
        <f>AN742/AF742-1</f>
        <v>0.12000000000000011</v>
      </c>
      <c r="AP742" s="30">
        <v>8770</v>
      </c>
      <c r="AQ742" s="1">
        <f>AP742/AG742-1</f>
        <v>0</v>
      </c>
    </row>
    <row r="743" spans="1:46">
      <c r="C743" s="245"/>
      <c r="D743" s="26"/>
      <c r="E743" s="57"/>
      <c r="F743" s="26"/>
      <c r="G743" s="57"/>
      <c r="H743" s="10"/>
      <c r="I743" s="8"/>
      <c r="J743" s="8"/>
      <c r="K743" s="8"/>
    </row>
    <row r="744" spans="1:46">
      <c r="B744" s="212" t="str">
        <f>IF($C$1="ENG","For additonal charge:","Послуги за додаткову плату:")</f>
        <v>Послуги за додаткову плату:</v>
      </c>
      <c r="C744" s="421"/>
      <c r="D744" s="213"/>
      <c r="E744" s="214"/>
      <c r="F744" s="26"/>
      <c r="G744" s="57"/>
      <c r="H744" s="10"/>
      <c r="I744" s="8"/>
      <c r="J744" s="8"/>
      <c r="K744" s="8"/>
    </row>
    <row r="745" spans="1:46" ht="5.0999999999999996" customHeight="1">
      <c r="B745" s="27"/>
      <c r="C745" s="245"/>
      <c r="D745" s="26"/>
      <c r="E745" s="57"/>
      <c r="F745" s="26"/>
      <c r="G745" s="57"/>
      <c r="H745" s="10"/>
      <c r="I745" s="8"/>
      <c r="J745" s="8"/>
      <c r="K745" s="8"/>
    </row>
    <row r="746" spans="1:46">
      <c r="B746" s="447" t="str">
        <f>IF($C$1="ENG","door leaf with width 100","полотно розміром 100")</f>
        <v>полотно розміром 100</v>
      </c>
      <c r="C746" s="448"/>
      <c r="D746" s="410">
        <f t="shared" ref="D746:D758" si="97">IF(AC746="","",(1-$W$2)*(AC746/1.2))</f>
        <v>600</v>
      </c>
      <c r="E746" s="92">
        <f t="shared" ref="E746:E757" si="98">IF($W$5=0.2,D746*1.2,D746)/$W$4</f>
        <v>720</v>
      </c>
      <c r="F746" s="26"/>
      <c r="G746" s="26"/>
      <c r="H746" s="10"/>
      <c r="I746" s="8"/>
      <c r="J746" s="8"/>
      <c r="K746" s="8"/>
      <c r="AC746" s="298">
        <v>720</v>
      </c>
      <c r="AD746" s="298">
        <v>720</v>
      </c>
      <c r="AE746" s="289"/>
      <c r="AF746" s="289"/>
      <c r="AG746" s="289"/>
      <c r="AH746" s="289"/>
      <c r="AI746" s="289"/>
      <c r="AJ746" s="289"/>
      <c r="AK746" s="289"/>
      <c r="AL746" s="289"/>
    </row>
    <row r="747" spans="1:46">
      <c r="B747" s="447" t="str">
        <f>IF($C$1="ENG","Ventilation cut","вентиляційний підріз")</f>
        <v>вентиляційний підріз</v>
      </c>
      <c r="C747" s="448"/>
      <c r="D747" s="405">
        <f t="shared" si="97"/>
        <v>141.66666666666669</v>
      </c>
      <c r="E747" s="66">
        <f t="shared" si="98"/>
        <v>170.00000000000003</v>
      </c>
      <c r="F747" s="26"/>
      <c r="G747" s="26"/>
      <c r="I747" s="59"/>
      <c r="J747" s="28"/>
      <c r="AC747" s="298">
        <v>170</v>
      </c>
      <c r="AD747" s="298">
        <v>170</v>
      </c>
      <c r="AE747" s="289"/>
      <c r="AF747" s="289"/>
      <c r="AG747" s="289"/>
      <c r="AH747" s="289"/>
      <c r="AI747" s="289"/>
      <c r="AJ747" s="289"/>
      <c r="AK747" s="289"/>
      <c r="AL747" s="289"/>
    </row>
    <row r="748" spans="1:46">
      <c r="B748" s="445" t="str">
        <f>IF($C$1="ENG","glazing Graphite / Bronze","скло Графіт / Бронза")</f>
        <v>скло Графіт / Бронза</v>
      </c>
      <c r="C748" s="446"/>
      <c r="D748" s="407">
        <f t="shared" si="97"/>
        <v>458.33333333333337</v>
      </c>
      <c r="E748" s="93">
        <f t="shared" si="98"/>
        <v>550</v>
      </c>
      <c r="F748" s="26"/>
      <c r="G748" s="26"/>
      <c r="H748" s="5"/>
      <c r="AC748" s="298">
        <v>550</v>
      </c>
      <c r="AD748" s="298">
        <v>550</v>
      </c>
      <c r="AE748" s="289"/>
      <c r="AF748" s="289"/>
      <c r="AG748" s="289"/>
      <c r="AH748" s="289"/>
      <c r="AI748" s="289"/>
      <c r="AJ748" s="289"/>
      <c r="AK748" s="289"/>
      <c r="AL748" s="289"/>
    </row>
    <row r="749" spans="1:46">
      <c r="B749" s="445" t="str">
        <f>IF($C$1="ENG","glazing Lacobel black ","скло Lacobel чорне")</f>
        <v>скло Lacobel чорне</v>
      </c>
      <c r="C749" s="446"/>
      <c r="D749" s="407">
        <f t="shared" si="97"/>
        <v>458.33333333333337</v>
      </c>
      <c r="E749" s="93">
        <f>IF($W$5=0.2,D749*1.2,D749)/$W$4</f>
        <v>550</v>
      </c>
      <c r="F749" s="26"/>
      <c r="G749" s="26"/>
      <c r="H749" s="5"/>
      <c r="AC749" s="298">
        <v>550</v>
      </c>
      <c r="AD749" s="298">
        <v>550</v>
      </c>
      <c r="AE749" s="289"/>
      <c r="AF749" s="289"/>
      <c r="AG749" s="289"/>
      <c r="AH749" s="289"/>
      <c r="AI749" s="289"/>
      <c r="AJ749" s="289"/>
      <c r="AK749" s="289"/>
      <c r="AL749" s="289"/>
    </row>
    <row r="750" spans="1:46">
      <c r="B750" s="445" t="str">
        <f>IF($C$1="ENG","door lock Soft","замок Soft")</f>
        <v>замок Soft</v>
      </c>
      <c r="C750" s="446"/>
      <c r="D750" s="407">
        <f t="shared" si="97"/>
        <v>458.33333333333337</v>
      </c>
      <c r="E750" s="93">
        <f t="shared" si="98"/>
        <v>550</v>
      </c>
      <c r="F750" s="26"/>
      <c r="G750" s="26"/>
      <c r="H750" s="5"/>
      <c r="AC750" s="298">
        <v>550</v>
      </c>
      <c r="AD750" s="298">
        <v>550</v>
      </c>
      <c r="AE750" s="289"/>
      <c r="AF750" s="289"/>
      <c r="AG750" s="289"/>
      <c r="AH750" s="289"/>
      <c r="AI750" s="289"/>
      <c r="AJ750" s="289"/>
      <c r="AK750" s="289"/>
      <c r="AL750" s="289"/>
    </row>
    <row r="751" spans="1:46">
      <c r="B751" s="445" t="str">
        <f>IF($C$1="ENG","door lock Soft black","замок Soft чорн.")</f>
        <v>замок Soft чорн.</v>
      </c>
      <c r="C751" s="446"/>
      <c r="D751" s="407">
        <f t="shared" ref="D751" si="99">IF(AC751="","",(1-$W$2)*(AC751/1.2))</f>
        <v>566.66666666666674</v>
      </c>
      <c r="E751" s="93">
        <f t="shared" ref="E751" si="100">IF($W$5=0.2,D751*1.2,D751)/$W$4</f>
        <v>680.00000000000011</v>
      </c>
      <c r="F751" s="26"/>
      <c r="G751" s="26"/>
      <c r="H751" s="5"/>
      <c r="AC751" s="298">
        <v>680</v>
      </c>
      <c r="AD751" s="298"/>
      <c r="AE751" s="289"/>
      <c r="AF751" s="289"/>
      <c r="AG751" s="289"/>
      <c r="AH751" s="289"/>
      <c r="AI751" s="289"/>
      <c r="AJ751" s="289"/>
      <c r="AK751" s="289"/>
      <c r="AL751" s="289"/>
    </row>
    <row r="752" spans="1:46">
      <c r="B752" s="445" t="str">
        <f>IF($C$1="ENG","door lock Magnet","замок Magnet")</f>
        <v>замок Magnet</v>
      </c>
      <c r="C752" s="446"/>
      <c r="D752" s="407">
        <f t="shared" si="97"/>
        <v>666.66666666666674</v>
      </c>
      <c r="E752" s="93">
        <f t="shared" si="98"/>
        <v>800.00000000000011</v>
      </c>
      <c r="F752" s="26"/>
      <c r="G752" s="26"/>
      <c r="H752" s="5"/>
      <c r="AC752" s="298">
        <v>800</v>
      </c>
      <c r="AD752" s="298">
        <v>800</v>
      </c>
      <c r="AE752" s="289"/>
      <c r="AF752" s="289"/>
      <c r="AG752" s="289"/>
      <c r="AH752" s="289"/>
      <c r="AI752" s="289"/>
      <c r="AJ752" s="289"/>
      <c r="AK752" s="289"/>
      <c r="AL752" s="289"/>
    </row>
    <row r="753" spans="2:38">
      <c r="B753" s="445" t="s">
        <v>76</v>
      </c>
      <c r="C753" s="446"/>
      <c r="D753" s="407">
        <f t="shared" ref="D753" si="101">IF(AC753="","",(1-$W$2)*(AC753/1.2))</f>
        <v>833.33333333333337</v>
      </c>
      <c r="E753" s="93">
        <f t="shared" ref="E753" si="102">IF($W$5=0.2,D753*1.2,D753)/$W$4</f>
        <v>1000</v>
      </c>
      <c r="F753" s="26"/>
      <c r="G753" s="26"/>
      <c r="H753" s="5"/>
      <c r="AC753" s="298">
        <v>1000</v>
      </c>
      <c r="AD753" s="298"/>
      <c r="AE753" s="289"/>
      <c r="AF753" s="289"/>
      <c r="AG753" s="289"/>
      <c r="AH753" s="289"/>
      <c r="AI753" s="289"/>
      <c r="AJ753" s="289"/>
      <c r="AK753" s="289"/>
      <c r="AL753" s="289"/>
    </row>
    <row r="754" spans="2:38">
      <c r="B754" s="445" t="str">
        <f>IF($C$1="ENG","door handle-lock (for sliding doors)","ручка-замок (для дверей купе)")</f>
        <v>ручка-замок (для дверей купе)</v>
      </c>
      <c r="C754" s="446"/>
      <c r="D754" s="405">
        <f t="shared" si="97"/>
        <v>466.66666666666669</v>
      </c>
      <c r="E754" s="93">
        <f t="shared" si="98"/>
        <v>560</v>
      </c>
      <c r="F754" s="26"/>
      <c r="G754" s="26"/>
      <c r="I754" s="11"/>
      <c r="J754" s="11"/>
      <c r="K754" s="19"/>
      <c r="AC754" s="298">
        <v>560</v>
      </c>
      <c r="AD754" s="298">
        <v>560</v>
      </c>
      <c r="AE754" s="289"/>
      <c r="AF754" s="289"/>
      <c r="AG754" s="289"/>
      <c r="AH754" s="289"/>
      <c r="AI754" s="289"/>
      <c r="AJ754" s="289"/>
      <c r="AK754" s="289"/>
      <c r="AL754" s="289"/>
    </row>
    <row r="755" spans="2:38">
      <c r="B755" s="445" t="str">
        <f>IF($C$1="ENG","cylinder incert","циліндр несиметричний")</f>
        <v>циліндр несиметричний</v>
      </c>
      <c r="C755" s="446"/>
      <c r="D755" s="405">
        <f t="shared" si="97"/>
        <v>325</v>
      </c>
      <c r="E755" s="93">
        <f t="shared" si="98"/>
        <v>390</v>
      </c>
      <c r="F755" s="26"/>
      <c r="G755" s="26"/>
      <c r="AC755" s="298">
        <v>390</v>
      </c>
      <c r="AD755" s="298">
        <v>390</v>
      </c>
      <c r="AE755" s="289"/>
      <c r="AF755" s="289"/>
      <c r="AG755" s="289"/>
      <c r="AH755" s="289"/>
      <c r="AI755" s="289"/>
      <c r="AJ755" s="289"/>
      <c r="AK755" s="289"/>
      <c r="AL755" s="289"/>
    </row>
    <row r="756" spans="2:38">
      <c r="B756" s="445" t="str">
        <f>IF($C$1="ENG","door hindge Prestige (1 unit)","завіса Prestige (1 шт)")</f>
        <v>завіса Prestige (1 шт)</v>
      </c>
      <c r="C756" s="446"/>
      <c r="D756" s="408">
        <f t="shared" si="97"/>
        <v>216.66666666666669</v>
      </c>
      <c r="E756" s="93">
        <f t="shared" si="98"/>
        <v>260</v>
      </c>
      <c r="F756" s="26"/>
      <c r="G756" s="26"/>
      <c r="AC756" s="298">
        <v>260</v>
      </c>
      <c r="AD756" s="298">
        <v>260</v>
      </c>
      <c r="AE756" s="289"/>
      <c r="AF756" s="289"/>
      <c r="AG756" s="289"/>
      <c r="AH756" s="289"/>
      <c r="AI756" s="289"/>
      <c r="AJ756" s="289"/>
      <c r="AK756" s="289"/>
      <c r="AL756" s="289"/>
    </row>
    <row r="757" spans="2:38">
      <c r="B757" s="445" t="str">
        <f>IF($C$1="ENG","door hinge caps (1 set)","накладка на завіси (1 к-т)")</f>
        <v>накладка на завіси (1 к-т)</v>
      </c>
      <c r="C757" s="446"/>
      <c r="D757" s="408">
        <f t="shared" si="97"/>
        <v>66.666666666666671</v>
      </c>
      <c r="E757" s="93">
        <f t="shared" si="98"/>
        <v>80</v>
      </c>
      <c r="F757" s="26"/>
      <c r="G757" s="26"/>
      <c r="AC757" s="298">
        <v>80</v>
      </c>
      <c r="AD757" s="298">
        <v>80</v>
      </c>
      <c r="AE757" s="289"/>
      <c r="AF757" s="289"/>
      <c r="AG757" s="289"/>
      <c r="AH757" s="289"/>
      <c r="AI757" s="289"/>
      <c r="AJ757" s="289"/>
      <c r="AK757" s="289"/>
      <c r="AL757" s="289"/>
    </row>
    <row r="758" spans="2:38">
      <c r="B758" s="445" t="str">
        <f>IF($C$1="ENG","door handle","дверна ручка")</f>
        <v>дверна ручка</v>
      </c>
      <c r="C758" s="446"/>
      <c r="D758" s="409" t="str">
        <f t="shared" si="97"/>
        <v/>
      </c>
      <c r="E758" s="247" t="str">
        <f>IF($C$1="ENG","see Handles Price","див. Таблицю Ручки")</f>
        <v>див. Таблицю Ручки</v>
      </c>
      <c r="F758" s="26"/>
      <c r="G758" s="26"/>
      <c r="AC758" s="289"/>
      <c r="AD758" s="289"/>
      <c r="AE758" s="289"/>
      <c r="AF758" s="289"/>
      <c r="AG758" s="289"/>
      <c r="AH758" s="289"/>
      <c r="AI758" s="289"/>
      <c r="AJ758" s="289"/>
      <c r="AK758" s="289"/>
      <c r="AL758" s="289"/>
    </row>
    <row r="759" spans="2:38" ht="14.25" customHeight="1">
      <c r="C759" s="245"/>
      <c r="D759" s="26"/>
      <c r="E759" s="26"/>
      <c r="F759" s="26"/>
      <c r="G759" s="26"/>
      <c r="H759" s="5"/>
      <c r="T759" s="465" t="str">
        <f>IF($C$1="ENG",CONCATENATE("down to: ",B809),CONCATENATE("вниз до: ",B809))</f>
        <v>вниз до: Полотна збірні: ЛІСА</v>
      </c>
      <c r="U759" s="465"/>
      <c r="V759" s="465"/>
      <c r="W759" s="465"/>
    </row>
    <row r="760" spans="2:38" ht="14.25" customHeight="1">
      <c r="C760" s="245"/>
      <c r="D760" s="26"/>
      <c r="E760" s="26"/>
      <c r="F760" s="26"/>
      <c r="G760" s="26"/>
      <c r="H760" s="5"/>
    </row>
    <row r="761" spans="2:38" ht="14.25" customHeight="1">
      <c r="C761" s="245"/>
      <c r="D761" s="26"/>
      <c r="E761" s="26"/>
      <c r="F761" s="26"/>
      <c r="G761" s="26"/>
      <c r="H761" s="5"/>
    </row>
    <row r="762" spans="2:38" ht="14.25" customHeight="1">
      <c r="C762" s="245"/>
      <c r="D762" s="26"/>
      <c r="E762" s="26"/>
      <c r="F762" s="26"/>
      <c r="G762" s="26"/>
      <c r="H762" s="5"/>
    </row>
    <row r="763" spans="2:38" ht="14.25" customHeight="1">
      <c r="C763" s="245"/>
      <c r="D763" s="26"/>
      <c r="E763" s="26"/>
      <c r="F763" s="26"/>
      <c r="G763" s="26"/>
      <c r="H763" s="5"/>
    </row>
    <row r="764" spans="2:38" ht="14.25" customHeight="1">
      <c r="C764" s="245"/>
      <c r="D764" s="26"/>
      <c r="E764" s="26"/>
      <c r="F764" s="26"/>
      <c r="G764" s="26"/>
      <c r="H764" s="5"/>
    </row>
    <row r="765" spans="2:38" ht="14.25" customHeight="1">
      <c r="C765" s="245"/>
      <c r="D765" s="26"/>
      <c r="E765" s="26"/>
      <c r="F765" s="26"/>
      <c r="G765" s="26"/>
      <c r="H765" s="5"/>
    </row>
    <row r="766" spans="2:38" ht="14.25" customHeight="1">
      <c r="C766" s="245"/>
      <c r="D766" s="26"/>
      <c r="E766" s="26"/>
      <c r="F766" s="26"/>
      <c r="G766" s="26"/>
      <c r="H766" s="5"/>
    </row>
    <row r="767" spans="2:38" ht="14.25" customHeight="1">
      <c r="C767" s="245"/>
      <c r="D767" s="26"/>
      <c r="E767" s="26"/>
      <c r="F767" s="26"/>
      <c r="G767" s="26"/>
      <c r="H767" s="5"/>
    </row>
    <row r="768" spans="2:38" ht="14.25" customHeight="1">
      <c r="C768" s="245"/>
      <c r="D768" s="26"/>
      <c r="E768" s="26"/>
      <c r="F768" s="26"/>
      <c r="G768" s="26"/>
      <c r="H768" s="5"/>
    </row>
    <row r="769" spans="3:8" ht="14.25" customHeight="1">
      <c r="C769" s="245"/>
      <c r="D769" s="26"/>
      <c r="E769" s="26"/>
      <c r="F769" s="26"/>
      <c r="G769" s="26"/>
      <c r="H769" s="5"/>
    </row>
    <row r="770" spans="3:8" ht="14.25" customHeight="1">
      <c r="C770" s="245"/>
      <c r="D770" s="26"/>
      <c r="E770" s="26"/>
      <c r="F770" s="26"/>
      <c r="G770" s="26"/>
      <c r="H770" s="5"/>
    </row>
    <row r="771" spans="3:8" ht="14.25" customHeight="1">
      <c r="C771" s="245"/>
      <c r="D771" s="26"/>
      <c r="E771" s="26"/>
      <c r="F771" s="26"/>
      <c r="G771" s="26"/>
      <c r="H771" s="5"/>
    </row>
    <row r="772" spans="3:8" ht="14.25" customHeight="1">
      <c r="C772" s="245"/>
      <c r="D772" s="26"/>
      <c r="E772" s="26"/>
      <c r="F772" s="26"/>
      <c r="G772" s="26"/>
      <c r="H772" s="5"/>
    </row>
    <row r="773" spans="3:8" ht="14.25" customHeight="1">
      <c r="C773" s="245"/>
      <c r="D773" s="26"/>
      <c r="E773" s="26"/>
      <c r="F773" s="26"/>
      <c r="G773" s="26"/>
      <c r="H773" s="5"/>
    </row>
    <row r="774" spans="3:8" ht="14.25" customHeight="1">
      <c r="C774" s="245"/>
      <c r="D774" s="26"/>
      <c r="E774" s="26"/>
      <c r="F774" s="26"/>
      <c r="G774" s="26"/>
      <c r="H774" s="5"/>
    </row>
    <row r="775" spans="3:8" ht="14.25" customHeight="1">
      <c r="C775" s="245"/>
      <c r="D775" s="26"/>
      <c r="E775" s="26"/>
      <c r="F775" s="26"/>
      <c r="G775" s="26"/>
      <c r="H775" s="5"/>
    </row>
    <row r="776" spans="3:8" ht="14.25" customHeight="1">
      <c r="C776" s="245"/>
      <c r="D776" s="26"/>
      <c r="E776" s="26"/>
      <c r="F776" s="26"/>
      <c r="G776" s="26"/>
      <c r="H776" s="5"/>
    </row>
    <row r="777" spans="3:8" ht="14.25" customHeight="1">
      <c r="C777" s="245"/>
      <c r="D777" s="26"/>
      <c r="E777" s="26"/>
      <c r="F777" s="26"/>
      <c r="G777" s="26"/>
      <c r="H777" s="5"/>
    </row>
    <row r="778" spans="3:8" ht="14.25" customHeight="1">
      <c r="C778" s="245"/>
      <c r="D778" s="26"/>
      <c r="E778" s="26"/>
      <c r="F778" s="26"/>
      <c r="G778" s="26"/>
      <c r="H778" s="5"/>
    </row>
    <row r="779" spans="3:8" ht="14.25" customHeight="1">
      <c r="C779" s="245"/>
      <c r="D779" s="26"/>
      <c r="E779" s="26"/>
      <c r="F779" s="26"/>
      <c r="G779" s="26"/>
      <c r="H779" s="5"/>
    </row>
    <row r="780" spans="3:8" ht="14.25" customHeight="1">
      <c r="C780" s="245"/>
      <c r="D780" s="26"/>
      <c r="E780" s="26"/>
      <c r="F780" s="26"/>
      <c r="G780" s="26"/>
      <c r="H780" s="5"/>
    </row>
    <row r="781" spans="3:8" ht="14.25" customHeight="1">
      <c r="C781" s="245"/>
      <c r="D781" s="26"/>
      <c r="E781" s="26"/>
      <c r="F781" s="26"/>
      <c r="G781" s="26"/>
      <c r="H781" s="5"/>
    </row>
    <row r="782" spans="3:8" ht="14.25" customHeight="1">
      <c r="C782" s="245"/>
      <c r="D782" s="26"/>
      <c r="E782" s="26"/>
      <c r="F782" s="26"/>
      <c r="G782" s="26"/>
      <c r="H782" s="5"/>
    </row>
    <row r="783" spans="3:8" ht="14.25" customHeight="1">
      <c r="C783" s="245"/>
      <c r="D783" s="26"/>
      <c r="E783" s="26"/>
      <c r="F783" s="26"/>
      <c r="G783" s="26"/>
      <c r="H783" s="5"/>
    </row>
    <row r="784" spans="3:8" ht="14.25" customHeight="1">
      <c r="C784" s="245"/>
      <c r="D784" s="26"/>
      <c r="E784" s="26"/>
      <c r="F784" s="26"/>
      <c r="G784" s="26"/>
      <c r="H784" s="5"/>
    </row>
    <row r="785" spans="3:8" ht="14.25" customHeight="1">
      <c r="C785" s="245"/>
      <c r="D785" s="26"/>
      <c r="E785" s="26"/>
      <c r="F785" s="26"/>
      <c r="G785" s="26"/>
      <c r="H785" s="5"/>
    </row>
    <row r="786" spans="3:8" ht="14.25" customHeight="1">
      <c r="C786" s="245"/>
      <c r="D786" s="26"/>
      <c r="E786" s="26"/>
      <c r="F786" s="26"/>
      <c r="G786" s="26"/>
      <c r="H786" s="5"/>
    </row>
    <row r="787" spans="3:8" ht="14.25" customHeight="1">
      <c r="C787" s="245"/>
      <c r="D787" s="26"/>
      <c r="E787" s="26"/>
      <c r="F787" s="26"/>
      <c r="G787" s="26"/>
      <c r="H787" s="5"/>
    </row>
    <row r="788" spans="3:8" ht="14.25" customHeight="1">
      <c r="C788" s="245"/>
      <c r="D788" s="26"/>
      <c r="E788" s="26"/>
      <c r="F788" s="26"/>
      <c r="G788" s="26"/>
      <c r="H788" s="5"/>
    </row>
    <row r="789" spans="3:8" ht="14.25" customHeight="1">
      <c r="C789" s="245"/>
      <c r="D789" s="26"/>
      <c r="E789" s="26"/>
      <c r="F789" s="26"/>
      <c r="G789" s="26"/>
      <c r="H789" s="5"/>
    </row>
    <row r="790" spans="3:8" ht="14.25" customHeight="1">
      <c r="C790" s="245"/>
      <c r="D790" s="26"/>
      <c r="E790" s="26"/>
      <c r="F790" s="26"/>
      <c r="G790" s="26"/>
      <c r="H790" s="5"/>
    </row>
    <row r="791" spans="3:8" ht="14.25" customHeight="1">
      <c r="C791" s="245"/>
      <c r="D791" s="26"/>
      <c r="E791" s="26"/>
      <c r="F791" s="26"/>
      <c r="G791" s="26"/>
      <c r="H791" s="5"/>
    </row>
    <row r="792" spans="3:8" ht="14.25" customHeight="1">
      <c r="C792" s="245"/>
      <c r="D792" s="26"/>
      <c r="E792" s="26"/>
      <c r="F792" s="26"/>
      <c r="G792" s="26"/>
      <c r="H792" s="5"/>
    </row>
    <row r="793" spans="3:8" ht="14.25" customHeight="1">
      <c r="C793" s="245"/>
      <c r="D793" s="26"/>
      <c r="E793" s="26"/>
      <c r="F793" s="26"/>
      <c r="G793" s="26"/>
      <c r="H793" s="5"/>
    </row>
    <row r="794" spans="3:8" ht="14.25" customHeight="1">
      <c r="C794" s="245"/>
      <c r="D794" s="26"/>
      <c r="E794" s="26"/>
      <c r="F794" s="26"/>
      <c r="G794" s="26"/>
      <c r="H794" s="5"/>
    </row>
    <row r="795" spans="3:8" ht="14.25" customHeight="1">
      <c r="C795" s="245"/>
      <c r="D795" s="26"/>
      <c r="E795" s="26"/>
      <c r="F795" s="26"/>
      <c r="G795" s="26"/>
      <c r="H795" s="5"/>
    </row>
    <row r="796" spans="3:8" ht="14.25" customHeight="1">
      <c r="C796" s="245"/>
      <c r="D796" s="26"/>
      <c r="E796" s="26"/>
      <c r="F796" s="26"/>
      <c r="G796" s="26"/>
      <c r="H796" s="5"/>
    </row>
    <row r="797" spans="3:8" ht="14.25" customHeight="1">
      <c r="C797" s="245"/>
      <c r="D797" s="26"/>
      <c r="E797" s="26"/>
      <c r="F797" s="26"/>
      <c r="G797" s="26"/>
      <c r="H797" s="5"/>
    </row>
    <row r="798" spans="3:8" ht="14.25" customHeight="1">
      <c r="C798" s="245"/>
      <c r="D798" s="26"/>
      <c r="E798" s="26"/>
      <c r="F798" s="26"/>
      <c r="G798" s="26"/>
      <c r="H798" s="5"/>
    </row>
    <row r="799" spans="3:8" ht="14.25" customHeight="1">
      <c r="C799" s="245"/>
      <c r="D799" s="26"/>
      <c r="E799" s="26"/>
      <c r="F799" s="26"/>
      <c r="G799" s="26"/>
      <c r="H799" s="5"/>
    </row>
    <row r="800" spans="3:8" ht="14.25" customHeight="1">
      <c r="C800" s="245"/>
      <c r="D800" s="26"/>
      <c r="E800" s="26"/>
      <c r="F800" s="26"/>
      <c r="G800" s="26"/>
      <c r="H800" s="5"/>
    </row>
    <row r="801" spans="1:46" ht="14.25" customHeight="1">
      <c r="C801" s="245"/>
      <c r="D801" s="26"/>
      <c r="E801" s="26"/>
      <c r="F801" s="26"/>
      <c r="G801" s="26"/>
      <c r="H801" s="5"/>
    </row>
    <row r="802" spans="1:46" ht="14.25" customHeight="1">
      <c r="C802" s="245"/>
      <c r="D802" s="26"/>
      <c r="E802" s="26"/>
      <c r="F802" s="26"/>
      <c r="G802" s="26"/>
      <c r="H802" s="5"/>
    </row>
    <row r="803" spans="1:46" ht="14.25" customHeight="1">
      <c r="C803" s="245"/>
      <c r="D803" s="26"/>
      <c r="E803" s="26"/>
      <c r="F803" s="26"/>
      <c r="G803" s="26"/>
      <c r="H803" s="5"/>
      <c r="AH803" s="289">
        <f>AC803/100*12+AC803</f>
        <v>0</v>
      </c>
      <c r="AI803" s="289" t="e">
        <f>AH803/AC803-1</f>
        <v>#DIV/0!</v>
      </c>
    </row>
    <row r="804" spans="1:46" ht="14.25" customHeight="1">
      <c r="C804" s="245"/>
      <c r="D804" s="26"/>
      <c r="E804" s="26"/>
      <c r="F804" s="26"/>
      <c r="G804" s="26"/>
      <c r="H804" s="5"/>
    </row>
    <row r="805" spans="1:46" ht="14.25" customHeight="1">
      <c r="C805" s="245"/>
      <c r="D805" s="26"/>
      <c r="E805" s="26"/>
      <c r="F805" s="26"/>
      <c r="G805" s="26"/>
      <c r="H805" s="5"/>
    </row>
    <row r="806" spans="1:46" ht="14.25" customHeight="1">
      <c r="C806" s="245"/>
      <c r="D806" s="26"/>
      <c r="E806" s="26"/>
      <c r="F806" s="26"/>
      <c r="G806" s="26"/>
      <c r="H806" s="5"/>
    </row>
    <row r="807" spans="1:46" ht="14.25" customHeight="1">
      <c r="C807" s="245"/>
      <c r="D807" s="26"/>
      <c r="E807" s="26"/>
      <c r="F807" s="26"/>
      <c r="G807" s="26"/>
      <c r="H807" s="5"/>
    </row>
    <row r="808" spans="1:46" ht="14.25" customHeight="1">
      <c r="C808" s="245"/>
      <c r="D808" s="26"/>
      <c r="E808" s="26"/>
      <c r="F808" s="26"/>
      <c r="G808" s="26"/>
      <c r="H808" s="5"/>
    </row>
    <row r="809" spans="1:46" s="8" customFormat="1">
      <c r="B809" s="451" t="str">
        <f>TITLE!C19</f>
        <v>Полотна збірні: ЛІСА</v>
      </c>
      <c r="C809" s="451"/>
      <c r="D809" s="118"/>
      <c r="E809" s="118"/>
      <c r="F809" s="118"/>
      <c r="G809" s="118"/>
      <c r="H809" s="455"/>
      <c r="I809" s="455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462" t="str">
        <f>IF($C$1="ENG",CONCATENATE("up to: ",B736),CONCATENATE("вгору до: ",B736))</f>
        <v>вгору до: Полотна збірні: НІКА</v>
      </c>
      <c r="U809" s="462"/>
      <c r="V809" s="462"/>
      <c r="W809" s="462"/>
      <c r="AN809" s="280"/>
      <c r="AO809" s="280"/>
      <c r="AP809" s="280"/>
      <c r="AQ809" s="280"/>
      <c r="AR809" s="280"/>
      <c r="AS809" s="280"/>
      <c r="AT809" s="280"/>
    </row>
    <row r="810" spans="1:46" s="8" customFormat="1" ht="5.0999999999999996" customHeight="1">
      <c r="B810" s="117"/>
      <c r="C810" s="420"/>
      <c r="D810" s="9"/>
      <c r="E810" s="9"/>
      <c r="F810" s="9"/>
      <c r="G810" s="9"/>
      <c r="H810" s="120"/>
      <c r="I810" s="120"/>
      <c r="T810" s="115"/>
      <c r="U810" s="115"/>
      <c r="V810" s="115"/>
      <c r="W810" s="115"/>
      <c r="AN810" s="280"/>
      <c r="AO810" s="280"/>
      <c r="AP810" s="280"/>
      <c r="AQ810" s="280"/>
      <c r="AR810" s="280"/>
      <c r="AS810" s="280"/>
      <c r="AT810" s="280"/>
    </row>
    <row r="811" spans="1:46" s="8" customFormat="1" ht="12.75" customHeight="1">
      <c r="B811" s="452" t="str">
        <f>IF($C$1="ENG","model","модель")</f>
        <v>модель</v>
      </c>
      <c r="C811" s="122" t="str">
        <f>IF($C$1="ENG","cover:","покриття:")</f>
        <v>покриття:</v>
      </c>
      <c r="D811" s="458" t="str">
        <f>IF($C$1="ENG","Verto-CELL","Verto-CELL")</f>
        <v>Verto-CELL</v>
      </c>
      <c r="E811" s="459"/>
      <c r="F811" s="458" t="str">
        <f>IF($C$1="ENG","UNI-MAT","UNI-MAT")</f>
        <v>UNI-MAT</v>
      </c>
      <c r="G811" s="459"/>
      <c r="H811" s="458" t="str">
        <f>IF($C$1="ENG","RESIST","RESIST")</f>
        <v>RESIST</v>
      </c>
      <c r="I811" s="459"/>
      <c r="J811" s="458" t="str">
        <f>IF($C$1="ENG","Verto LINE-3D","Verto LINE-3D")</f>
        <v>Verto LINE-3D</v>
      </c>
      <c r="K811" s="459"/>
      <c r="L811" s="458" t="str">
        <f>IF($C$1="ENG","ECO Shpon","ЕКО Шпон")</f>
        <v>ЕКО Шпон</v>
      </c>
      <c r="M811" s="459"/>
      <c r="P811" s="1"/>
      <c r="Q811" s="1"/>
      <c r="T811" s="115"/>
      <c r="U811" s="115"/>
      <c r="V811" s="115"/>
      <c r="W811" s="115"/>
      <c r="AN811" s="280"/>
      <c r="AO811" s="280"/>
      <c r="AP811" s="280"/>
      <c r="AQ811" s="280"/>
      <c r="AR811" s="280"/>
      <c r="AS811" s="280"/>
      <c r="AT811" s="280"/>
    </row>
    <row r="812" spans="1:46" s="8" customFormat="1" ht="26.25" customHeight="1">
      <c r="B812" s="453"/>
      <c r="C812" s="123" t="str">
        <f>IF($C$1="ENG","filling:","заповнення:")</f>
        <v>заповнення:</v>
      </c>
      <c r="D812" s="460" t="str">
        <f>IF($C$1="ENG","softwood","клеєний сосновий брус")</f>
        <v>клеєний сосновий брус</v>
      </c>
      <c r="E812" s="461"/>
      <c r="F812" s="460" t="str">
        <f>IF($C$1="ENG","softwood","клеєний сосновий брус")</f>
        <v>клеєний сосновий брус</v>
      </c>
      <c r="G812" s="461"/>
      <c r="H812" s="460" t="str">
        <f>IF($C$1="ENG","softwood","клеєний сосновий брус")</f>
        <v>клеєний сосновий брус</v>
      </c>
      <c r="I812" s="461"/>
      <c r="J812" s="460" t="str">
        <f>IF($C$1="ENG","softwood","клеєний сосновий брус")</f>
        <v>клеєний сосновий брус</v>
      </c>
      <c r="K812" s="461"/>
      <c r="L812" s="460" t="str">
        <f>IF($C$1="ENG","softwood","клеєний сосновий брус")</f>
        <v>клеєний сосновий брус</v>
      </c>
      <c r="M812" s="461"/>
      <c r="P812" s="1"/>
      <c r="Q812" s="1"/>
      <c r="T812" s="115"/>
      <c r="U812" s="115"/>
      <c r="V812" s="115"/>
      <c r="W812" s="115"/>
      <c r="AD812" s="383">
        <f>AD814/AC814-1</f>
        <v>0.10321489001692052</v>
      </c>
      <c r="AE812" s="383">
        <f>AE814/AD814-1</f>
        <v>2.914110429447847E-2</v>
      </c>
      <c r="AF812" s="383">
        <f>AF814/AE814-1</f>
        <v>7.6005961251862875E-2</v>
      </c>
      <c r="AG812" s="383">
        <f>AG814/AF814-1</f>
        <v>4.8476454293628901E-2</v>
      </c>
      <c r="AN812" s="280"/>
      <c r="AO812" s="280"/>
      <c r="AP812" s="280"/>
      <c r="AQ812" s="280"/>
      <c r="AR812" s="280"/>
      <c r="AS812" s="280"/>
      <c r="AT812" s="280"/>
    </row>
    <row r="813" spans="1:46" ht="12.75" customHeight="1">
      <c r="A813" s="8"/>
      <c r="B813" s="454"/>
      <c r="C813" s="124" t="str">
        <f>IF($C$1="ENG","glazing:","скління:")</f>
        <v>скління:</v>
      </c>
      <c r="D813" s="449" t="str">
        <f>IF($C$1="ENG","Satin","Сатин")</f>
        <v>Сатин</v>
      </c>
      <c r="E813" s="450"/>
      <c r="F813" s="449" t="str">
        <f>IF($C$1="ENG","Satin","Сатин")</f>
        <v>Сатин</v>
      </c>
      <c r="G813" s="450"/>
      <c r="H813" s="449" t="str">
        <f>IF($C$1="ENG","Satin","Сатин")</f>
        <v>Сатин</v>
      </c>
      <c r="I813" s="450"/>
      <c r="J813" s="449" t="str">
        <f>IF($C$1="ENG","Satin","Сатин")</f>
        <v>Сатин</v>
      </c>
      <c r="K813" s="450"/>
      <c r="L813" s="449" t="str">
        <f>IF($C$1="ENG","Satin","Сатин")</f>
        <v>Сатин</v>
      </c>
      <c r="M813" s="450"/>
    </row>
    <row r="814" spans="1:46" ht="35.1" customHeight="1">
      <c r="A814" s="8"/>
      <c r="B814" s="16" t="s">
        <v>28</v>
      </c>
      <c r="C814" s="17"/>
      <c r="D814" s="18">
        <f>IF(AC814="","",(1-$W$2)*(AC814/1.2))</f>
        <v>4925</v>
      </c>
      <c r="E814" s="66">
        <f>IF($W$5=0.2,D814*1.2,D814)/$W$4</f>
        <v>5910</v>
      </c>
      <c r="F814" s="18">
        <f>IF(AD814="","",(1-$W$2)*(AD814/1.2))</f>
        <v>5433.3333333333339</v>
      </c>
      <c r="G814" s="66">
        <f>IF($W$5=0.2,F814*1.2,F814)/$W$4</f>
        <v>6520.0000000000009</v>
      </c>
      <c r="H814" s="18">
        <f>IF(AE814="","",(1-$W$2)*(AE814/1.2))</f>
        <v>5591.666666666667</v>
      </c>
      <c r="I814" s="66">
        <f>IF($W$5=0.2,H814*1.2,H814)/$W$4</f>
        <v>6710</v>
      </c>
      <c r="J814" s="18">
        <f>IF(AF814="","",(1-$W$2)*(AF814/1.2))</f>
        <v>6016.666666666667</v>
      </c>
      <c r="K814" s="66">
        <f>IF($W$5=0.2,J814*1.2,J814)/$W$4</f>
        <v>7220</v>
      </c>
      <c r="L814" s="18">
        <f>IF(AG814="","",(1-$W$2)*(AG814/1.2))</f>
        <v>6308.3333333333339</v>
      </c>
      <c r="M814" s="66">
        <f>IF($W$5=0.2,L814*1.2,L814)/$W$4</f>
        <v>7570</v>
      </c>
      <c r="N814" s="104"/>
      <c r="R814" s="104"/>
      <c r="T814" s="104"/>
      <c r="U814" s="20"/>
      <c r="V814" s="104"/>
      <c r="W814" s="20"/>
      <c r="X814" s="104"/>
      <c r="Y814" s="104"/>
      <c r="Z814" s="104"/>
      <c r="AA814" s="104"/>
      <c r="AB814" s="104"/>
      <c r="AC814" s="332">
        <v>5910</v>
      </c>
      <c r="AD814" s="391">
        <v>6520</v>
      </c>
      <c r="AE814" s="332">
        <v>6710</v>
      </c>
      <c r="AF814" s="332">
        <v>7220</v>
      </c>
      <c r="AG814" s="332">
        <v>7570</v>
      </c>
      <c r="AH814" s="289">
        <v>5910</v>
      </c>
      <c r="AI814" s="398">
        <f>AH814/AC814-1</f>
        <v>0</v>
      </c>
      <c r="AJ814" s="289">
        <v>6520</v>
      </c>
      <c r="AK814" s="289">
        <f>AJ814/AD814-1</f>
        <v>0</v>
      </c>
      <c r="AL814" s="289">
        <v>6710</v>
      </c>
      <c r="AM814" s="289">
        <f>AL814/AE814-1</f>
        <v>0</v>
      </c>
      <c r="AN814" s="289">
        <v>7220</v>
      </c>
      <c r="AO814" s="289">
        <f>AN814/AF814-1</f>
        <v>0</v>
      </c>
      <c r="AP814" s="289">
        <v>7570</v>
      </c>
      <c r="AQ814" s="289">
        <f>AP814/AG814-1</f>
        <v>0</v>
      </c>
    </row>
    <row r="815" spans="1:46" ht="35.1" customHeight="1">
      <c r="A815" s="8"/>
      <c r="B815" s="23" t="s">
        <v>47</v>
      </c>
      <c r="C815" s="24"/>
      <c r="D815" s="25">
        <f>IF(AC815="","",(1-$W$2)*(AC815/1.2))</f>
        <v>4925</v>
      </c>
      <c r="E815" s="69">
        <f>IF($W$5=0.2,D815*1.2,D815)/$W$4</f>
        <v>5910</v>
      </c>
      <c r="F815" s="25">
        <f>IF(AD815="","",(1-$W$2)*(AD815/1.2))</f>
        <v>5433.3333333333339</v>
      </c>
      <c r="G815" s="69">
        <f>IF($W$5=0.2,F815*1.2,F815)/$W$4</f>
        <v>6520.0000000000009</v>
      </c>
      <c r="H815" s="25">
        <f>IF(AE815="","",(1-$W$2)*(AE815/1.2))</f>
        <v>5591.666666666667</v>
      </c>
      <c r="I815" s="69">
        <f>IF($W$5=0.2,H815*1.2,H815)/$W$4</f>
        <v>6710</v>
      </c>
      <c r="J815" s="25">
        <f>IF(AF815="","",(1-$W$2)*(AF815/1.2))</f>
        <v>6016.666666666667</v>
      </c>
      <c r="K815" s="69">
        <f>IF($W$5=0.2,J815*1.2,J815)/$W$4</f>
        <v>7220</v>
      </c>
      <c r="L815" s="25">
        <f>IF(AG815="","",(1-$W$2)*(AG815/1.2))</f>
        <v>6308.3333333333339</v>
      </c>
      <c r="M815" s="69">
        <f>IF($W$5=0.2,L815*1.2,L815)/$W$4</f>
        <v>7570</v>
      </c>
      <c r="N815" s="104"/>
      <c r="R815" s="104"/>
      <c r="T815" s="104"/>
      <c r="U815" s="20"/>
      <c r="V815" s="104"/>
      <c r="W815" s="20"/>
      <c r="X815" s="104"/>
      <c r="Y815" s="104"/>
      <c r="Z815" s="104"/>
      <c r="AA815" s="104"/>
      <c r="AB815" s="104"/>
      <c r="AC815" s="332">
        <v>5910</v>
      </c>
      <c r="AD815" s="391">
        <v>6520</v>
      </c>
      <c r="AE815" s="332">
        <v>6710</v>
      </c>
      <c r="AF815" s="332">
        <v>7220</v>
      </c>
      <c r="AG815" s="332">
        <v>7570</v>
      </c>
      <c r="AH815" s="289">
        <v>5910</v>
      </c>
      <c r="AI815" s="398">
        <f>AH815/AC815-1</f>
        <v>0</v>
      </c>
      <c r="AJ815" s="289">
        <v>6520</v>
      </c>
      <c r="AK815" s="289">
        <f>AJ815/AD815-1</f>
        <v>0</v>
      </c>
      <c r="AL815" s="289">
        <v>6710</v>
      </c>
      <c r="AM815" s="289">
        <f>AL815/AE815-1</f>
        <v>0</v>
      </c>
      <c r="AN815" s="289">
        <v>7220</v>
      </c>
      <c r="AO815" s="289">
        <f>AN815/AF815-1</f>
        <v>0</v>
      </c>
      <c r="AP815" s="289">
        <v>7570</v>
      </c>
      <c r="AQ815" s="289">
        <f>AP815/AG815-1</f>
        <v>0</v>
      </c>
    </row>
    <row r="816" spans="1:46">
      <c r="C816" s="245"/>
      <c r="D816" s="26"/>
      <c r="E816" s="57"/>
      <c r="F816" s="26"/>
      <c r="G816" s="57"/>
      <c r="H816" s="10"/>
      <c r="I816" s="8"/>
      <c r="J816" s="8"/>
      <c r="K816" s="8"/>
    </row>
    <row r="817" spans="2:38">
      <c r="B817" s="212" t="str">
        <f>IF($C$1="ENG","For additonal charge:","Послуги за додаткову плату:")</f>
        <v>Послуги за додаткову плату:</v>
      </c>
      <c r="C817" s="421"/>
      <c r="D817" s="213"/>
      <c r="E817" s="214"/>
      <c r="F817" s="26"/>
      <c r="G817" s="57"/>
      <c r="H817" s="10"/>
      <c r="I817" s="8"/>
      <c r="J817" s="8"/>
      <c r="K817" s="8"/>
    </row>
    <row r="818" spans="2:38" ht="5.0999999999999996" customHeight="1">
      <c r="B818" s="27"/>
      <c r="C818" s="245"/>
      <c r="D818" s="26"/>
      <c r="E818" s="57"/>
      <c r="F818" s="26"/>
      <c r="G818" s="57"/>
      <c r="H818" s="10"/>
      <c r="I818" s="8"/>
      <c r="J818" s="8"/>
      <c r="K818" s="8"/>
    </row>
    <row r="819" spans="2:38">
      <c r="B819" s="447" t="str">
        <f>IF($C$1="ENG","door leaf with width 100","полотно розміром 100")</f>
        <v>полотно розміром 100</v>
      </c>
      <c r="C819" s="448"/>
      <c r="D819" s="410">
        <f t="shared" ref="D819:D831" si="103">IF(AC819="","",(1-$W$2)*(AC819/1.2))</f>
        <v>600</v>
      </c>
      <c r="E819" s="92">
        <f t="shared" ref="E819:E830" si="104">IF($W$5=0.2,D819*1.2,D819)/$W$4</f>
        <v>720</v>
      </c>
      <c r="F819" s="26"/>
      <c r="G819" s="26"/>
      <c r="H819" s="10"/>
      <c r="I819" s="8"/>
      <c r="J819" s="8"/>
      <c r="K819" s="8"/>
      <c r="AC819" s="298">
        <v>720</v>
      </c>
      <c r="AD819" s="298">
        <v>720</v>
      </c>
      <c r="AE819" s="289"/>
      <c r="AF819" s="289"/>
      <c r="AG819" s="289"/>
      <c r="AH819" s="289"/>
      <c r="AI819" s="289"/>
      <c r="AJ819" s="289"/>
      <c r="AK819" s="289"/>
      <c r="AL819" s="289"/>
    </row>
    <row r="820" spans="2:38">
      <c r="B820" s="447" t="str">
        <f>IF($C$1="ENG","Ventilation cut","вентиляційний підріз")</f>
        <v>вентиляційний підріз</v>
      </c>
      <c r="C820" s="448"/>
      <c r="D820" s="405">
        <f t="shared" si="103"/>
        <v>141.66666666666669</v>
      </c>
      <c r="E820" s="66">
        <f t="shared" si="104"/>
        <v>170.00000000000003</v>
      </c>
      <c r="F820" s="26"/>
      <c r="G820" s="26"/>
      <c r="I820" s="59"/>
      <c r="J820" s="28"/>
      <c r="AC820" s="298">
        <v>170</v>
      </c>
      <c r="AD820" s="298">
        <v>170</v>
      </c>
      <c r="AE820" s="289"/>
      <c r="AF820" s="289"/>
      <c r="AG820" s="289"/>
      <c r="AH820" s="289"/>
      <c r="AI820" s="289"/>
      <c r="AJ820" s="289"/>
      <c r="AK820" s="289"/>
      <c r="AL820" s="289"/>
    </row>
    <row r="821" spans="2:38">
      <c r="B821" s="445" t="str">
        <f>IF($C$1="ENG","glazing Graphite / Bronze","скло Графіт / Бронза")</f>
        <v>скло Графіт / Бронза</v>
      </c>
      <c r="C821" s="446"/>
      <c r="D821" s="407">
        <f t="shared" si="103"/>
        <v>458.33333333333337</v>
      </c>
      <c r="E821" s="93">
        <f t="shared" si="104"/>
        <v>550</v>
      </c>
      <c r="F821" s="26"/>
      <c r="G821" s="26"/>
      <c r="H821" s="5"/>
      <c r="AC821" s="298">
        <v>550</v>
      </c>
      <c r="AD821" s="298">
        <v>550</v>
      </c>
      <c r="AE821" s="289"/>
      <c r="AF821" s="289"/>
      <c r="AG821" s="289"/>
      <c r="AH821" s="289"/>
      <c r="AI821" s="289"/>
      <c r="AJ821" s="289"/>
      <c r="AK821" s="289"/>
      <c r="AL821" s="289"/>
    </row>
    <row r="822" spans="2:38">
      <c r="B822" s="445" t="str">
        <f>IF($C$1="ENG","glazing Lacobel black ","скло Lacobel чорне")</f>
        <v>скло Lacobel чорне</v>
      </c>
      <c r="C822" s="446"/>
      <c r="D822" s="407">
        <f t="shared" si="103"/>
        <v>458.33333333333337</v>
      </c>
      <c r="E822" s="93">
        <f>IF($W$5=0.2,D822*1.2,D822)/$W$4</f>
        <v>550</v>
      </c>
      <c r="F822" s="26"/>
      <c r="G822" s="26"/>
      <c r="H822" s="5"/>
      <c r="AC822" s="298">
        <v>550</v>
      </c>
      <c r="AD822" s="298">
        <v>550</v>
      </c>
      <c r="AE822" s="289"/>
      <c r="AF822" s="289"/>
      <c r="AG822" s="289"/>
      <c r="AH822" s="289"/>
      <c r="AI822" s="289"/>
      <c r="AJ822" s="289"/>
      <c r="AK822" s="289"/>
      <c r="AL822" s="289"/>
    </row>
    <row r="823" spans="2:38">
      <c r="B823" s="445" t="str">
        <f>IF($C$1="ENG","door lock Soft","замок Soft")</f>
        <v>замок Soft</v>
      </c>
      <c r="C823" s="446"/>
      <c r="D823" s="407">
        <f t="shared" si="103"/>
        <v>458.33333333333337</v>
      </c>
      <c r="E823" s="93">
        <f t="shared" si="104"/>
        <v>550</v>
      </c>
      <c r="F823" s="26"/>
      <c r="G823" s="26"/>
      <c r="H823" s="5"/>
      <c r="AC823" s="298">
        <v>550</v>
      </c>
      <c r="AD823" s="298">
        <v>550</v>
      </c>
      <c r="AE823" s="289"/>
      <c r="AF823" s="289"/>
      <c r="AG823" s="289"/>
      <c r="AH823" s="289"/>
      <c r="AI823" s="289"/>
      <c r="AJ823" s="289"/>
      <c r="AK823" s="289"/>
      <c r="AL823" s="289"/>
    </row>
    <row r="824" spans="2:38">
      <c r="B824" s="445" t="str">
        <f>IF($C$1="ENG","door lock Soft black","замок Soft чорн.")</f>
        <v>замок Soft чорн.</v>
      </c>
      <c r="C824" s="446"/>
      <c r="D824" s="407">
        <f t="shared" ref="D824" si="105">IF(AC824="","",(1-$W$2)*(AC824/1.2))</f>
        <v>566.66666666666674</v>
      </c>
      <c r="E824" s="93">
        <f t="shared" ref="E824" si="106">IF($W$5=0.2,D824*1.2,D824)/$W$4</f>
        <v>680.00000000000011</v>
      </c>
      <c r="F824" s="26"/>
      <c r="G824" s="26"/>
      <c r="H824" s="5"/>
      <c r="AC824" s="298">
        <v>680</v>
      </c>
      <c r="AD824" s="298"/>
      <c r="AE824" s="289"/>
      <c r="AF824" s="289"/>
      <c r="AG824" s="289"/>
      <c r="AH824" s="289"/>
      <c r="AI824" s="289"/>
      <c r="AJ824" s="289"/>
      <c r="AK824" s="289"/>
      <c r="AL824" s="289"/>
    </row>
    <row r="825" spans="2:38">
      <c r="B825" s="445" t="str">
        <f>IF($C$1="ENG","door lock Magnet","замок Magnet")</f>
        <v>замок Magnet</v>
      </c>
      <c r="C825" s="446"/>
      <c r="D825" s="407">
        <f t="shared" si="103"/>
        <v>666.66666666666674</v>
      </c>
      <c r="E825" s="93">
        <f t="shared" si="104"/>
        <v>800.00000000000011</v>
      </c>
      <c r="F825" s="26"/>
      <c r="G825" s="26"/>
      <c r="H825" s="5"/>
      <c r="AC825" s="298">
        <v>800</v>
      </c>
      <c r="AD825" s="298">
        <v>800</v>
      </c>
      <c r="AE825" s="289"/>
      <c r="AF825" s="289"/>
      <c r="AG825" s="289"/>
      <c r="AH825" s="289"/>
      <c r="AI825" s="289"/>
      <c r="AJ825" s="289"/>
      <c r="AK825" s="289"/>
      <c r="AL825" s="289"/>
    </row>
    <row r="826" spans="2:38">
      <c r="B826" s="445" t="s">
        <v>76</v>
      </c>
      <c r="C826" s="446"/>
      <c r="D826" s="407">
        <f t="shared" ref="D826" si="107">IF(AC826="","",(1-$W$2)*(AC826/1.2))</f>
        <v>833.33333333333337</v>
      </c>
      <c r="E826" s="93">
        <f t="shared" ref="E826" si="108">IF($W$5=0.2,D826*1.2,D826)/$W$4</f>
        <v>1000</v>
      </c>
      <c r="F826" s="26"/>
      <c r="G826" s="26"/>
      <c r="H826" s="5"/>
      <c r="AC826" s="298">
        <v>1000</v>
      </c>
      <c r="AD826" s="298"/>
      <c r="AE826" s="289"/>
      <c r="AF826" s="289"/>
      <c r="AG826" s="289"/>
      <c r="AH826" s="289"/>
      <c r="AI826" s="289"/>
      <c r="AJ826" s="289"/>
      <c r="AK826" s="289"/>
      <c r="AL826" s="289"/>
    </row>
    <row r="827" spans="2:38">
      <c r="B827" s="445" t="str">
        <f>IF($C$1="ENG","door handle-lock (for sliding doors)","ручка-замок (для дверей купе)")</f>
        <v>ручка-замок (для дверей купе)</v>
      </c>
      <c r="C827" s="446"/>
      <c r="D827" s="405">
        <f t="shared" si="103"/>
        <v>466.66666666666669</v>
      </c>
      <c r="E827" s="93">
        <f t="shared" si="104"/>
        <v>560</v>
      </c>
      <c r="F827" s="26"/>
      <c r="G827" s="26"/>
      <c r="I827" s="11"/>
      <c r="J827" s="11"/>
      <c r="K827" s="19"/>
      <c r="AC827" s="298">
        <v>560</v>
      </c>
      <c r="AD827" s="298">
        <v>560</v>
      </c>
      <c r="AE827" s="289"/>
      <c r="AF827" s="289"/>
      <c r="AG827" s="289"/>
      <c r="AH827" s="289"/>
      <c r="AI827" s="289"/>
      <c r="AJ827" s="289"/>
      <c r="AK827" s="289"/>
      <c r="AL827" s="289"/>
    </row>
    <row r="828" spans="2:38">
      <c r="B828" s="445" t="str">
        <f>IF($C$1="ENG","cylinder incert","циліндр несиметричний")</f>
        <v>циліндр несиметричний</v>
      </c>
      <c r="C828" s="446"/>
      <c r="D828" s="405">
        <f t="shared" si="103"/>
        <v>325</v>
      </c>
      <c r="E828" s="93">
        <f t="shared" si="104"/>
        <v>390</v>
      </c>
      <c r="F828" s="26"/>
      <c r="G828" s="26"/>
      <c r="AC828" s="298">
        <v>390</v>
      </c>
      <c r="AD828" s="298">
        <v>390</v>
      </c>
      <c r="AE828" s="289"/>
      <c r="AF828" s="289"/>
      <c r="AG828" s="289"/>
      <c r="AH828" s="289"/>
      <c r="AI828" s="289"/>
      <c r="AJ828" s="289"/>
      <c r="AK828" s="289"/>
      <c r="AL828" s="289"/>
    </row>
    <row r="829" spans="2:38">
      <c r="B829" s="445" t="str">
        <f>IF($C$1="ENG","door hindge Prestige (1 unit)","завіса Prestige (1 шт)")</f>
        <v>завіса Prestige (1 шт)</v>
      </c>
      <c r="C829" s="446"/>
      <c r="D829" s="408">
        <f t="shared" si="103"/>
        <v>216.66666666666669</v>
      </c>
      <c r="E829" s="93">
        <f t="shared" si="104"/>
        <v>260</v>
      </c>
      <c r="F829" s="26"/>
      <c r="G829" s="26"/>
      <c r="AC829" s="298">
        <v>260</v>
      </c>
      <c r="AD829" s="298">
        <v>260</v>
      </c>
      <c r="AE829" s="289"/>
      <c r="AF829" s="289"/>
      <c r="AG829" s="289"/>
      <c r="AH829" s="289"/>
      <c r="AI829" s="289"/>
      <c r="AJ829" s="289"/>
      <c r="AK829" s="289"/>
      <c r="AL829" s="289"/>
    </row>
    <row r="830" spans="2:38">
      <c r="B830" s="445" t="str">
        <f>IF($C$1="ENG","door hinge caps (1 set)","накладка на завіси (1 к-т)")</f>
        <v>накладка на завіси (1 к-т)</v>
      </c>
      <c r="C830" s="446"/>
      <c r="D830" s="408">
        <f t="shared" si="103"/>
        <v>66.666666666666671</v>
      </c>
      <c r="E830" s="93">
        <f t="shared" si="104"/>
        <v>80</v>
      </c>
      <c r="F830" s="26"/>
      <c r="G830" s="26"/>
      <c r="AC830" s="298">
        <v>80</v>
      </c>
      <c r="AD830" s="298">
        <v>80</v>
      </c>
      <c r="AE830" s="289"/>
      <c r="AF830" s="289"/>
      <c r="AG830" s="289"/>
      <c r="AH830" s="289"/>
      <c r="AI830" s="289"/>
      <c r="AJ830" s="289"/>
      <c r="AK830" s="289"/>
      <c r="AL830" s="289"/>
    </row>
    <row r="831" spans="2:38">
      <c r="B831" s="445" t="str">
        <f>IF($C$1="ENG","door handle","дверна ручка")</f>
        <v>дверна ручка</v>
      </c>
      <c r="C831" s="446"/>
      <c r="D831" s="409" t="str">
        <f t="shared" si="103"/>
        <v/>
      </c>
      <c r="E831" s="247" t="str">
        <f>IF($C$1="ENG","see Handles Price","див. Таблицю Ручки")</f>
        <v>див. Таблицю Ручки</v>
      </c>
      <c r="F831" s="26"/>
      <c r="G831" s="26"/>
      <c r="AC831" s="289"/>
      <c r="AD831" s="289"/>
      <c r="AE831" s="289"/>
      <c r="AF831" s="289"/>
      <c r="AG831" s="289"/>
      <c r="AH831" s="289"/>
      <c r="AI831" s="289"/>
      <c r="AJ831" s="289"/>
      <c r="AK831" s="289"/>
      <c r="AL831" s="289"/>
    </row>
    <row r="832" spans="2:38" ht="14.25" customHeight="1">
      <c r="C832" s="245"/>
      <c r="D832" s="26"/>
      <c r="E832" s="26"/>
      <c r="F832" s="26"/>
      <c r="G832" s="26"/>
      <c r="H832" s="5"/>
      <c r="T832" s="465" t="str">
        <f>IF($C$1="ENG",CONCATENATE("down to: ",B882),CONCATENATE("вниз до: ",B882))</f>
        <v>вниз до: Полотна збірні: ЛАДА-КОНЦЕПТ</v>
      </c>
      <c r="U832" s="465"/>
      <c r="V832" s="465"/>
      <c r="W832" s="465"/>
    </row>
    <row r="833" spans="3:8" ht="14.25" customHeight="1">
      <c r="C833" s="245"/>
      <c r="D833" s="26"/>
      <c r="E833" s="26"/>
      <c r="F833" s="26"/>
      <c r="G833" s="26"/>
      <c r="H833" s="5"/>
    </row>
    <row r="834" spans="3:8" ht="14.25" customHeight="1">
      <c r="C834" s="245"/>
      <c r="D834" s="26"/>
      <c r="E834" s="26"/>
      <c r="F834" s="26"/>
      <c r="G834" s="26"/>
      <c r="H834" s="5"/>
    </row>
    <row r="835" spans="3:8" ht="14.25" customHeight="1">
      <c r="C835" s="245"/>
      <c r="D835" s="26"/>
      <c r="E835" s="26"/>
      <c r="F835" s="26"/>
      <c r="G835" s="26"/>
      <c r="H835" s="5"/>
    </row>
    <row r="836" spans="3:8" ht="14.25" customHeight="1">
      <c r="C836" s="245"/>
      <c r="D836" s="26"/>
      <c r="E836" s="26"/>
      <c r="F836" s="26"/>
      <c r="G836" s="26"/>
      <c r="H836" s="5"/>
    </row>
    <row r="837" spans="3:8" ht="14.25" customHeight="1">
      <c r="C837" s="245"/>
      <c r="D837" s="26"/>
      <c r="E837" s="26"/>
      <c r="F837" s="26"/>
      <c r="G837" s="26"/>
      <c r="H837" s="5"/>
    </row>
    <row r="838" spans="3:8" ht="14.25" customHeight="1">
      <c r="C838" s="245"/>
      <c r="D838" s="26"/>
      <c r="E838" s="26"/>
      <c r="F838" s="26"/>
      <c r="G838" s="26"/>
      <c r="H838" s="5"/>
    </row>
    <row r="839" spans="3:8" ht="14.25" customHeight="1">
      <c r="C839" s="245"/>
      <c r="D839" s="26"/>
      <c r="E839" s="26"/>
      <c r="F839" s="26"/>
      <c r="G839" s="26"/>
      <c r="H839" s="5"/>
    </row>
    <row r="840" spans="3:8" ht="14.25" customHeight="1">
      <c r="C840" s="245"/>
      <c r="D840" s="26"/>
      <c r="E840" s="26"/>
      <c r="F840" s="26"/>
      <c r="G840" s="26"/>
      <c r="H840" s="5"/>
    </row>
    <row r="841" spans="3:8" ht="14.25" customHeight="1">
      <c r="C841" s="245"/>
      <c r="D841" s="26"/>
      <c r="E841" s="26"/>
      <c r="F841" s="26"/>
      <c r="G841" s="26"/>
      <c r="H841" s="5"/>
    </row>
    <row r="842" spans="3:8" ht="14.25" customHeight="1">
      <c r="C842" s="245"/>
      <c r="D842" s="26"/>
      <c r="E842" s="26"/>
      <c r="F842" s="26"/>
      <c r="G842" s="26"/>
      <c r="H842" s="5"/>
    </row>
    <row r="843" spans="3:8" ht="14.25" customHeight="1">
      <c r="C843" s="245"/>
      <c r="D843" s="26"/>
      <c r="E843" s="26"/>
      <c r="F843" s="26"/>
      <c r="G843" s="26"/>
      <c r="H843" s="5"/>
    </row>
    <row r="844" spans="3:8" ht="14.25" customHeight="1">
      <c r="C844" s="245"/>
      <c r="D844" s="26"/>
      <c r="E844" s="26"/>
      <c r="F844" s="26"/>
      <c r="G844" s="26"/>
      <c r="H844" s="5"/>
    </row>
    <row r="845" spans="3:8" ht="14.25" customHeight="1">
      <c r="C845" s="245"/>
      <c r="D845" s="26"/>
      <c r="E845" s="26"/>
      <c r="F845" s="26"/>
      <c r="G845" s="26"/>
      <c r="H845" s="5"/>
    </row>
    <row r="846" spans="3:8" ht="14.25" customHeight="1">
      <c r="C846" s="245"/>
      <c r="D846" s="26"/>
      <c r="E846" s="26"/>
      <c r="F846" s="26"/>
      <c r="G846" s="26"/>
      <c r="H846" s="5"/>
    </row>
    <row r="847" spans="3:8" ht="14.25" customHeight="1">
      <c r="C847" s="245"/>
      <c r="D847" s="26"/>
      <c r="E847" s="26"/>
      <c r="F847" s="26"/>
      <c r="G847" s="26"/>
      <c r="H847" s="5"/>
    </row>
    <row r="848" spans="3:8" ht="14.25" customHeight="1">
      <c r="C848" s="245"/>
      <c r="D848" s="26"/>
      <c r="E848" s="26"/>
      <c r="F848" s="26"/>
      <c r="G848" s="26"/>
      <c r="H848" s="5"/>
    </row>
    <row r="849" spans="3:8" ht="14.25" customHeight="1">
      <c r="C849" s="245"/>
      <c r="D849" s="26"/>
      <c r="E849" s="26"/>
      <c r="F849" s="26"/>
      <c r="G849" s="26"/>
      <c r="H849" s="5"/>
    </row>
    <row r="850" spans="3:8" ht="14.25" customHeight="1">
      <c r="C850" s="245"/>
      <c r="D850" s="26"/>
      <c r="E850" s="26"/>
      <c r="F850" s="26"/>
      <c r="G850" s="26"/>
      <c r="H850" s="5"/>
    </row>
    <row r="851" spans="3:8" ht="14.25" customHeight="1">
      <c r="C851" s="245"/>
      <c r="D851" s="26"/>
      <c r="E851" s="26"/>
      <c r="F851" s="26"/>
      <c r="G851" s="26"/>
      <c r="H851" s="5"/>
    </row>
    <row r="852" spans="3:8" ht="14.25" customHeight="1">
      <c r="C852" s="245"/>
      <c r="D852" s="26"/>
      <c r="E852" s="26"/>
      <c r="F852" s="26"/>
      <c r="G852" s="26"/>
      <c r="H852" s="5"/>
    </row>
    <row r="853" spans="3:8" ht="14.25" customHeight="1">
      <c r="C853" s="245"/>
      <c r="D853" s="26"/>
      <c r="E853" s="26"/>
      <c r="F853" s="26"/>
      <c r="G853" s="26"/>
      <c r="H853" s="5"/>
    </row>
    <row r="854" spans="3:8" ht="14.25" customHeight="1">
      <c r="C854" s="245"/>
      <c r="D854" s="26"/>
      <c r="E854" s="26"/>
      <c r="F854" s="26"/>
      <c r="G854" s="26"/>
      <c r="H854" s="5"/>
    </row>
    <row r="855" spans="3:8" ht="14.25" customHeight="1">
      <c r="C855" s="245"/>
      <c r="D855" s="26"/>
      <c r="E855" s="26"/>
      <c r="F855" s="26"/>
      <c r="G855" s="26"/>
      <c r="H855" s="5"/>
    </row>
    <row r="856" spans="3:8" ht="14.25" customHeight="1">
      <c r="C856" s="245"/>
      <c r="D856" s="26"/>
      <c r="E856" s="26"/>
      <c r="F856" s="26"/>
      <c r="G856" s="26"/>
      <c r="H856" s="5"/>
    </row>
    <row r="857" spans="3:8" ht="14.25" customHeight="1">
      <c r="C857" s="245"/>
      <c r="D857" s="26"/>
      <c r="E857" s="26"/>
      <c r="F857" s="26"/>
      <c r="G857" s="26"/>
      <c r="H857" s="5"/>
    </row>
    <row r="858" spans="3:8" ht="14.25" customHeight="1">
      <c r="C858" s="245"/>
      <c r="D858" s="26"/>
      <c r="E858" s="26"/>
      <c r="F858" s="26"/>
      <c r="G858" s="26"/>
      <c r="H858" s="5"/>
    </row>
    <row r="859" spans="3:8" ht="14.25" customHeight="1">
      <c r="C859" s="245"/>
      <c r="D859" s="26"/>
      <c r="E859" s="26"/>
      <c r="F859" s="26"/>
      <c r="G859" s="26"/>
      <c r="H859" s="5"/>
    </row>
    <row r="860" spans="3:8" ht="14.25" customHeight="1">
      <c r="C860" s="245"/>
      <c r="D860" s="26"/>
      <c r="E860" s="26"/>
      <c r="F860" s="26"/>
      <c r="G860" s="26"/>
      <c r="H860" s="5"/>
    </row>
    <row r="861" spans="3:8" ht="14.25" customHeight="1">
      <c r="C861" s="245"/>
      <c r="D861" s="26"/>
      <c r="E861" s="26"/>
      <c r="F861" s="26"/>
      <c r="G861" s="26"/>
      <c r="H861" s="5"/>
    </row>
    <row r="862" spans="3:8" ht="14.25" customHeight="1">
      <c r="C862" s="245"/>
      <c r="D862" s="26"/>
      <c r="E862" s="26"/>
      <c r="F862" s="26"/>
      <c r="G862" s="26"/>
      <c r="H862" s="5"/>
    </row>
    <row r="863" spans="3:8" ht="14.25" customHeight="1">
      <c r="C863" s="245"/>
      <c r="D863" s="26"/>
      <c r="E863" s="26"/>
      <c r="F863" s="26"/>
      <c r="G863" s="26"/>
      <c r="H863" s="5"/>
    </row>
    <row r="864" spans="3:8" ht="14.25" customHeight="1">
      <c r="C864" s="245"/>
      <c r="D864" s="26"/>
      <c r="E864" s="26"/>
      <c r="F864" s="26"/>
      <c r="G864" s="26"/>
      <c r="H864" s="5"/>
    </row>
    <row r="865" spans="3:8" ht="14.25" customHeight="1">
      <c r="C865" s="245"/>
      <c r="D865" s="26"/>
      <c r="E865" s="26"/>
      <c r="F865" s="26"/>
      <c r="G865" s="26"/>
      <c r="H865" s="5"/>
    </row>
    <row r="866" spans="3:8" ht="14.25" customHeight="1">
      <c r="C866" s="245"/>
      <c r="D866" s="26"/>
      <c r="E866" s="26"/>
      <c r="F866" s="26"/>
      <c r="G866" s="26"/>
      <c r="H866" s="5"/>
    </row>
    <row r="867" spans="3:8" ht="14.25" customHeight="1">
      <c r="C867" s="245"/>
      <c r="D867" s="26"/>
      <c r="E867" s="26"/>
      <c r="F867" s="26"/>
      <c r="G867" s="26"/>
      <c r="H867" s="5"/>
    </row>
    <row r="868" spans="3:8" ht="14.25" customHeight="1">
      <c r="C868" s="245"/>
      <c r="D868" s="26"/>
      <c r="E868" s="26"/>
      <c r="F868" s="26"/>
      <c r="G868" s="26"/>
      <c r="H868" s="5"/>
    </row>
    <row r="869" spans="3:8" ht="14.25" customHeight="1">
      <c r="C869" s="245"/>
      <c r="D869" s="26"/>
      <c r="E869" s="26"/>
      <c r="F869" s="26"/>
      <c r="G869" s="26"/>
      <c r="H869" s="5"/>
    </row>
    <row r="870" spans="3:8" ht="14.25" customHeight="1">
      <c r="C870" s="245"/>
      <c r="D870" s="26"/>
      <c r="E870" s="26"/>
      <c r="F870" s="26"/>
      <c r="G870" s="26"/>
      <c r="H870" s="5"/>
    </row>
    <row r="871" spans="3:8" ht="14.25" customHeight="1">
      <c r="C871" s="245"/>
      <c r="D871" s="26"/>
      <c r="E871" s="26"/>
      <c r="F871" s="26"/>
      <c r="G871" s="26"/>
      <c r="H871" s="5"/>
    </row>
    <row r="872" spans="3:8" ht="14.25" customHeight="1">
      <c r="C872" s="245"/>
      <c r="D872" s="26"/>
      <c r="E872" s="26"/>
      <c r="F872" s="26"/>
      <c r="G872" s="26"/>
      <c r="H872" s="5"/>
    </row>
    <row r="873" spans="3:8" ht="14.25" customHeight="1">
      <c r="C873" s="245"/>
      <c r="D873" s="26"/>
      <c r="E873" s="26"/>
      <c r="F873" s="26"/>
      <c r="G873" s="26"/>
      <c r="H873" s="5"/>
    </row>
    <row r="874" spans="3:8" ht="14.25" customHeight="1">
      <c r="C874" s="245"/>
      <c r="D874" s="26"/>
      <c r="E874" s="26"/>
      <c r="F874" s="26"/>
      <c r="G874" s="26"/>
      <c r="H874" s="5"/>
    </row>
    <row r="875" spans="3:8" ht="14.25" customHeight="1">
      <c r="C875" s="245"/>
      <c r="D875" s="26"/>
      <c r="E875" s="26"/>
      <c r="F875" s="26"/>
      <c r="G875" s="26"/>
      <c r="H875" s="5"/>
    </row>
    <row r="876" spans="3:8" ht="14.25" customHeight="1">
      <c r="C876" s="245"/>
      <c r="D876" s="26"/>
      <c r="E876" s="26"/>
      <c r="F876" s="26"/>
      <c r="G876" s="26"/>
      <c r="H876" s="5"/>
    </row>
    <row r="877" spans="3:8" ht="14.25" customHeight="1">
      <c r="C877" s="245"/>
      <c r="D877" s="26"/>
      <c r="E877" s="26"/>
      <c r="F877" s="26"/>
      <c r="G877" s="26"/>
      <c r="H877" s="5"/>
    </row>
    <row r="878" spans="3:8" ht="14.25" customHeight="1">
      <c r="C878" s="245"/>
      <c r="D878" s="26"/>
      <c r="E878" s="26"/>
      <c r="F878" s="26"/>
      <c r="G878" s="26"/>
      <c r="H878" s="5"/>
    </row>
    <row r="879" spans="3:8" ht="14.25" customHeight="1">
      <c r="C879" s="245"/>
      <c r="D879" s="26"/>
      <c r="E879" s="26"/>
      <c r="F879" s="26"/>
      <c r="G879" s="26"/>
      <c r="H879" s="5"/>
    </row>
    <row r="880" spans="3:8" ht="14.25" customHeight="1">
      <c r="C880" s="245"/>
      <c r="D880" s="26"/>
      <c r="E880" s="26"/>
      <c r="F880" s="26"/>
      <c r="G880" s="26"/>
      <c r="H880" s="5"/>
    </row>
    <row r="881" spans="1:46" ht="14.25" customHeight="1">
      <c r="C881" s="245"/>
      <c r="D881" s="26"/>
      <c r="E881" s="26"/>
      <c r="F881" s="26"/>
      <c r="G881" s="26"/>
      <c r="H881" s="5"/>
    </row>
    <row r="882" spans="1:46" s="8" customFormat="1" ht="12.75" customHeight="1">
      <c r="B882" s="451" t="str">
        <f>TITLE!$C$20</f>
        <v>Полотна збірні: ЛАДА-КОНЦЕПТ</v>
      </c>
      <c r="C882" s="451"/>
      <c r="D882" s="118"/>
      <c r="E882" s="118"/>
      <c r="F882" s="118"/>
      <c r="G882" s="118"/>
      <c r="H882" s="455"/>
      <c r="I882" s="455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462" t="str">
        <f>IF($C$1="ENG",CONCATENATE("up to: ",B809),CONCATENATE("вгору до: ",B809))</f>
        <v>вгору до: Полотна збірні: ЛІСА</v>
      </c>
      <c r="U882" s="462"/>
      <c r="V882" s="462"/>
      <c r="W882" s="462"/>
      <c r="AN882" s="280"/>
      <c r="AO882" s="280"/>
      <c r="AP882" s="280"/>
      <c r="AQ882" s="280"/>
      <c r="AR882" s="280"/>
      <c r="AS882" s="280"/>
      <c r="AT882" s="280"/>
    </row>
    <row r="883" spans="1:46" s="8" customFormat="1" ht="5.0999999999999996" customHeight="1">
      <c r="B883" s="117"/>
      <c r="C883" s="420"/>
      <c r="D883" s="9"/>
      <c r="E883" s="9"/>
      <c r="F883" s="9"/>
      <c r="G883" s="9"/>
      <c r="H883" s="120"/>
      <c r="I883" s="120"/>
      <c r="T883" s="115"/>
      <c r="U883" s="115"/>
      <c r="V883" s="115"/>
      <c r="W883" s="115"/>
      <c r="AN883" s="280"/>
      <c r="AO883" s="280"/>
      <c r="AP883" s="280"/>
      <c r="AQ883" s="280"/>
      <c r="AR883" s="280"/>
      <c r="AS883" s="280"/>
      <c r="AT883" s="280"/>
    </row>
    <row r="884" spans="1:46" s="8" customFormat="1" ht="12.75" customHeight="1">
      <c r="B884" s="452" t="str">
        <f>IF($C$1="ENG","model","модель")</f>
        <v>модель</v>
      </c>
      <c r="C884" s="122" t="str">
        <f>IF($C$1="ENG","cover:","покриття:")</f>
        <v>покриття:</v>
      </c>
      <c r="D884" s="458" t="str">
        <f>IF($C$1="ENG","Verto-CELL","Verto-CELL")</f>
        <v>Verto-CELL</v>
      </c>
      <c r="E884" s="459"/>
      <c r="F884" s="458" t="str">
        <f>IF($C$1="ENG","UNI-MAT","UNI-MAT")</f>
        <v>UNI-MAT</v>
      </c>
      <c r="G884" s="459"/>
      <c r="H884" s="458" t="str">
        <f>IF($C$1="ENG","RESIST","RESIST")</f>
        <v>RESIST</v>
      </c>
      <c r="I884" s="459"/>
      <c r="J884" s="458" t="str">
        <f>IF($C$1="ENG","Verto LINE-3D","Verto LINE-3D")</f>
        <v>Verto LINE-3D</v>
      </c>
      <c r="K884" s="459"/>
      <c r="L884" s="458" t="str">
        <f>IF($C$1="ENG","ECO Shpon","ЕКО Шпон")</f>
        <v>ЕКО Шпон</v>
      </c>
      <c r="M884" s="459"/>
      <c r="P884" s="84"/>
      <c r="Q884" s="84"/>
      <c r="T884" s="115"/>
      <c r="U884" s="115"/>
      <c r="V884" s="115"/>
      <c r="W884" s="115"/>
      <c r="AN884" s="280"/>
      <c r="AO884" s="280"/>
      <c r="AP884" s="280"/>
      <c r="AQ884" s="280"/>
      <c r="AR884" s="280"/>
      <c r="AS884" s="280"/>
      <c r="AT884" s="280"/>
    </row>
    <row r="885" spans="1:46" s="8" customFormat="1" ht="27.75" customHeight="1">
      <c r="B885" s="453"/>
      <c r="C885" s="123" t="str">
        <f>IF($C$1="ENG","filling:","заповнення:")</f>
        <v>заповнення:</v>
      </c>
      <c r="D885" s="460" t="str">
        <f>IF($C$1="ENG","softwood","клеєний сосновий брус")</f>
        <v>клеєний сосновий брус</v>
      </c>
      <c r="E885" s="461"/>
      <c r="F885" s="460" t="str">
        <f>IF($C$1="ENG","softwood","клеєний сосновий брус")</f>
        <v>клеєний сосновий брус</v>
      </c>
      <c r="G885" s="461"/>
      <c r="H885" s="460" t="str">
        <f>IF($C$1="ENG","softwood","клеєний сосновий брус")</f>
        <v>клеєний сосновий брус</v>
      </c>
      <c r="I885" s="461"/>
      <c r="J885" s="460" t="str">
        <f>IF($C$1="ENG","softwood","клеєний сосновий брус")</f>
        <v>клеєний сосновий брус</v>
      </c>
      <c r="K885" s="461"/>
      <c r="L885" s="460" t="str">
        <f>IF($C$1="ENG","softwood","клеєний сосновий брус")</f>
        <v>клеєний сосновий брус</v>
      </c>
      <c r="M885" s="461"/>
      <c r="P885" s="84"/>
      <c r="Q885" s="84"/>
      <c r="T885" s="115"/>
      <c r="U885" s="115"/>
      <c r="V885" s="115"/>
      <c r="W885" s="115"/>
      <c r="AD885" s="383">
        <f>AD887/AC887-1</f>
        <v>0.10894308943089426</v>
      </c>
      <c r="AE885" s="383">
        <f>AE887/AD887-1</f>
        <v>3.0791788856304958E-2</v>
      </c>
      <c r="AF885" s="383">
        <f>AF887/AE887-1</f>
        <v>9.1038406827880447E-2</v>
      </c>
      <c r="AG885" s="383">
        <f>AG887/AF887-1</f>
        <v>4.8239895697522739E-2</v>
      </c>
      <c r="AN885" s="280"/>
      <c r="AO885" s="280"/>
      <c r="AP885" s="280"/>
      <c r="AQ885" s="280"/>
      <c r="AR885" s="280"/>
      <c r="AS885" s="280"/>
      <c r="AT885" s="280"/>
    </row>
    <row r="886" spans="1:46" ht="12.75" customHeight="1">
      <c r="A886" s="8"/>
      <c r="B886" s="454"/>
      <c r="C886" s="124" t="str">
        <f>IF($C$1="ENG","glazing:","скління:")</f>
        <v>скління:</v>
      </c>
      <c r="D886" s="449" t="str">
        <f>IF($C$1="ENG","Satin","Сатин")</f>
        <v>Сатин</v>
      </c>
      <c r="E886" s="450"/>
      <c r="F886" s="449" t="str">
        <f>IF($C$1="ENG","Satin","Сатин")</f>
        <v>Сатин</v>
      </c>
      <c r="G886" s="450"/>
      <c r="H886" s="449" t="str">
        <f>IF($C$1="ENG","Satin","Сатин")</f>
        <v>Сатин</v>
      </c>
      <c r="I886" s="450"/>
      <c r="J886" s="449" t="str">
        <f>IF($C$1="ENG","Satin","Сатин")</f>
        <v>Сатин</v>
      </c>
      <c r="K886" s="450"/>
      <c r="L886" s="449" t="str">
        <f>IF($C$1="ENG","Satin","Сатин")</f>
        <v>Сатин</v>
      </c>
      <c r="M886" s="450"/>
      <c r="N886" s="11"/>
      <c r="O886" s="11"/>
      <c r="P886" s="84"/>
      <c r="Q886" s="84"/>
      <c r="R886" s="11"/>
      <c r="S886" s="11"/>
      <c r="T886" s="11"/>
    </row>
    <row r="887" spans="1:46" ht="35.1" customHeight="1">
      <c r="A887" s="8"/>
      <c r="B887" s="16" t="s">
        <v>28</v>
      </c>
      <c r="C887" s="17"/>
      <c r="D887" s="18">
        <f t="shared" ref="D887:D892" si="109">IF(AC887="","",(1-$W$2)*(AC887/1.2))</f>
        <v>5125</v>
      </c>
      <c r="E887" s="66">
        <f t="shared" ref="E887:E892" si="110">IF($W$5=0.2,D887*1.2,D887)/$W$4</f>
        <v>6150</v>
      </c>
      <c r="F887" s="18">
        <f t="shared" ref="F887:F892" si="111">IF(AD887="","",(1-$W$2)*(AD887/1.2))</f>
        <v>5683.3333333333339</v>
      </c>
      <c r="G887" s="66">
        <f t="shared" ref="G887:G892" si="112">IF($W$5=0.2,F887*1.2,F887)/$W$4</f>
        <v>6820.0000000000009</v>
      </c>
      <c r="H887" s="18">
        <f t="shared" ref="H887:H892" si="113">IF(AE887="","",(1-$W$2)*(AE887/1.2))</f>
        <v>5858.3333333333339</v>
      </c>
      <c r="I887" s="66">
        <f t="shared" ref="I887:I892" si="114">IF($W$5=0.2,H887*1.2,H887)/$W$4</f>
        <v>7030.0000000000009</v>
      </c>
      <c r="J887" s="18">
        <f t="shared" ref="J887:J892" si="115">IF(AF887="","",(1-$W$2)*(AF887/1.2))</f>
        <v>6391.666666666667</v>
      </c>
      <c r="K887" s="66">
        <f t="shared" ref="K887:K892" si="116">IF($W$5=0.2,J887*1.2,J887)/$W$4</f>
        <v>7670</v>
      </c>
      <c r="L887" s="18">
        <f t="shared" ref="L887:L892" si="117">IF(AG887="","",(1-$W$2)*(AG887/1.2))</f>
        <v>6700</v>
      </c>
      <c r="M887" s="66">
        <f t="shared" ref="M887:M892" si="118">IF($W$5=0.2,L887*1.2,L887)/$W$4</f>
        <v>8040</v>
      </c>
      <c r="N887" s="290"/>
      <c r="O887" s="8"/>
      <c r="P887" s="84"/>
      <c r="Q887" s="84"/>
      <c r="R887" s="290"/>
      <c r="S887" s="8"/>
      <c r="T887" s="290"/>
      <c r="U887" s="84"/>
      <c r="V887" s="290"/>
      <c r="W887" s="84"/>
      <c r="X887" s="22"/>
      <c r="Y887" s="22"/>
      <c r="Z887" s="22"/>
      <c r="AA887" s="22"/>
      <c r="AB887" s="22"/>
      <c r="AC887" s="332">
        <v>6150</v>
      </c>
      <c r="AD887" s="391">
        <v>6820</v>
      </c>
      <c r="AE887" s="332">
        <v>7030</v>
      </c>
      <c r="AF887" s="332">
        <v>7670</v>
      </c>
      <c r="AG887" s="332">
        <v>8040</v>
      </c>
      <c r="AH887" s="289">
        <v>6150</v>
      </c>
      <c r="AI887" s="289">
        <f>AH887/AC887-1</f>
        <v>0</v>
      </c>
      <c r="AJ887" s="289">
        <v>6820</v>
      </c>
      <c r="AK887" s="289">
        <f>AJ887/AD887-1</f>
        <v>0</v>
      </c>
      <c r="AL887" s="289">
        <v>7030</v>
      </c>
      <c r="AM887" s="289">
        <f>AL887/AE887-1</f>
        <v>0</v>
      </c>
      <c r="AN887" s="289">
        <v>7670</v>
      </c>
      <c r="AO887" s="289">
        <f>AN887/AF887-1</f>
        <v>0</v>
      </c>
      <c r="AP887" s="289">
        <v>8040</v>
      </c>
      <c r="AQ887" s="289">
        <f>AP887/AG887-1</f>
        <v>0</v>
      </c>
    </row>
    <row r="888" spans="1:46" ht="35.1" customHeight="1">
      <c r="A888" s="8"/>
      <c r="B888" s="16" t="s">
        <v>22</v>
      </c>
      <c r="C888" s="17"/>
      <c r="D888" s="18">
        <f t="shared" si="109"/>
        <v>5308.3333333333339</v>
      </c>
      <c r="E888" s="66">
        <f t="shared" si="110"/>
        <v>6370.0000000000009</v>
      </c>
      <c r="F888" s="18">
        <f t="shared" si="111"/>
        <v>5900</v>
      </c>
      <c r="G888" s="66">
        <f t="shared" si="112"/>
        <v>7080</v>
      </c>
      <c r="H888" s="18">
        <f t="shared" si="113"/>
        <v>6083.3333333333339</v>
      </c>
      <c r="I888" s="66">
        <f t="shared" si="114"/>
        <v>7300.0000000000009</v>
      </c>
      <c r="J888" s="18">
        <f t="shared" si="115"/>
        <v>6516.666666666667</v>
      </c>
      <c r="K888" s="66">
        <f t="shared" si="116"/>
        <v>7820</v>
      </c>
      <c r="L888" s="18">
        <f t="shared" si="117"/>
        <v>6808.3333333333339</v>
      </c>
      <c r="M888" s="66">
        <f t="shared" si="118"/>
        <v>8170</v>
      </c>
      <c r="N888" s="290"/>
      <c r="O888" s="8"/>
      <c r="P888" s="84"/>
      <c r="Q888" s="84"/>
      <c r="R888" s="290"/>
      <c r="S888" s="8"/>
      <c r="T888" s="290"/>
      <c r="U888" s="84"/>
      <c r="V888" s="290"/>
      <c r="W888" s="84"/>
      <c r="X888" s="22"/>
      <c r="Y888" s="22"/>
      <c r="Z888" s="22"/>
      <c r="AA888" s="22"/>
      <c r="AB888" s="22"/>
      <c r="AC888" s="332">
        <v>6370</v>
      </c>
      <c r="AD888" s="391">
        <v>7080</v>
      </c>
      <c r="AE888" s="332">
        <v>7300</v>
      </c>
      <c r="AF888" s="332">
        <v>7820</v>
      </c>
      <c r="AG888" s="332">
        <v>8170</v>
      </c>
      <c r="AH888" s="289">
        <v>6370</v>
      </c>
      <c r="AI888" s="289">
        <f t="shared" ref="AI888:AI892" si="119">AH888/AC888-1</f>
        <v>0</v>
      </c>
      <c r="AJ888" s="289">
        <v>7080</v>
      </c>
      <c r="AK888" s="289">
        <f t="shared" ref="AK888:AK892" si="120">AJ888/AD888-1</f>
        <v>0</v>
      </c>
      <c r="AL888" s="289">
        <v>7300</v>
      </c>
      <c r="AM888" s="289">
        <f t="shared" ref="AM888:AM892" si="121">AL888/AE888-1</f>
        <v>0</v>
      </c>
      <c r="AN888" s="289">
        <v>7820</v>
      </c>
      <c r="AO888" s="289">
        <f t="shared" ref="AO888:AO892" si="122">AN888/AF888-1</f>
        <v>0</v>
      </c>
      <c r="AP888" s="289">
        <v>8170</v>
      </c>
      <c r="AQ888" s="289">
        <f t="shared" ref="AQ888:AQ892" si="123">AP888/AG888-1</f>
        <v>0</v>
      </c>
    </row>
    <row r="889" spans="1:46" ht="35.1" customHeight="1">
      <c r="A889" s="8"/>
      <c r="B889" s="16" t="s">
        <v>23</v>
      </c>
      <c r="C889" s="17"/>
      <c r="D889" s="18">
        <f t="shared" si="109"/>
        <v>5600</v>
      </c>
      <c r="E889" s="66">
        <f t="shared" si="110"/>
        <v>6720</v>
      </c>
      <c r="F889" s="18">
        <f t="shared" si="111"/>
        <v>6216.666666666667</v>
      </c>
      <c r="G889" s="66">
        <f t="shared" si="112"/>
        <v>7460</v>
      </c>
      <c r="H889" s="18">
        <f t="shared" si="113"/>
        <v>6400</v>
      </c>
      <c r="I889" s="66">
        <f t="shared" si="114"/>
        <v>7680</v>
      </c>
      <c r="J889" s="18">
        <f t="shared" si="115"/>
        <v>7125</v>
      </c>
      <c r="K889" s="66">
        <f t="shared" si="116"/>
        <v>8550</v>
      </c>
      <c r="L889" s="18">
        <f t="shared" si="117"/>
        <v>7175</v>
      </c>
      <c r="M889" s="66">
        <f t="shared" si="118"/>
        <v>8610</v>
      </c>
      <c r="N889" s="290"/>
      <c r="O889" s="8"/>
      <c r="P889" s="84"/>
      <c r="Q889" s="84"/>
      <c r="R889" s="290"/>
      <c r="S889" s="8"/>
      <c r="T889" s="290"/>
      <c r="U889" s="84"/>
      <c r="V889" s="290"/>
      <c r="W889" s="84"/>
      <c r="X889" s="22"/>
      <c r="Y889" s="22"/>
      <c r="Z889" s="22"/>
      <c r="AA889" s="22"/>
      <c r="AB889" s="22"/>
      <c r="AC889" s="332">
        <v>6720</v>
      </c>
      <c r="AD889" s="391">
        <v>7460</v>
      </c>
      <c r="AE889" s="332">
        <v>7680</v>
      </c>
      <c r="AF889" s="332">
        <v>8550</v>
      </c>
      <c r="AG889" s="332">
        <v>8610</v>
      </c>
      <c r="AH889" s="289">
        <v>6720</v>
      </c>
      <c r="AI889" s="289">
        <f t="shared" si="119"/>
        <v>0</v>
      </c>
      <c r="AJ889" s="289">
        <v>7460</v>
      </c>
      <c r="AK889" s="289">
        <f t="shared" si="120"/>
        <v>0</v>
      </c>
      <c r="AL889" s="289">
        <v>7680</v>
      </c>
      <c r="AM889" s="289">
        <f t="shared" si="121"/>
        <v>0</v>
      </c>
      <c r="AN889" s="289">
        <v>8550</v>
      </c>
      <c r="AO889" s="289">
        <f t="shared" si="122"/>
        <v>0</v>
      </c>
      <c r="AP889" s="289">
        <v>8610</v>
      </c>
      <c r="AQ889" s="289">
        <f t="shared" si="123"/>
        <v>0</v>
      </c>
    </row>
    <row r="890" spans="1:46" ht="35.1" customHeight="1">
      <c r="A890" s="8"/>
      <c r="B890" s="16" t="s">
        <v>8</v>
      </c>
      <c r="C890" s="17"/>
      <c r="D890" s="18">
        <f t="shared" si="109"/>
        <v>5308.3333333333339</v>
      </c>
      <c r="E890" s="66">
        <f t="shared" si="110"/>
        <v>6370.0000000000009</v>
      </c>
      <c r="F890" s="18">
        <f t="shared" si="111"/>
        <v>5900</v>
      </c>
      <c r="G890" s="66">
        <f t="shared" si="112"/>
        <v>7080</v>
      </c>
      <c r="H890" s="18">
        <f t="shared" si="113"/>
        <v>6083.3333333333339</v>
      </c>
      <c r="I890" s="66">
        <f t="shared" si="114"/>
        <v>7300.0000000000009</v>
      </c>
      <c r="J890" s="18">
        <f t="shared" si="115"/>
        <v>6516.666666666667</v>
      </c>
      <c r="K890" s="66">
        <f t="shared" si="116"/>
        <v>7820</v>
      </c>
      <c r="L890" s="18">
        <f t="shared" si="117"/>
        <v>6808.3333333333339</v>
      </c>
      <c r="M890" s="66">
        <f t="shared" si="118"/>
        <v>8170</v>
      </c>
      <c r="N890" s="290"/>
      <c r="O890" s="84"/>
      <c r="P890" s="84"/>
      <c r="Q890" s="84"/>
      <c r="R890" s="290"/>
      <c r="S890" s="84"/>
      <c r="T890" s="290"/>
      <c r="U890" s="84"/>
      <c r="V890" s="290"/>
      <c r="W890" s="84"/>
      <c r="X890" s="22"/>
      <c r="Y890" s="22"/>
      <c r="Z890" s="22"/>
      <c r="AA890" s="22"/>
      <c r="AB890" s="22"/>
      <c r="AC890" s="332">
        <v>6370</v>
      </c>
      <c r="AD890" s="391">
        <v>7080</v>
      </c>
      <c r="AE890" s="332">
        <v>7300</v>
      </c>
      <c r="AF890" s="332">
        <v>7820</v>
      </c>
      <c r="AG890" s="332">
        <v>8170</v>
      </c>
      <c r="AH890" s="289">
        <v>6370</v>
      </c>
      <c r="AI890" s="289">
        <f t="shared" si="119"/>
        <v>0</v>
      </c>
      <c r="AJ890" s="289">
        <v>7080</v>
      </c>
      <c r="AK890" s="289">
        <f t="shared" si="120"/>
        <v>0</v>
      </c>
      <c r="AL890" s="289">
        <v>7300</v>
      </c>
      <c r="AM890" s="289">
        <f t="shared" si="121"/>
        <v>0</v>
      </c>
      <c r="AN890" s="289">
        <v>7820</v>
      </c>
      <c r="AO890" s="289">
        <f t="shared" si="122"/>
        <v>0</v>
      </c>
      <c r="AP890" s="289">
        <v>8170</v>
      </c>
      <c r="AQ890" s="289">
        <f t="shared" si="123"/>
        <v>0</v>
      </c>
    </row>
    <row r="891" spans="1:46" ht="35.1" customHeight="1">
      <c r="A891" s="8"/>
      <c r="B891" s="16" t="s">
        <v>9</v>
      </c>
      <c r="C891" s="17"/>
      <c r="D891" s="18">
        <f t="shared" si="109"/>
        <v>5050</v>
      </c>
      <c r="E891" s="66">
        <f t="shared" si="110"/>
        <v>6060</v>
      </c>
      <c r="F891" s="18">
        <f t="shared" si="111"/>
        <v>5600</v>
      </c>
      <c r="G891" s="66">
        <f t="shared" si="112"/>
        <v>6720</v>
      </c>
      <c r="H891" s="18">
        <f t="shared" si="113"/>
        <v>5775</v>
      </c>
      <c r="I891" s="66">
        <f t="shared" si="114"/>
        <v>6930</v>
      </c>
      <c r="J891" s="18">
        <f t="shared" si="115"/>
        <v>6233.3333333333339</v>
      </c>
      <c r="K891" s="66">
        <f t="shared" si="116"/>
        <v>7480</v>
      </c>
      <c r="L891" s="18">
        <f t="shared" si="117"/>
        <v>6525</v>
      </c>
      <c r="M891" s="66">
        <f t="shared" si="118"/>
        <v>7830</v>
      </c>
      <c r="N891" s="290"/>
      <c r="O891" s="8"/>
      <c r="P891" s="84"/>
      <c r="Q891" s="84"/>
      <c r="R891" s="290"/>
      <c r="S891" s="8"/>
      <c r="T891" s="290"/>
      <c r="U891" s="84"/>
      <c r="V891" s="290"/>
      <c r="W891" s="84"/>
      <c r="X891" s="22"/>
      <c r="Y891" s="22"/>
      <c r="Z891" s="22"/>
      <c r="AA891" s="22"/>
      <c r="AB891" s="22"/>
      <c r="AC891" s="332">
        <v>6060</v>
      </c>
      <c r="AD891" s="391">
        <v>6720</v>
      </c>
      <c r="AE891" s="332">
        <v>6930</v>
      </c>
      <c r="AF891" s="332">
        <v>7480</v>
      </c>
      <c r="AG891" s="332">
        <v>7830</v>
      </c>
      <c r="AH891" s="289">
        <v>6060</v>
      </c>
      <c r="AI891" s="289">
        <f t="shared" si="119"/>
        <v>0</v>
      </c>
      <c r="AJ891" s="289">
        <v>6720</v>
      </c>
      <c r="AK891" s="289">
        <f t="shared" si="120"/>
        <v>0</v>
      </c>
      <c r="AL891" s="289">
        <v>6930</v>
      </c>
      <c r="AM891" s="289">
        <f t="shared" si="121"/>
        <v>0</v>
      </c>
      <c r="AN891" s="289">
        <v>7480</v>
      </c>
      <c r="AO891" s="289">
        <f t="shared" si="122"/>
        <v>0</v>
      </c>
      <c r="AP891" s="289">
        <v>7830</v>
      </c>
      <c r="AQ891" s="289">
        <f t="shared" si="123"/>
        <v>0</v>
      </c>
    </row>
    <row r="892" spans="1:46" ht="35.1" customHeight="1">
      <c r="A892" s="8"/>
      <c r="B892" s="23" t="s">
        <v>10</v>
      </c>
      <c r="C892" s="24"/>
      <c r="D892" s="25">
        <f t="shared" si="109"/>
        <v>4783.3333333333339</v>
      </c>
      <c r="E892" s="69">
        <f t="shared" si="110"/>
        <v>5740.0000000000009</v>
      </c>
      <c r="F892" s="25">
        <f t="shared" si="111"/>
        <v>5300</v>
      </c>
      <c r="G892" s="69">
        <f t="shared" si="112"/>
        <v>6360</v>
      </c>
      <c r="H892" s="25">
        <f t="shared" si="113"/>
        <v>5483.3333333333339</v>
      </c>
      <c r="I892" s="69">
        <f t="shared" si="114"/>
        <v>6580.0000000000009</v>
      </c>
      <c r="J892" s="25">
        <f t="shared" si="115"/>
        <v>5858.3333333333339</v>
      </c>
      <c r="K892" s="69">
        <f t="shared" si="116"/>
        <v>7030.0000000000009</v>
      </c>
      <c r="L892" s="25">
        <f t="shared" si="117"/>
        <v>6100</v>
      </c>
      <c r="M892" s="69">
        <f t="shared" si="118"/>
        <v>7320</v>
      </c>
      <c r="N892" s="290"/>
      <c r="O892" s="8"/>
      <c r="P892" s="84"/>
      <c r="Q892" s="84"/>
      <c r="R892" s="290"/>
      <c r="S892" s="8"/>
      <c r="T892" s="290"/>
      <c r="U892" s="84"/>
      <c r="V892" s="290"/>
      <c r="W892" s="84"/>
      <c r="X892" s="22"/>
      <c r="Y892" s="22"/>
      <c r="Z892" s="22"/>
      <c r="AA892" s="22"/>
      <c r="AB892" s="22"/>
      <c r="AC892" s="332">
        <v>5740</v>
      </c>
      <c r="AD892" s="391">
        <v>6360</v>
      </c>
      <c r="AE892" s="332">
        <v>6580</v>
      </c>
      <c r="AF892" s="332">
        <v>7030</v>
      </c>
      <c r="AG892" s="332">
        <v>7320</v>
      </c>
      <c r="AH892" s="289">
        <v>5740</v>
      </c>
      <c r="AI892" s="289">
        <f t="shared" si="119"/>
        <v>0</v>
      </c>
      <c r="AJ892" s="289">
        <v>6360</v>
      </c>
      <c r="AK892" s="289">
        <f t="shared" si="120"/>
        <v>0</v>
      </c>
      <c r="AL892" s="289">
        <v>6580</v>
      </c>
      <c r="AM892" s="289">
        <f t="shared" si="121"/>
        <v>0</v>
      </c>
      <c r="AN892" s="289">
        <v>7030</v>
      </c>
      <c r="AO892" s="289">
        <f t="shared" si="122"/>
        <v>0</v>
      </c>
      <c r="AP892" s="289">
        <v>7320</v>
      </c>
      <c r="AQ892" s="289">
        <f t="shared" si="123"/>
        <v>0</v>
      </c>
    </row>
    <row r="893" spans="1:46">
      <c r="C893" s="245"/>
      <c r="D893" s="26"/>
      <c r="E893" s="57"/>
      <c r="F893" s="26"/>
      <c r="G893" s="57"/>
      <c r="H893" s="10"/>
      <c r="I893" s="8"/>
      <c r="J893" s="8"/>
      <c r="K893" s="8"/>
      <c r="L893" s="8"/>
      <c r="P893" s="84"/>
      <c r="Q893" s="84"/>
      <c r="W893" s="20"/>
      <c r="X893" s="22"/>
      <c r="Y893" s="22"/>
      <c r="Z893" s="22"/>
      <c r="AA893" s="22"/>
      <c r="AB893" s="22"/>
    </row>
    <row r="894" spans="1:46">
      <c r="B894" s="212" t="str">
        <f>IF($C$1="ENG","For additonal charge:","Послуги за додаткову плату:")</f>
        <v>Послуги за додаткову плату:</v>
      </c>
      <c r="C894" s="421"/>
      <c r="D894" s="213"/>
      <c r="E894" s="214"/>
      <c r="F894" s="26"/>
      <c r="G894" s="57"/>
      <c r="H894" s="10"/>
      <c r="I894" s="8"/>
      <c r="J894" s="8"/>
      <c r="K894" s="8"/>
    </row>
    <row r="895" spans="1:46" ht="5.0999999999999996" customHeight="1">
      <c r="B895" s="27"/>
      <c r="C895" s="245"/>
      <c r="D895" s="26"/>
      <c r="E895" s="57"/>
      <c r="F895" s="26"/>
      <c r="G895" s="26"/>
      <c r="H895" s="10"/>
      <c r="I895" s="8"/>
      <c r="J895" s="8"/>
      <c r="K895" s="8"/>
    </row>
    <row r="896" spans="1:46">
      <c r="B896" s="447" t="str">
        <f>IF($C$1="ENG","door leaf with width 100","полотно розміром 100")</f>
        <v>полотно розміром 100</v>
      </c>
      <c r="C896" s="448"/>
      <c r="D896" s="410">
        <f t="shared" ref="D896:D909" si="124">IF(AC896="","",(1-$W$2)*(AC896/1.2))</f>
        <v>600</v>
      </c>
      <c r="E896" s="92">
        <f t="shared" ref="E896:E908" si="125">IF($W$5=0.2,D896*1.2,D896)/$W$4</f>
        <v>720</v>
      </c>
      <c r="F896" s="26"/>
      <c r="G896" s="26"/>
      <c r="H896" s="10"/>
      <c r="I896" s="8"/>
      <c r="J896" s="8"/>
      <c r="K896" s="8"/>
      <c r="AC896" s="298">
        <v>720</v>
      </c>
      <c r="AD896" s="289">
        <v>720</v>
      </c>
      <c r="AE896" s="289">
        <f>AD896/AC896-1</f>
        <v>0</v>
      </c>
      <c r="AF896" s="289"/>
      <c r="AG896" s="289"/>
      <c r="AH896" s="289"/>
      <c r="AI896" s="289"/>
      <c r="AJ896" s="289"/>
      <c r="AK896" s="289"/>
      <c r="AL896" s="289"/>
    </row>
    <row r="897" spans="2:38">
      <c r="B897" s="445" t="str">
        <f>IF($C$1="ENG","Ventilation sleeves (1 row)","вентиляційні віддушини (1ряд)")</f>
        <v>вентиляційні віддушини (1ряд)</v>
      </c>
      <c r="C897" s="446"/>
      <c r="D897" s="405">
        <f t="shared" si="124"/>
        <v>208.33333333333334</v>
      </c>
      <c r="E897" s="93">
        <f t="shared" si="125"/>
        <v>250</v>
      </c>
      <c r="F897" s="26"/>
      <c r="G897" s="26"/>
      <c r="I897" s="11"/>
      <c r="J897" s="11"/>
      <c r="K897" s="11"/>
      <c r="AC897" s="298">
        <v>250</v>
      </c>
      <c r="AD897" s="289">
        <v>250</v>
      </c>
      <c r="AE897" s="289">
        <f t="shared" ref="AE897:AE908" si="126">AD897/AC897-1</f>
        <v>0</v>
      </c>
      <c r="AF897" s="289"/>
      <c r="AG897" s="289"/>
      <c r="AH897" s="289"/>
      <c r="AI897" s="289"/>
      <c r="AJ897" s="289"/>
      <c r="AK897" s="289"/>
      <c r="AL897" s="289"/>
    </row>
    <row r="898" spans="2:38">
      <c r="B898" s="447" t="str">
        <f>IF($C$1="ENG","Ventilation cut","вентиляційний підріз")</f>
        <v>вентиляційний підріз</v>
      </c>
      <c r="C898" s="448"/>
      <c r="D898" s="405">
        <f t="shared" si="124"/>
        <v>141.66666666666669</v>
      </c>
      <c r="E898" s="66">
        <f t="shared" si="125"/>
        <v>170.00000000000003</v>
      </c>
      <c r="F898" s="26"/>
      <c r="G898" s="26"/>
      <c r="I898" s="59"/>
      <c r="J898" s="28"/>
      <c r="AC898" s="298">
        <v>170</v>
      </c>
      <c r="AD898" s="289">
        <v>170</v>
      </c>
      <c r="AE898" s="289">
        <f t="shared" si="126"/>
        <v>0</v>
      </c>
      <c r="AF898" s="289"/>
      <c r="AG898" s="289"/>
      <c r="AH898" s="289"/>
      <c r="AI898" s="289"/>
      <c r="AJ898" s="289"/>
      <c r="AK898" s="289"/>
      <c r="AL898" s="289"/>
    </row>
    <row r="899" spans="2:38">
      <c r="B899" s="445" t="str">
        <f>IF($C$1="ENG","glazing Graphite / Bronze","скло Графіт / Бронза")</f>
        <v>скло Графіт / Бронза</v>
      </c>
      <c r="C899" s="446"/>
      <c r="D899" s="407">
        <f t="shared" si="124"/>
        <v>458.33333333333337</v>
      </c>
      <c r="E899" s="93">
        <f t="shared" si="125"/>
        <v>550</v>
      </c>
      <c r="F899" s="26"/>
      <c r="G899" s="26"/>
      <c r="H899" s="5"/>
      <c r="AC899" s="298">
        <v>550</v>
      </c>
      <c r="AD899" s="289">
        <v>550</v>
      </c>
      <c r="AE899" s="289">
        <f t="shared" si="126"/>
        <v>0</v>
      </c>
      <c r="AF899" s="289"/>
      <c r="AG899" s="289"/>
      <c r="AH899" s="289"/>
      <c r="AI899" s="289"/>
      <c r="AJ899" s="289"/>
      <c r="AK899" s="289"/>
      <c r="AL899" s="289"/>
    </row>
    <row r="900" spans="2:38">
      <c r="B900" s="445" t="str">
        <f>IF($C$1="ENG","glazing Lacobel black ","скло Lacobel чорне")</f>
        <v>скло Lacobel чорне</v>
      </c>
      <c r="C900" s="446"/>
      <c r="D900" s="407">
        <f t="shared" si="124"/>
        <v>458.33333333333337</v>
      </c>
      <c r="E900" s="93">
        <f>IF($W$5=0.2,D900*1.2,D900)/$W$4</f>
        <v>550</v>
      </c>
      <c r="F900" s="26"/>
      <c r="G900" s="26"/>
      <c r="H900" s="5"/>
      <c r="AC900" s="298">
        <v>550</v>
      </c>
      <c r="AD900" s="298">
        <v>550</v>
      </c>
      <c r="AE900" s="289"/>
      <c r="AF900" s="289"/>
      <c r="AG900" s="289"/>
      <c r="AH900" s="289"/>
      <c r="AI900" s="289"/>
      <c r="AJ900" s="289"/>
      <c r="AK900" s="289"/>
      <c r="AL900" s="289"/>
    </row>
    <row r="901" spans="2:38">
      <c r="B901" s="445" t="str">
        <f>IF($C$1="ENG","door lock Soft","замок Soft")</f>
        <v>замок Soft</v>
      </c>
      <c r="C901" s="446"/>
      <c r="D901" s="407">
        <f t="shared" si="124"/>
        <v>458.33333333333337</v>
      </c>
      <c r="E901" s="93">
        <f t="shared" si="125"/>
        <v>550</v>
      </c>
      <c r="F901" s="26"/>
      <c r="G901" s="26"/>
      <c r="H901" s="5"/>
      <c r="AC901" s="298">
        <v>550</v>
      </c>
      <c r="AD901" s="289">
        <v>550</v>
      </c>
      <c r="AE901" s="289">
        <f t="shared" si="126"/>
        <v>0</v>
      </c>
      <c r="AF901" s="289"/>
      <c r="AG901" s="289"/>
      <c r="AH901" s="289"/>
      <c r="AI901" s="289"/>
      <c r="AJ901" s="289"/>
      <c r="AK901" s="289"/>
      <c r="AL901" s="289"/>
    </row>
    <row r="902" spans="2:38">
      <c r="B902" s="445" t="str">
        <f>IF($C$1="ENG","door lock Soft black","замок Soft чорн.")</f>
        <v>замок Soft чорн.</v>
      </c>
      <c r="C902" s="446"/>
      <c r="D902" s="407">
        <f t="shared" ref="D902" si="127">IF(AC902="","",(1-$W$2)*(AC902/1.2))</f>
        <v>566.66666666666674</v>
      </c>
      <c r="E902" s="93">
        <f t="shared" ref="E902" si="128">IF($W$5=0.2,D902*1.2,D902)/$W$4</f>
        <v>680.00000000000011</v>
      </c>
      <c r="F902" s="26"/>
      <c r="G902" s="26"/>
      <c r="H902" s="5"/>
      <c r="AC902" s="298">
        <v>680</v>
      </c>
      <c r="AD902" s="289"/>
      <c r="AE902" s="289"/>
      <c r="AF902" s="289"/>
      <c r="AG902" s="289"/>
      <c r="AH902" s="289"/>
      <c r="AI902" s="289"/>
      <c r="AJ902" s="289"/>
      <c r="AK902" s="289"/>
      <c r="AL902" s="289"/>
    </row>
    <row r="903" spans="2:38">
      <c r="B903" s="445" t="str">
        <f>IF($C$1="ENG","door lock Magnet","замок Magnet")</f>
        <v>замок Magnet</v>
      </c>
      <c r="C903" s="446"/>
      <c r="D903" s="407">
        <f t="shared" si="124"/>
        <v>666.66666666666674</v>
      </c>
      <c r="E903" s="93">
        <f t="shared" si="125"/>
        <v>800.00000000000011</v>
      </c>
      <c r="F903" s="26"/>
      <c r="G903" s="26"/>
      <c r="H903" s="5"/>
      <c r="AC903" s="298">
        <v>800</v>
      </c>
      <c r="AD903" s="289">
        <v>800</v>
      </c>
      <c r="AE903" s="289">
        <f t="shared" si="126"/>
        <v>0</v>
      </c>
      <c r="AF903" s="289"/>
      <c r="AG903" s="289"/>
      <c r="AH903" s="289"/>
      <c r="AI903" s="289"/>
      <c r="AJ903" s="289"/>
      <c r="AK903" s="289"/>
      <c r="AL903" s="289"/>
    </row>
    <row r="904" spans="2:38">
      <c r="B904" s="445" t="s">
        <v>76</v>
      </c>
      <c r="C904" s="446"/>
      <c r="D904" s="407">
        <f t="shared" ref="D904" si="129">IF(AC904="","",(1-$W$2)*(AC904/1.2))</f>
        <v>833.33333333333337</v>
      </c>
      <c r="E904" s="93">
        <f t="shared" ref="E904" si="130">IF($W$5=0.2,D904*1.2,D904)/$W$4</f>
        <v>1000</v>
      </c>
      <c r="F904" s="26"/>
      <c r="G904" s="26"/>
      <c r="H904" s="5"/>
      <c r="AC904" s="298">
        <v>1000</v>
      </c>
      <c r="AD904" s="289"/>
      <c r="AE904" s="289"/>
      <c r="AF904" s="289"/>
      <c r="AG904" s="289"/>
      <c r="AH904" s="289"/>
      <c r="AI904" s="289"/>
      <c r="AJ904" s="289"/>
      <c r="AK904" s="289"/>
      <c r="AL904" s="289"/>
    </row>
    <row r="905" spans="2:38">
      <c r="B905" s="445" t="str">
        <f>IF($C$1="ENG","door handle-lock (for sliding doors)","ручка-замок (для дверей купе)")</f>
        <v>ручка-замок (для дверей купе)</v>
      </c>
      <c r="C905" s="446"/>
      <c r="D905" s="405">
        <f t="shared" si="124"/>
        <v>466.66666666666669</v>
      </c>
      <c r="E905" s="93">
        <f t="shared" si="125"/>
        <v>560</v>
      </c>
      <c r="F905" s="26"/>
      <c r="G905" s="26"/>
      <c r="I905" s="11"/>
      <c r="J905" s="11"/>
      <c r="K905" s="19"/>
      <c r="AC905" s="298">
        <v>560</v>
      </c>
      <c r="AD905" s="289">
        <v>560</v>
      </c>
      <c r="AE905" s="289">
        <f t="shared" si="126"/>
        <v>0</v>
      </c>
      <c r="AF905" s="289"/>
      <c r="AG905" s="289"/>
      <c r="AH905" s="289"/>
      <c r="AI905" s="289"/>
      <c r="AJ905" s="289"/>
      <c r="AK905" s="289"/>
      <c r="AL905" s="289"/>
    </row>
    <row r="906" spans="2:38">
      <c r="B906" s="445" t="str">
        <f>IF($C$1="ENG","cylinder incert","циліндр несиметричний")</f>
        <v>циліндр несиметричний</v>
      </c>
      <c r="C906" s="446"/>
      <c r="D906" s="405">
        <f t="shared" si="124"/>
        <v>316.66666666666669</v>
      </c>
      <c r="E906" s="93">
        <f t="shared" si="125"/>
        <v>380</v>
      </c>
      <c r="F906" s="26"/>
      <c r="G906" s="26"/>
      <c r="AC906" s="298">
        <v>380</v>
      </c>
      <c r="AD906" s="289">
        <v>380</v>
      </c>
      <c r="AE906" s="289">
        <f t="shared" si="126"/>
        <v>0</v>
      </c>
      <c r="AF906" s="289"/>
      <c r="AG906" s="289"/>
      <c r="AH906" s="289"/>
      <c r="AI906" s="289"/>
      <c r="AJ906" s="289"/>
      <c r="AK906" s="289"/>
      <c r="AL906" s="289"/>
    </row>
    <row r="907" spans="2:38">
      <c r="B907" s="445" t="str">
        <f>IF($C$1="ENG","door hindge Prestige (1 unit)","завіса Prestige (1 шт)")</f>
        <v>завіса Prestige (1 шт)</v>
      </c>
      <c r="C907" s="446"/>
      <c r="D907" s="408">
        <f t="shared" si="124"/>
        <v>216.66666666666669</v>
      </c>
      <c r="E907" s="93">
        <f t="shared" si="125"/>
        <v>260</v>
      </c>
      <c r="F907" s="26"/>
      <c r="G907" s="26"/>
      <c r="AC907" s="298">
        <v>260</v>
      </c>
      <c r="AD907" s="289">
        <v>260</v>
      </c>
      <c r="AE907" s="289">
        <f t="shared" si="126"/>
        <v>0</v>
      </c>
      <c r="AF907" s="289"/>
      <c r="AG907" s="289"/>
      <c r="AH907" s="289"/>
      <c r="AI907" s="289"/>
      <c r="AJ907" s="289"/>
      <c r="AK907" s="289"/>
      <c r="AL907" s="289"/>
    </row>
    <row r="908" spans="2:38">
      <c r="B908" s="445" t="str">
        <f>IF($C$1="ENG","door hinge caps (1 set)","накладка на завіси (1 к-т)")</f>
        <v>накладка на завіси (1 к-т)</v>
      </c>
      <c r="C908" s="446"/>
      <c r="D908" s="408">
        <f t="shared" si="124"/>
        <v>66.666666666666671</v>
      </c>
      <c r="E908" s="93">
        <f t="shared" si="125"/>
        <v>80</v>
      </c>
      <c r="F908" s="26"/>
      <c r="G908" s="26"/>
      <c r="AC908" s="298">
        <v>80</v>
      </c>
      <c r="AD908" s="289">
        <v>80</v>
      </c>
      <c r="AE908" s="289">
        <f t="shared" si="126"/>
        <v>0</v>
      </c>
      <c r="AF908" s="289"/>
      <c r="AG908" s="289"/>
      <c r="AH908" s="289"/>
      <c r="AI908" s="289"/>
      <c r="AJ908" s="289"/>
      <c r="AK908" s="289"/>
      <c r="AL908" s="289"/>
    </row>
    <row r="909" spans="2:38">
      <c r="B909" s="445" t="str">
        <f>IF($C$1="ENG","door handle","дверна ручка")</f>
        <v>дверна ручка</v>
      </c>
      <c r="C909" s="446"/>
      <c r="D909" s="409" t="str">
        <f t="shared" si="124"/>
        <v/>
      </c>
      <c r="E909" s="247" t="str">
        <f>IF($C$1="ENG","see Handles Price","див. Таблицю Ручки")</f>
        <v>див. Таблицю Ручки</v>
      </c>
      <c r="F909" s="26"/>
      <c r="G909" s="26"/>
      <c r="AC909" s="289"/>
      <c r="AD909" s="289"/>
      <c r="AE909" s="289"/>
      <c r="AF909" s="289"/>
      <c r="AG909" s="289"/>
      <c r="AH909" s="289"/>
      <c r="AI909" s="289"/>
      <c r="AJ909" s="289"/>
      <c r="AK909" s="289"/>
      <c r="AL909" s="289"/>
    </row>
    <row r="910" spans="2:38" ht="14.25" customHeight="1">
      <c r="C910" s="245"/>
      <c r="D910" s="26"/>
      <c r="E910" s="26"/>
      <c r="F910" s="26"/>
      <c r="G910" s="26"/>
      <c r="H910" s="5"/>
      <c r="T910" s="465" t="str">
        <f>IF($C$1="ENG",CONCATENATE("down to: ",B960),CONCATENATE("вниз до: ",B960))</f>
        <v>вниз до: Полотна збірні: ЛАДА-НОВА</v>
      </c>
      <c r="U910" s="465"/>
      <c r="V910" s="465"/>
      <c r="W910" s="465"/>
    </row>
    <row r="911" spans="2:38" ht="14.25" customHeight="1">
      <c r="C911" s="245"/>
      <c r="D911" s="26"/>
      <c r="E911" s="26"/>
      <c r="F911" s="26"/>
      <c r="G911" s="26"/>
      <c r="H911" s="5"/>
    </row>
    <row r="912" spans="2:38" ht="14.25" customHeight="1">
      <c r="C912" s="245"/>
      <c r="D912" s="26"/>
      <c r="E912" s="26"/>
      <c r="F912" s="26"/>
      <c r="G912" s="26"/>
      <c r="H912" s="5"/>
    </row>
    <row r="913" spans="3:8" ht="14.25" customHeight="1">
      <c r="C913" s="245"/>
      <c r="D913" s="26"/>
      <c r="E913" s="26"/>
      <c r="F913" s="26"/>
      <c r="G913" s="26"/>
      <c r="H913" s="5"/>
    </row>
    <row r="914" spans="3:8" ht="14.25" customHeight="1">
      <c r="C914" s="245"/>
      <c r="D914" s="26"/>
      <c r="E914" s="26"/>
      <c r="F914" s="26"/>
      <c r="G914" s="26"/>
      <c r="H914" s="5"/>
    </row>
    <row r="915" spans="3:8" ht="14.25" customHeight="1">
      <c r="C915" s="245"/>
      <c r="D915" s="26"/>
      <c r="E915" s="26"/>
      <c r="F915" s="26"/>
      <c r="G915" s="26"/>
      <c r="H915" s="5"/>
    </row>
    <row r="916" spans="3:8" ht="14.25" customHeight="1">
      <c r="C916" s="245"/>
      <c r="D916" s="26"/>
      <c r="E916" s="26"/>
      <c r="F916" s="26"/>
      <c r="G916" s="26"/>
      <c r="H916" s="5"/>
    </row>
    <row r="917" spans="3:8" ht="14.25" customHeight="1">
      <c r="C917" s="245"/>
      <c r="D917" s="26"/>
      <c r="E917" s="26"/>
      <c r="F917" s="26"/>
      <c r="G917" s="26"/>
      <c r="H917" s="5"/>
    </row>
    <row r="918" spans="3:8" ht="14.25" customHeight="1">
      <c r="C918" s="245"/>
      <c r="D918" s="26"/>
      <c r="E918" s="26"/>
      <c r="F918" s="26"/>
      <c r="G918" s="26"/>
      <c r="H918" s="5"/>
    </row>
    <row r="919" spans="3:8" ht="14.25" customHeight="1">
      <c r="C919" s="245"/>
      <c r="D919" s="26"/>
      <c r="E919" s="26"/>
      <c r="F919" s="26"/>
      <c r="G919" s="26"/>
      <c r="H919" s="5"/>
    </row>
    <row r="920" spans="3:8" ht="14.25" customHeight="1">
      <c r="C920" s="245"/>
      <c r="D920" s="26"/>
      <c r="E920" s="26"/>
      <c r="F920" s="26"/>
      <c r="G920" s="26"/>
      <c r="H920" s="5"/>
    </row>
    <row r="921" spans="3:8" ht="14.25" customHeight="1">
      <c r="C921" s="245"/>
      <c r="D921" s="26"/>
      <c r="E921" s="26"/>
      <c r="F921" s="26"/>
      <c r="G921" s="26"/>
      <c r="H921" s="5"/>
    </row>
    <row r="922" spans="3:8" ht="14.25" customHeight="1">
      <c r="C922" s="245"/>
      <c r="D922" s="26"/>
      <c r="E922" s="26"/>
      <c r="F922" s="26"/>
      <c r="G922" s="26"/>
      <c r="H922" s="5"/>
    </row>
    <row r="923" spans="3:8" ht="14.25" customHeight="1">
      <c r="C923" s="245"/>
      <c r="D923" s="26"/>
      <c r="E923" s="26"/>
      <c r="F923" s="26"/>
      <c r="G923" s="26"/>
      <c r="H923" s="5"/>
    </row>
    <row r="924" spans="3:8" ht="14.25" customHeight="1">
      <c r="C924" s="245"/>
      <c r="D924" s="26"/>
      <c r="E924" s="26"/>
      <c r="F924" s="26"/>
      <c r="G924" s="26"/>
      <c r="H924" s="5"/>
    </row>
    <row r="925" spans="3:8" ht="14.25" customHeight="1">
      <c r="C925" s="245"/>
      <c r="D925" s="26"/>
      <c r="E925" s="26"/>
      <c r="F925" s="26"/>
      <c r="G925" s="26"/>
      <c r="H925" s="5"/>
    </row>
    <row r="926" spans="3:8" ht="14.25" customHeight="1">
      <c r="C926" s="245"/>
      <c r="D926" s="26"/>
      <c r="E926" s="26"/>
      <c r="F926" s="26"/>
      <c r="G926" s="26"/>
      <c r="H926" s="5"/>
    </row>
    <row r="927" spans="3:8" ht="14.25" customHeight="1">
      <c r="C927" s="245"/>
      <c r="D927" s="26"/>
      <c r="E927" s="26"/>
      <c r="F927" s="26"/>
      <c r="G927" s="26"/>
      <c r="H927" s="5"/>
    </row>
    <row r="928" spans="3:8" ht="14.25" customHeight="1">
      <c r="C928" s="245"/>
      <c r="D928" s="26"/>
      <c r="E928" s="26"/>
      <c r="F928" s="26"/>
      <c r="G928" s="26"/>
      <c r="H928" s="5"/>
    </row>
    <row r="929" spans="3:8" ht="14.25" customHeight="1">
      <c r="C929" s="245"/>
      <c r="D929" s="26"/>
      <c r="E929" s="26"/>
      <c r="F929" s="26"/>
      <c r="G929" s="26"/>
      <c r="H929" s="5"/>
    </row>
    <row r="930" spans="3:8" ht="14.25" customHeight="1">
      <c r="C930" s="245"/>
      <c r="D930" s="26"/>
      <c r="E930" s="26"/>
      <c r="F930" s="26"/>
      <c r="G930" s="26"/>
      <c r="H930" s="5"/>
    </row>
    <row r="931" spans="3:8" ht="14.25" customHeight="1">
      <c r="C931" s="245"/>
      <c r="D931" s="26"/>
      <c r="E931" s="26"/>
      <c r="F931" s="26"/>
      <c r="G931" s="26"/>
      <c r="H931" s="5"/>
    </row>
    <row r="932" spans="3:8" ht="14.25" customHeight="1">
      <c r="C932" s="245"/>
      <c r="D932" s="26"/>
      <c r="E932" s="26"/>
      <c r="F932" s="26"/>
      <c r="G932" s="26"/>
      <c r="H932" s="5"/>
    </row>
    <row r="933" spans="3:8" ht="14.25" customHeight="1">
      <c r="C933" s="245"/>
      <c r="D933" s="26"/>
      <c r="E933" s="26"/>
      <c r="F933" s="26"/>
      <c r="G933" s="26"/>
      <c r="H933" s="5"/>
    </row>
    <row r="934" spans="3:8" ht="14.25" customHeight="1">
      <c r="C934" s="245"/>
      <c r="D934" s="26"/>
      <c r="E934" s="26"/>
      <c r="F934" s="26"/>
      <c r="G934" s="26"/>
      <c r="H934" s="5"/>
    </row>
    <row r="935" spans="3:8" ht="14.25" customHeight="1">
      <c r="C935" s="245"/>
      <c r="D935" s="26"/>
      <c r="E935" s="26"/>
      <c r="F935" s="26"/>
      <c r="G935" s="26"/>
      <c r="H935" s="5"/>
    </row>
    <row r="936" spans="3:8" ht="14.25" customHeight="1">
      <c r="C936" s="245"/>
      <c r="D936" s="26"/>
      <c r="E936" s="26"/>
      <c r="F936" s="26"/>
      <c r="G936" s="26"/>
      <c r="H936" s="5"/>
    </row>
    <row r="937" spans="3:8" ht="14.25" customHeight="1">
      <c r="C937" s="245"/>
      <c r="D937" s="26"/>
      <c r="E937" s="26"/>
      <c r="F937" s="26"/>
      <c r="G937" s="26"/>
      <c r="H937" s="5"/>
    </row>
    <row r="938" spans="3:8" ht="14.25" customHeight="1">
      <c r="C938" s="245"/>
      <c r="D938" s="26"/>
      <c r="E938" s="26"/>
      <c r="F938" s="26"/>
      <c r="G938" s="26"/>
      <c r="H938" s="5"/>
    </row>
    <row r="939" spans="3:8" ht="14.25" customHeight="1">
      <c r="C939" s="245"/>
      <c r="D939" s="26"/>
      <c r="E939" s="26"/>
      <c r="F939" s="26"/>
      <c r="G939" s="26"/>
      <c r="H939" s="5"/>
    </row>
    <row r="940" spans="3:8" ht="14.25" customHeight="1">
      <c r="C940" s="245"/>
      <c r="D940" s="26"/>
      <c r="E940" s="26"/>
      <c r="F940" s="26"/>
      <c r="G940" s="26"/>
      <c r="H940" s="5"/>
    </row>
    <row r="941" spans="3:8" ht="14.25" customHeight="1">
      <c r="C941" s="245"/>
      <c r="D941" s="26"/>
      <c r="E941" s="26"/>
      <c r="F941" s="26"/>
      <c r="G941" s="26"/>
      <c r="H941" s="5"/>
    </row>
    <row r="942" spans="3:8" ht="14.25" customHeight="1">
      <c r="C942" s="245"/>
      <c r="D942" s="26"/>
      <c r="E942" s="26"/>
      <c r="F942" s="26"/>
      <c r="G942" s="26"/>
      <c r="H942" s="5"/>
    </row>
    <row r="943" spans="3:8" ht="14.25" customHeight="1">
      <c r="C943" s="245"/>
      <c r="D943" s="26"/>
      <c r="E943" s="26"/>
      <c r="F943" s="26"/>
      <c r="G943" s="26"/>
      <c r="H943" s="5"/>
    </row>
    <row r="944" spans="3:8" ht="14.25" customHeight="1">
      <c r="C944" s="245"/>
      <c r="D944" s="26"/>
      <c r="E944" s="26"/>
      <c r="F944" s="26"/>
      <c r="G944" s="26"/>
      <c r="H944" s="5"/>
    </row>
    <row r="945" spans="2:46" ht="14.25" customHeight="1">
      <c r="C945" s="245"/>
      <c r="D945" s="26"/>
      <c r="E945" s="26"/>
      <c r="F945" s="26"/>
      <c r="G945" s="26"/>
      <c r="H945" s="5"/>
    </row>
    <row r="946" spans="2:46" ht="14.25" customHeight="1">
      <c r="C946" s="245"/>
      <c r="D946" s="26"/>
      <c r="E946" s="26"/>
      <c r="F946" s="26"/>
      <c r="G946" s="26"/>
      <c r="H946" s="5"/>
    </row>
    <row r="947" spans="2:46" ht="14.25" customHeight="1">
      <c r="C947" s="245"/>
      <c r="D947" s="26"/>
      <c r="E947" s="26"/>
      <c r="F947" s="26"/>
      <c r="G947" s="26"/>
      <c r="H947" s="5"/>
    </row>
    <row r="948" spans="2:46" ht="14.25" customHeight="1">
      <c r="C948" s="245"/>
      <c r="D948" s="26"/>
      <c r="E948" s="26"/>
      <c r="F948" s="26"/>
      <c r="G948" s="26"/>
      <c r="H948" s="5"/>
    </row>
    <row r="949" spans="2:46" ht="14.25" customHeight="1">
      <c r="C949" s="245"/>
      <c r="D949" s="26"/>
      <c r="E949" s="26"/>
      <c r="F949" s="26"/>
      <c r="G949" s="26"/>
      <c r="H949" s="5"/>
    </row>
    <row r="950" spans="2:46" ht="14.25" customHeight="1">
      <c r="C950" s="245"/>
      <c r="D950" s="26"/>
      <c r="E950" s="26"/>
      <c r="F950" s="26"/>
      <c r="G950" s="26"/>
      <c r="H950" s="5"/>
    </row>
    <row r="951" spans="2:46" ht="14.25" customHeight="1">
      <c r="C951" s="245"/>
      <c r="D951" s="26"/>
      <c r="E951" s="26"/>
      <c r="F951" s="26"/>
      <c r="G951" s="26"/>
      <c r="H951" s="5"/>
    </row>
    <row r="952" spans="2:46" ht="14.25" customHeight="1">
      <c r="C952" s="245"/>
      <c r="D952" s="26"/>
      <c r="E952" s="26"/>
      <c r="F952" s="26"/>
      <c r="G952" s="26"/>
      <c r="H952" s="5"/>
    </row>
    <row r="953" spans="2:46" ht="14.25" customHeight="1">
      <c r="C953" s="245"/>
      <c r="D953" s="26"/>
      <c r="E953" s="26"/>
      <c r="F953" s="26"/>
      <c r="G953" s="26"/>
      <c r="H953" s="5"/>
    </row>
    <row r="954" spans="2:46" ht="14.25" customHeight="1">
      <c r="C954" s="245"/>
      <c r="D954" s="26"/>
      <c r="E954" s="26"/>
      <c r="F954" s="26"/>
      <c r="G954" s="26"/>
      <c r="H954" s="5"/>
    </row>
    <row r="955" spans="2:46" ht="14.25" customHeight="1">
      <c r="C955" s="245"/>
      <c r="D955" s="26"/>
      <c r="E955" s="26"/>
      <c r="F955" s="26"/>
      <c r="G955" s="26"/>
      <c r="H955" s="5"/>
    </row>
    <row r="956" spans="2:46" ht="14.25" customHeight="1">
      <c r="C956" s="245"/>
      <c r="D956" s="26"/>
      <c r="E956" s="26"/>
      <c r="F956" s="26"/>
      <c r="G956" s="26"/>
      <c r="H956" s="5"/>
    </row>
    <row r="957" spans="2:46" ht="14.25" customHeight="1">
      <c r="C957" s="245"/>
      <c r="D957" s="26"/>
      <c r="E957" s="26"/>
      <c r="F957" s="26"/>
      <c r="G957" s="26"/>
      <c r="H957" s="5"/>
    </row>
    <row r="958" spans="2:46" ht="14.25" customHeight="1">
      <c r="C958" s="245"/>
      <c r="D958" s="26"/>
      <c r="E958" s="26"/>
      <c r="F958" s="26"/>
      <c r="G958" s="26"/>
      <c r="H958" s="5"/>
    </row>
    <row r="959" spans="2:46" ht="14.25" customHeight="1">
      <c r="C959" s="245"/>
      <c r="D959" s="26"/>
      <c r="E959" s="26"/>
      <c r="F959" s="26"/>
      <c r="G959" s="26"/>
      <c r="H959" s="5"/>
    </row>
    <row r="960" spans="2:46" s="8" customFormat="1">
      <c r="B960" s="451" t="str">
        <f>TITLE!$C$21</f>
        <v>Полотна збірні: ЛАДА-НОВА</v>
      </c>
      <c r="C960" s="451"/>
      <c r="D960" s="118"/>
      <c r="E960" s="118"/>
      <c r="F960" s="118"/>
      <c r="G960" s="118"/>
      <c r="H960" s="455"/>
      <c r="I960" s="455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462" t="str">
        <f>IF($C$1="ENG",CONCATENATE("up to: ",B882),CONCATENATE("вгору до: ",B882))</f>
        <v>вгору до: Полотна збірні: ЛАДА-КОНЦЕПТ</v>
      </c>
      <c r="U960" s="462"/>
      <c r="V960" s="462"/>
      <c r="W960" s="462"/>
      <c r="AE960" s="289">
        <f>Z960/100*12+Z960</f>
        <v>0</v>
      </c>
      <c r="AF960" s="289" t="e">
        <f>AE960/Z960-1</f>
        <v>#DIV/0!</v>
      </c>
      <c r="AN960" s="280"/>
      <c r="AO960" s="280"/>
      <c r="AP960" s="280"/>
      <c r="AQ960" s="280"/>
      <c r="AR960" s="280"/>
      <c r="AS960" s="280"/>
      <c r="AT960" s="280"/>
    </row>
    <row r="961" spans="1:46" s="8" customFormat="1" ht="5.0999999999999996" customHeight="1">
      <c r="B961" s="117"/>
      <c r="C961" s="420"/>
      <c r="D961" s="9"/>
      <c r="E961" s="9"/>
      <c r="F961" s="9"/>
      <c r="G961" s="9"/>
      <c r="H961" s="120"/>
      <c r="I961" s="120"/>
      <c r="J961" s="1"/>
      <c r="K961" s="1"/>
      <c r="T961" s="115"/>
      <c r="U961" s="115"/>
      <c r="V961" s="115"/>
      <c r="W961" s="115"/>
      <c r="AN961" s="280"/>
      <c r="AO961" s="280"/>
      <c r="AP961" s="280"/>
      <c r="AQ961" s="280"/>
      <c r="AR961" s="280"/>
      <c r="AS961" s="280"/>
      <c r="AT961" s="280"/>
    </row>
    <row r="962" spans="1:46" s="8" customFormat="1" ht="12.75" customHeight="1">
      <c r="B962" s="452" t="str">
        <f>IF($C$1="ENG","model","модель")</f>
        <v>модель</v>
      </c>
      <c r="C962" s="122" t="str">
        <f>IF($C$1="ENG","cover:","покриття:")</f>
        <v>покриття:</v>
      </c>
      <c r="D962" s="458" t="str">
        <f>IF($C$1="ENG","Verto-CELL","Verto-CELL")</f>
        <v>Verto-CELL</v>
      </c>
      <c r="E962" s="459"/>
      <c r="F962" s="458" t="str">
        <f>IF($C$1="ENG","UNI-MAT","UNI-MAT")</f>
        <v>UNI-MAT</v>
      </c>
      <c r="G962" s="459"/>
      <c r="H962" s="458" t="str">
        <f>IF($C$1="ENG","RESIST","RESIST")</f>
        <v>RESIST</v>
      </c>
      <c r="I962" s="459"/>
      <c r="J962" s="458" t="str">
        <f>IF($C$1="ENG","Verto LINE-3D","Verto LINE-3D")</f>
        <v>Verto LINE-3D</v>
      </c>
      <c r="K962" s="459"/>
      <c r="L962" s="458" t="str">
        <f>IF($C$1="ENG","ECO Shpon","ЕКО Шпон")</f>
        <v>ЕКО Шпон</v>
      </c>
      <c r="M962" s="459"/>
      <c r="P962" s="104"/>
      <c r="Q962" s="104"/>
      <c r="T962" s="115"/>
      <c r="U962" s="115"/>
      <c r="V962" s="115"/>
      <c r="W962" s="115"/>
      <c r="AN962" s="280"/>
      <c r="AO962" s="280"/>
      <c r="AP962" s="280"/>
      <c r="AQ962" s="280"/>
      <c r="AR962" s="280"/>
      <c r="AS962" s="280"/>
      <c r="AT962" s="280"/>
    </row>
    <row r="963" spans="1:46" s="8" customFormat="1" ht="27.75" customHeight="1">
      <c r="B963" s="453"/>
      <c r="C963" s="123" t="str">
        <f>IF($C$1="ENG","filling:","заповнення:")</f>
        <v>заповнення:</v>
      </c>
      <c r="D963" s="460" t="str">
        <f>IF($C$1="ENG","softwood","клеєний сосновий брус")</f>
        <v>клеєний сосновий брус</v>
      </c>
      <c r="E963" s="461"/>
      <c r="F963" s="460" t="str">
        <f>IF($C$1="ENG","softwood","клеєний сосновий брус")</f>
        <v>клеєний сосновий брус</v>
      </c>
      <c r="G963" s="461"/>
      <c r="H963" s="460" t="str">
        <f>IF($C$1="ENG","softwood","клеєний сосновий брус")</f>
        <v>клеєний сосновий брус</v>
      </c>
      <c r="I963" s="461"/>
      <c r="J963" s="460" t="str">
        <f>IF($C$1="ENG","softwood","клеєний сосновий брус")</f>
        <v>клеєний сосновий брус</v>
      </c>
      <c r="K963" s="461"/>
      <c r="L963" s="460" t="str">
        <f>IF($C$1="ENG","softwood","клеєний сосновий брус")</f>
        <v>клеєний сосновий брус</v>
      </c>
      <c r="M963" s="461"/>
      <c r="N963" s="11"/>
      <c r="O963" s="11"/>
      <c r="P963" s="104"/>
      <c r="Q963" s="104"/>
      <c r="R963" s="11"/>
      <c r="S963" s="11"/>
      <c r="T963" s="11"/>
      <c r="U963" s="115"/>
      <c r="V963" s="115"/>
      <c r="W963" s="115"/>
      <c r="AD963" s="383">
        <f>AD965/AC965-1</f>
        <v>0.11081441922563418</v>
      </c>
      <c r="AE963" s="383">
        <f>AE965/AD965-1</f>
        <v>3.9663461538461453E-2</v>
      </c>
      <c r="AF963" s="383">
        <f>AF965/AE965-1</f>
        <v>9.0173410404624343E-2</v>
      </c>
      <c r="AG963" s="383">
        <f>AG965/AF965-1</f>
        <v>4.9840933191940717E-2</v>
      </c>
      <c r="AN963" s="280"/>
      <c r="AO963" s="280"/>
      <c r="AP963" s="280"/>
      <c r="AQ963" s="280"/>
      <c r="AR963" s="280"/>
      <c r="AS963" s="280"/>
      <c r="AT963" s="280"/>
    </row>
    <row r="964" spans="1:46" ht="12.75" customHeight="1">
      <c r="A964" s="8"/>
      <c r="B964" s="454"/>
      <c r="C964" s="124" t="str">
        <f>IF($C$1="ENG","glazing:","скління:")</f>
        <v>скління:</v>
      </c>
      <c r="D964" s="449" t="str">
        <f>IF($C$1="ENG","Satin","Сатин")</f>
        <v>Сатин</v>
      </c>
      <c r="E964" s="450"/>
      <c r="F964" s="449" t="str">
        <f>IF($C$1="ENG","Satin","Сатин")</f>
        <v>Сатин</v>
      </c>
      <c r="G964" s="450"/>
      <c r="H964" s="449" t="str">
        <f>IF($C$1="ENG","Satin","Сатин")</f>
        <v>Сатин</v>
      </c>
      <c r="I964" s="450"/>
      <c r="J964" s="449" t="str">
        <f>IF($C$1="ENG","Satin","Сатин")</f>
        <v>Сатин</v>
      </c>
      <c r="K964" s="450"/>
      <c r="L964" s="449" t="str">
        <f>IF($C$1="ENG","Satin","Сатин")</f>
        <v>Сатин</v>
      </c>
      <c r="M964" s="450"/>
      <c r="N964" s="11"/>
      <c r="O964" s="11"/>
      <c r="P964" s="104"/>
      <c r="Q964" s="104"/>
      <c r="R964" s="11"/>
      <c r="S964" s="11"/>
      <c r="T964" s="11"/>
    </row>
    <row r="965" spans="1:46" ht="35.1" customHeight="1">
      <c r="A965" s="8"/>
      <c r="B965" s="13" t="s">
        <v>13</v>
      </c>
      <c r="C965" s="14"/>
      <c r="D965" s="15">
        <f t="shared" ref="D965:D970" si="131">IF(AC965="","",(1-$W$2)*(AC965/1.2))</f>
        <v>6241.666666666667</v>
      </c>
      <c r="E965" s="64">
        <f t="shared" ref="E965:E970" si="132">IF($W$5=0.2,D965*1.2,D965)/$W$4</f>
        <v>7490</v>
      </c>
      <c r="F965" s="15">
        <f t="shared" ref="F965:F970" si="133">IF(AD965="","",(1-$W$2)*(AD965/1.2))</f>
        <v>6933.3333333333339</v>
      </c>
      <c r="G965" s="64">
        <f t="shared" ref="G965:G970" si="134">IF($W$5=0.2,F965*1.2,F965)/$W$4</f>
        <v>8320</v>
      </c>
      <c r="H965" s="15">
        <f t="shared" ref="H965:H970" si="135">IF(AE965="","",(1-$W$2)*(AE965/1.2))</f>
        <v>7208.3333333333339</v>
      </c>
      <c r="I965" s="64">
        <f t="shared" ref="I965:I970" si="136">IF($W$5=0.2,H965*1.2,H965)/$W$4</f>
        <v>8650</v>
      </c>
      <c r="J965" s="15">
        <f t="shared" ref="J965:J970" si="137">IF(AF965="","",(1-$W$2)*(AF965/1.2))</f>
        <v>7858.3333333333339</v>
      </c>
      <c r="K965" s="64">
        <f t="shared" ref="K965:K970" si="138">IF($W$5=0.2,J965*1.2,J965)/$W$4</f>
        <v>9430</v>
      </c>
      <c r="L965" s="15">
        <f t="shared" ref="L965:L970" si="139">IF(AG965="","",(1-$W$2)*(AG965/1.2))</f>
        <v>8250</v>
      </c>
      <c r="M965" s="64">
        <f t="shared" ref="M965:M970" si="140">IF($W$5=0.2,L965*1.2,L965)/$W$4</f>
        <v>9900</v>
      </c>
      <c r="N965" s="104"/>
      <c r="O965" s="20"/>
      <c r="P965" s="104"/>
      <c r="Q965" s="104"/>
      <c r="R965" s="104"/>
      <c r="S965" s="20"/>
      <c r="T965" s="104"/>
      <c r="U965" s="20"/>
      <c r="V965" s="104"/>
      <c r="W965" s="20"/>
      <c r="X965" s="22"/>
      <c r="Y965" s="22"/>
      <c r="Z965" s="22"/>
      <c r="AA965" s="22"/>
      <c r="AB965" s="22"/>
      <c r="AC965" s="332">
        <v>7490</v>
      </c>
      <c r="AD965" s="391">
        <v>8320</v>
      </c>
      <c r="AE965" s="332">
        <v>8650</v>
      </c>
      <c r="AF965" s="332">
        <v>9430</v>
      </c>
      <c r="AG965" s="332">
        <v>9900</v>
      </c>
      <c r="AH965" s="289">
        <v>7490</v>
      </c>
      <c r="AI965" s="289">
        <f>AH965/AC965-1</f>
        <v>0</v>
      </c>
      <c r="AJ965" s="289">
        <v>8320</v>
      </c>
      <c r="AK965" s="289">
        <f>AJ965/AD965-1</f>
        <v>0</v>
      </c>
      <c r="AL965" s="289">
        <v>8650</v>
      </c>
      <c r="AM965" s="289">
        <f>AL965/AE965-1</f>
        <v>0</v>
      </c>
      <c r="AN965" s="289">
        <v>9430</v>
      </c>
      <c r="AO965" s="289">
        <f>AN965/AF965-1</f>
        <v>0</v>
      </c>
      <c r="AP965" s="289">
        <v>9900</v>
      </c>
      <c r="AQ965" s="289">
        <f>AP965/AG965-1</f>
        <v>0</v>
      </c>
    </row>
    <row r="966" spans="1:46" ht="35.1" customHeight="1">
      <c r="A966" s="8"/>
      <c r="B966" s="16" t="s">
        <v>34</v>
      </c>
      <c r="C966" s="17"/>
      <c r="D966" s="18">
        <f t="shared" si="131"/>
        <v>4775</v>
      </c>
      <c r="E966" s="66">
        <f t="shared" si="132"/>
        <v>5730</v>
      </c>
      <c r="F966" s="18">
        <f t="shared" si="133"/>
        <v>5300</v>
      </c>
      <c r="G966" s="66">
        <f>IF($W$5=0.2,F966*1.2,F966)/$W$4</f>
        <v>6360</v>
      </c>
      <c r="H966" s="18">
        <f t="shared" si="135"/>
        <v>5600</v>
      </c>
      <c r="I966" s="66">
        <f t="shared" si="136"/>
        <v>6720</v>
      </c>
      <c r="J966" s="18">
        <f t="shared" si="137"/>
        <v>6008.3333333333339</v>
      </c>
      <c r="K966" s="66">
        <f t="shared" si="138"/>
        <v>7210.0000000000009</v>
      </c>
      <c r="L966" s="18">
        <f t="shared" si="139"/>
        <v>6283.3333333333339</v>
      </c>
      <c r="M966" s="66">
        <f t="shared" si="140"/>
        <v>7540</v>
      </c>
      <c r="N966" s="104"/>
      <c r="O966" s="20"/>
      <c r="P966" s="104"/>
      <c r="Q966" s="104"/>
      <c r="R966" s="104"/>
      <c r="S966" s="20"/>
      <c r="T966" s="104"/>
      <c r="U966" s="20"/>
      <c r="V966" s="104"/>
      <c r="W966" s="20"/>
      <c r="X966" s="22"/>
      <c r="Y966" s="22"/>
      <c r="Z966" s="22"/>
      <c r="AA966" s="22"/>
      <c r="AB966" s="22"/>
      <c r="AC966" s="332">
        <v>5730</v>
      </c>
      <c r="AD966" s="391">
        <v>6360</v>
      </c>
      <c r="AE966" s="332">
        <v>6720</v>
      </c>
      <c r="AF966" s="332">
        <v>7210</v>
      </c>
      <c r="AG966" s="332">
        <v>7540</v>
      </c>
      <c r="AH966" s="289">
        <v>5730</v>
      </c>
      <c r="AI966" s="289">
        <f t="shared" ref="AI966:AI970" si="141">AH966/AC966-1</f>
        <v>0</v>
      </c>
      <c r="AJ966" s="289">
        <v>6360</v>
      </c>
      <c r="AK966" s="289">
        <f t="shared" ref="AK966:AK970" si="142">AJ966/AD966-1</f>
        <v>0</v>
      </c>
      <c r="AL966" s="289">
        <v>6720</v>
      </c>
      <c r="AM966" s="289">
        <f t="shared" ref="AM966:AM970" si="143">AL966/AE966-1</f>
        <v>0</v>
      </c>
      <c r="AN966" s="289">
        <v>7210</v>
      </c>
      <c r="AO966" s="289">
        <f t="shared" ref="AO966:AO970" si="144">AN966/AF966-1</f>
        <v>0</v>
      </c>
      <c r="AP966" s="289">
        <v>7540</v>
      </c>
      <c r="AQ966" s="289">
        <f t="shared" ref="AQ966:AQ970" si="145">AP966/AG966-1</f>
        <v>0</v>
      </c>
    </row>
    <row r="967" spans="1:46" ht="35.1" customHeight="1">
      <c r="A967" s="8"/>
      <c r="B967" s="16" t="s">
        <v>35</v>
      </c>
      <c r="C967" s="17"/>
      <c r="D967" s="18">
        <f t="shared" si="131"/>
        <v>5541.666666666667</v>
      </c>
      <c r="E967" s="66">
        <f t="shared" si="132"/>
        <v>6650</v>
      </c>
      <c r="F967" s="18">
        <f t="shared" si="133"/>
        <v>6150</v>
      </c>
      <c r="G967" s="66">
        <f t="shared" si="134"/>
        <v>7380</v>
      </c>
      <c r="H967" s="18">
        <f t="shared" si="135"/>
        <v>6483.3333333333339</v>
      </c>
      <c r="I967" s="66">
        <f t="shared" si="136"/>
        <v>7780</v>
      </c>
      <c r="J967" s="18">
        <f t="shared" si="137"/>
        <v>7125</v>
      </c>
      <c r="K967" s="66">
        <f t="shared" si="138"/>
        <v>8550</v>
      </c>
      <c r="L967" s="18">
        <f t="shared" si="139"/>
        <v>7466.666666666667</v>
      </c>
      <c r="M967" s="66">
        <f t="shared" si="140"/>
        <v>8960</v>
      </c>
      <c r="N967" s="104"/>
      <c r="O967" s="20"/>
      <c r="P967" s="104"/>
      <c r="Q967" s="104"/>
      <c r="R967" s="104"/>
      <c r="S967" s="20"/>
      <c r="T967" s="104"/>
      <c r="U967" s="20"/>
      <c r="V967" s="104"/>
      <c r="W967" s="20"/>
      <c r="X967" s="22"/>
      <c r="Y967" s="22"/>
      <c r="Z967" s="22"/>
      <c r="AA967" s="22"/>
      <c r="AB967" s="22"/>
      <c r="AC967" s="332">
        <v>6650</v>
      </c>
      <c r="AD967" s="391">
        <v>7380</v>
      </c>
      <c r="AE967" s="332">
        <v>7780</v>
      </c>
      <c r="AF967" s="332">
        <v>8550</v>
      </c>
      <c r="AG967" s="332">
        <v>8960</v>
      </c>
      <c r="AH967" s="289">
        <v>6650</v>
      </c>
      <c r="AI967" s="289">
        <f t="shared" si="141"/>
        <v>0</v>
      </c>
      <c r="AJ967" s="289">
        <v>7380</v>
      </c>
      <c r="AK967" s="289">
        <f t="shared" si="142"/>
        <v>0</v>
      </c>
      <c r="AL967" s="289">
        <v>7780</v>
      </c>
      <c r="AM967" s="289">
        <f t="shared" si="143"/>
        <v>0</v>
      </c>
      <c r="AN967" s="289">
        <v>8550</v>
      </c>
      <c r="AO967" s="289">
        <f t="shared" si="144"/>
        <v>0</v>
      </c>
      <c r="AP967" s="289">
        <v>8960</v>
      </c>
      <c r="AQ967" s="289">
        <f t="shared" si="145"/>
        <v>0</v>
      </c>
    </row>
    <row r="968" spans="1:46" ht="35.1" customHeight="1">
      <c r="A968" s="8"/>
      <c r="B968" s="16" t="s">
        <v>7</v>
      </c>
      <c r="C968" s="17"/>
      <c r="D968" s="18">
        <f t="shared" si="131"/>
        <v>6075</v>
      </c>
      <c r="E968" s="66">
        <f t="shared" si="132"/>
        <v>7290</v>
      </c>
      <c r="F968" s="18">
        <f t="shared" si="133"/>
        <v>6750</v>
      </c>
      <c r="G968" s="66">
        <f t="shared" si="134"/>
        <v>8100</v>
      </c>
      <c r="H968" s="18">
        <f t="shared" si="135"/>
        <v>7183.3333333333339</v>
      </c>
      <c r="I968" s="66">
        <f t="shared" si="136"/>
        <v>8620</v>
      </c>
      <c r="J968" s="18">
        <f t="shared" si="137"/>
        <v>7908.3333333333339</v>
      </c>
      <c r="K968" s="66">
        <f t="shared" si="138"/>
        <v>9490</v>
      </c>
      <c r="L968" s="18">
        <f t="shared" si="139"/>
        <v>8366.6666666666679</v>
      </c>
      <c r="M968" s="66">
        <f t="shared" si="140"/>
        <v>10040.000000000002</v>
      </c>
      <c r="N968" s="104"/>
      <c r="O968" s="20"/>
      <c r="P968" s="104"/>
      <c r="Q968" s="104"/>
      <c r="R968" s="104"/>
      <c r="S968" s="20"/>
      <c r="T968" s="104"/>
      <c r="U968" s="20"/>
      <c r="V968" s="104"/>
      <c r="W968" s="20"/>
      <c r="X968" s="22"/>
      <c r="Y968" s="22"/>
      <c r="Z968" s="22"/>
      <c r="AA968" s="22"/>
      <c r="AB968" s="22"/>
      <c r="AC968" s="332">
        <v>7290</v>
      </c>
      <c r="AD968" s="391">
        <v>8100</v>
      </c>
      <c r="AE968" s="332">
        <v>8620</v>
      </c>
      <c r="AF968" s="332">
        <v>9490</v>
      </c>
      <c r="AG968" s="332">
        <v>10040</v>
      </c>
      <c r="AH968" s="289">
        <v>7290</v>
      </c>
      <c r="AI968" s="289">
        <f t="shared" si="141"/>
        <v>0</v>
      </c>
      <c r="AJ968" s="289">
        <v>8100</v>
      </c>
      <c r="AK968" s="289">
        <f t="shared" si="142"/>
        <v>0</v>
      </c>
      <c r="AL968" s="289">
        <v>8620</v>
      </c>
      <c r="AM968" s="289">
        <f t="shared" si="143"/>
        <v>0</v>
      </c>
      <c r="AN968" s="289">
        <v>9490</v>
      </c>
      <c r="AO968" s="289">
        <f t="shared" si="144"/>
        <v>0</v>
      </c>
      <c r="AP968" s="289">
        <v>10040</v>
      </c>
      <c r="AQ968" s="289">
        <f t="shared" si="145"/>
        <v>0</v>
      </c>
    </row>
    <row r="969" spans="1:46" ht="35.1" customHeight="1">
      <c r="A969" s="8"/>
      <c r="B969" s="16" t="s">
        <v>11</v>
      </c>
      <c r="C969" s="17"/>
      <c r="D969" s="18">
        <f t="shared" si="131"/>
        <v>5541.666666666667</v>
      </c>
      <c r="E969" s="66">
        <f t="shared" si="132"/>
        <v>6650</v>
      </c>
      <c r="F969" s="18">
        <f t="shared" si="133"/>
        <v>6150</v>
      </c>
      <c r="G969" s="66">
        <f t="shared" si="134"/>
        <v>7380</v>
      </c>
      <c r="H969" s="18">
        <f t="shared" si="135"/>
        <v>6500</v>
      </c>
      <c r="I969" s="66">
        <f t="shared" si="136"/>
        <v>7800</v>
      </c>
      <c r="J969" s="18">
        <f t="shared" si="137"/>
        <v>7125</v>
      </c>
      <c r="K969" s="66">
        <f t="shared" si="138"/>
        <v>8550</v>
      </c>
      <c r="L969" s="18">
        <f t="shared" si="139"/>
        <v>7466.666666666667</v>
      </c>
      <c r="M969" s="66">
        <f t="shared" si="140"/>
        <v>8960</v>
      </c>
      <c r="N969" s="104"/>
      <c r="O969" s="20"/>
      <c r="P969" s="104"/>
      <c r="Q969" s="104"/>
      <c r="R969" s="104"/>
      <c r="S969" s="20"/>
      <c r="T969" s="104"/>
      <c r="U969" s="20"/>
      <c r="V969" s="104"/>
      <c r="W969" s="20"/>
      <c r="X969" s="22"/>
      <c r="Y969" s="22"/>
      <c r="Z969" s="22"/>
      <c r="AA969" s="22"/>
      <c r="AB969" s="22"/>
      <c r="AC969" s="332">
        <v>6650</v>
      </c>
      <c r="AD969" s="391">
        <v>7380</v>
      </c>
      <c r="AE969" s="332">
        <v>7800</v>
      </c>
      <c r="AF969" s="332">
        <v>8550</v>
      </c>
      <c r="AG969" s="332">
        <v>8960</v>
      </c>
      <c r="AH969" s="289">
        <v>6650</v>
      </c>
      <c r="AI969" s="289">
        <f t="shared" si="141"/>
        <v>0</v>
      </c>
      <c r="AJ969" s="289">
        <v>7380</v>
      </c>
      <c r="AK969" s="289">
        <f t="shared" si="142"/>
        <v>0</v>
      </c>
      <c r="AL969" s="289">
        <v>7780</v>
      </c>
      <c r="AM969" s="289">
        <f t="shared" si="143"/>
        <v>-2.564102564102555E-3</v>
      </c>
      <c r="AN969" s="289">
        <v>8550</v>
      </c>
      <c r="AO969" s="289">
        <f t="shared" si="144"/>
        <v>0</v>
      </c>
      <c r="AP969" s="289">
        <v>8960</v>
      </c>
      <c r="AQ969" s="289">
        <f t="shared" si="145"/>
        <v>0</v>
      </c>
    </row>
    <row r="970" spans="1:46" ht="35.1" customHeight="1">
      <c r="A970" s="8"/>
      <c r="B970" s="23" t="s">
        <v>12</v>
      </c>
      <c r="C970" s="24"/>
      <c r="D970" s="25">
        <f t="shared" si="131"/>
        <v>5541.666666666667</v>
      </c>
      <c r="E970" s="69">
        <f t="shared" si="132"/>
        <v>6650</v>
      </c>
      <c r="F970" s="25">
        <f t="shared" si="133"/>
        <v>6150</v>
      </c>
      <c r="G970" s="69">
        <f t="shared" si="134"/>
        <v>7380</v>
      </c>
      <c r="H970" s="25">
        <f t="shared" si="135"/>
        <v>6500</v>
      </c>
      <c r="I970" s="69">
        <f t="shared" si="136"/>
        <v>7800</v>
      </c>
      <c r="J970" s="25">
        <f t="shared" si="137"/>
        <v>7125</v>
      </c>
      <c r="K970" s="69">
        <f t="shared" si="138"/>
        <v>8550</v>
      </c>
      <c r="L970" s="25">
        <f t="shared" si="139"/>
        <v>7466.666666666667</v>
      </c>
      <c r="M970" s="69">
        <f t="shared" si="140"/>
        <v>8960</v>
      </c>
      <c r="N970" s="104"/>
      <c r="O970" s="20"/>
      <c r="P970" s="104"/>
      <c r="Q970" s="104"/>
      <c r="R970" s="104"/>
      <c r="S970" s="20"/>
      <c r="T970" s="104"/>
      <c r="U970" s="20"/>
      <c r="V970" s="104"/>
      <c r="W970" s="20"/>
      <c r="X970" s="22"/>
      <c r="Y970" s="22"/>
      <c r="Z970" s="22"/>
      <c r="AA970" s="22"/>
      <c r="AB970" s="22"/>
      <c r="AC970" s="332">
        <v>6650</v>
      </c>
      <c r="AD970" s="391">
        <v>7380</v>
      </c>
      <c r="AE970" s="332">
        <v>7800</v>
      </c>
      <c r="AF970" s="332">
        <v>8550</v>
      </c>
      <c r="AG970" s="332">
        <v>8960</v>
      </c>
      <c r="AH970" s="289">
        <v>6650</v>
      </c>
      <c r="AI970" s="289">
        <f t="shared" si="141"/>
        <v>0</v>
      </c>
      <c r="AJ970" s="289">
        <v>7380</v>
      </c>
      <c r="AK970" s="289">
        <f t="shared" si="142"/>
        <v>0</v>
      </c>
      <c r="AL970" s="289">
        <v>7800</v>
      </c>
      <c r="AM970" s="289">
        <f t="shared" si="143"/>
        <v>0</v>
      </c>
      <c r="AN970" s="289">
        <v>8550</v>
      </c>
      <c r="AO970" s="289">
        <f t="shared" si="144"/>
        <v>0</v>
      </c>
      <c r="AP970" s="289">
        <v>8960</v>
      </c>
      <c r="AQ970" s="289">
        <f t="shared" si="145"/>
        <v>0</v>
      </c>
    </row>
    <row r="971" spans="1:46">
      <c r="C971" s="245"/>
      <c r="D971" s="26"/>
      <c r="E971" s="57"/>
      <c r="F971" s="26"/>
      <c r="G971" s="57"/>
      <c r="H971" s="5"/>
      <c r="P971" s="104"/>
      <c r="Q971" s="104"/>
      <c r="AN971" s="310"/>
    </row>
    <row r="972" spans="1:46">
      <c r="B972" s="212" t="str">
        <f>IF($C$1="ENG","For additonal charge:","Послуги за додаткову плату:")</f>
        <v>Послуги за додаткову плату:</v>
      </c>
      <c r="C972" s="421"/>
      <c r="D972" s="213"/>
      <c r="E972" s="214"/>
      <c r="F972" s="26"/>
      <c r="G972" s="57"/>
      <c r="H972" s="10"/>
      <c r="I972" s="8"/>
      <c r="J972" s="8"/>
      <c r="K972" s="8"/>
      <c r="P972" s="104"/>
      <c r="Q972" s="104"/>
    </row>
    <row r="973" spans="1:46" ht="5.0999999999999996" customHeight="1">
      <c r="B973" s="27"/>
      <c r="C973" s="245"/>
      <c r="D973" s="26"/>
      <c r="E973" s="57"/>
      <c r="F973" s="26"/>
      <c r="G973" s="26"/>
      <c r="H973" s="10"/>
      <c r="I973" s="8"/>
      <c r="J973" s="8"/>
      <c r="K973" s="8"/>
    </row>
    <row r="974" spans="1:46">
      <c r="B974" s="447" t="str">
        <f>IF($C$1="ENG","door leaf with width 100","полотно розміром 100")</f>
        <v>полотно розміром 100</v>
      </c>
      <c r="C974" s="448"/>
      <c r="D974" s="410">
        <f t="shared" ref="D974:D987" si="146">IF(AC974="","",(1-$W$2)*(AC974/1.2))</f>
        <v>600</v>
      </c>
      <c r="E974" s="92">
        <f t="shared" ref="E974:E986" si="147">IF($W$5=0.2,D974*1.2,D974)/$W$4</f>
        <v>720</v>
      </c>
      <c r="F974" s="26"/>
      <c r="G974" s="26"/>
      <c r="H974" s="10"/>
      <c r="I974" s="8"/>
      <c r="J974" s="8"/>
      <c r="K974" s="8"/>
      <c r="AC974" s="289">
        <v>720</v>
      </c>
      <c r="AD974" s="289">
        <v>720</v>
      </c>
      <c r="AE974" s="289"/>
      <c r="AF974" s="289"/>
      <c r="AG974" s="289"/>
      <c r="AH974" s="289"/>
      <c r="AI974" s="289"/>
      <c r="AJ974" s="289"/>
      <c r="AK974" s="289"/>
      <c r="AL974" s="289"/>
    </row>
    <row r="975" spans="1:46">
      <c r="B975" s="445" t="str">
        <f>IF($C$1="ENG","Ventilation sleeves (1 row)","вентиляційні віддушини (1ряд)")</f>
        <v>вентиляційні віддушини (1ряд)</v>
      </c>
      <c r="C975" s="446"/>
      <c r="D975" s="405">
        <f t="shared" si="146"/>
        <v>208.33333333333334</v>
      </c>
      <c r="E975" s="93">
        <f t="shared" si="147"/>
        <v>250</v>
      </c>
      <c r="F975" s="26"/>
      <c r="G975" s="26"/>
      <c r="I975" s="11"/>
      <c r="J975" s="11"/>
      <c r="K975" s="11"/>
      <c r="AC975" s="289">
        <v>250</v>
      </c>
      <c r="AD975" s="289">
        <v>250</v>
      </c>
      <c r="AE975" s="289"/>
      <c r="AF975" s="289"/>
      <c r="AG975" s="289"/>
      <c r="AH975" s="289"/>
      <c r="AI975" s="289"/>
      <c r="AJ975" s="289"/>
      <c r="AK975" s="289"/>
      <c r="AL975" s="289"/>
    </row>
    <row r="976" spans="1:46">
      <c r="B976" s="447" t="str">
        <f>IF($C$1="ENG","Ventilation cut","вентиляційний підріз")</f>
        <v>вентиляційний підріз</v>
      </c>
      <c r="C976" s="448"/>
      <c r="D976" s="405">
        <f t="shared" si="146"/>
        <v>141.66666666666669</v>
      </c>
      <c r="E976" s="66">
        <f t="shared" si="147"/>
        <v>170.00000000000003</v>
      </c>
      <c r="F976" s="26"/>
      <c r="G976" s="26"/>
      <c r="I976" s="59"/>
      <c r="J976" s="28"/>
      <c r="AC976" s="289">
        <v>170</v>
      </c>
      <c r="AD976" s="289">
        <v>170</v>
      </c>
      <c r="AE976" s="289"/>
      <c r="AF976" s="289"/>
      <c r="AG976" s="289"/>
      <c r="AH976" s="289"/>
      <c r="AI976" s="289"/>
      <c r="AJ976" s="289"/>
      <c r="AK976" s="289"/>
      <c r="AL976" s="289"/>
    </row>
    <row r="977" spans="2:38">
      <c r="B977" s="445" t="str">
        <f>IF($C$1="ENG","glazing Graphite / Bronze","скло Графіт / Бронза")</f>
        <v>скло Графіт / Бронза</v>
      </c>
      <c r="C977" s="446"/>
      <c r="D977" s="407">
        <f t="shared" si="146"/>
        <v>458.33333333333337</v>
      </c>
      <c r="E977" s="93">
        <f t="shared" si="147"/>
        <v>550</v>
      </c>
      <c r="F977" s="26"/>
      <c r="G977" s="26"/>
      <c r="H977" s="5"/>
      <c r="AC977" s="289">
        <v>550</v>
      </c>
      <c r="AD977" s="289">
        <v>550</v>
      </c>
      <c r="AE977" s="289"/>
      <c r="AF977" s="289"/>
      <c r="AG977" s="289"/>
      <c r="AH977" s="289"/>
      <c r="AI977" s="289"/>
      <c r="AJ977" s="289"/>
      <c r="AK977" s="289"/>
      <c r="AL977" s="289"/>
    </row>
    <row r="978" spans="2:38">
      <c r="B978" s="445" t="str">
        <f>IF($C$1="ENG","glazing Lacobel black ","скло Lacobel чорне")</f>
        <v>скло Lacobel чорне</v>
      </c>
      <c r="C978" s="446"/>
      <c r="D978" s="407">
        <f t="shared" si="146"/>
        <v>458.33333333333337</v>
      </c>
      <c r="E978" s="93">
        <f>IF($W$5=0.2,D978*1.2,D978)/$W$4</f>
        <v>550</v>
      </c>
      <c r="F978" s="26"/>
      <c r="G978" s="26"/>
      <c r="H978" s="5"/>
      <c r="AC978" s="298">
        <v>550</v>
      </c>
      <c r="AD978" s="298">
        <v>550</v>
      </c>
      <c r="AE978" s="289"/>
      <c r="AF978" s="289"/>
      <c r="AG978" s="289"/>
      <c r="AH978" s="289"/>
      <c r="AI978" s="289"/>
      <c r="AJ978" s="289"/>
      <c r="AK978" s="289"/>
      <c r="AL978" s="289"/>
    </row>
    <row r="979" spans="2:38">
      <c r="B979" s="445" t="str">
        <f>IF($C$1="ENG","door lock Soft","замок Soft")</f>
        <v>замок Soft</v>
      </c>
      <c r="C979" s="446"/>
      <c r="D979" s="407">
        <f t="shared" si="146"/>
        <v>458.33333333333337</v>
      </c>
      <c r="E979" s="93">
        <f t="shared" si="147"/>
        <v>550</v>
      </c>
      <c r="F979" s="26"/>
      <c r="G979" s="26"/>
      <c r="H979" s="5"/>
      <c r="AC979" s="289">
        <v>550</v>
      </c>
      <c r="AD979" s="289">
        <v>550</v>
      </c>
      <c r="AE979" s="289"/>
      <c r="AF979" s="289"/>
      <c r="AG979" s="289"/>
      <c r="AH979" s="289"/>
      <c r="AI979" s="289"/>
      <c r="AJ979" s="289"/>
      <c r="AK979" s="289"/>
      <c r="AL979" s="289"/>
    </row>
    <row r="980" spans="2:38">
      <c r="B980" s="445" t="str">
        <f>IF($C$1="ENG","door lock Soft black","замок Soft чорн.")</f>
        <v>замок Soft чорн.</v>
      </c>
      <c r="C980" s="446"/>
      <c r="D980" s="407">
        <f t="shared" ref="D980" si="148">IF(AC980="","",(1-$W$2)*(AC980/1.2))</f>
        <v>566.66666666666674</v>
      </c>
      <c r="E980" s="93">
        <f t="shared" ref="E980" si="149">IF($W$5=0.2,D980*1.2,D980)/$W$4</f>
        <v>680.00000000000011</v>
      </c>
      <c r="F980" s="26"/>
      <c r="G980" s="26"/>
      <c r="H980" s="5"/>
      <c r="AC980" s="289">
        <v>680</v>
      </c>
      <c r="AD980" s="289"/>
      <c r="AE980" s="289"/>
      <c r="AF980" s="289"/>
      <c r="AG980" s="289"/>
      <c r="AH980" s="289"/>
      <c r="AI980" s="289"/>
      <c r="AJ980" s="289"/>
      <c r="AK980" s="289"/>
      <c r="AL980" s="289"/>
    </row>
    <row r="981" spans="2:38">
      <c r="B981" s="445" t="str">
        <f>IF($C$1="ENG","door lock Magnet","замок Magnet")</f>
        <v>замок Magnet</v>
      </c>
      <c r="C981" s="446"/>
      <c r="D981" s="407">
        <f t="shared" si="146"/>
        <v>666.66666666666674</v>
      </c>
      <c r="E981" s="93">
        <f t="shared" si="147"/>
        <v>800.00000000000011</v>
      </c>
      <c r="F981" s="26"/>
      <c r="G981" s="26"/>
      <c r="H981" s="5"/>
      <c r="AC981" s="289">
        <v>800</v>
      </c>
      <c r="AD981" s="289">
        <v>800</v>
      </c>
      <c r="AE981" s="289"/>
      <c r="AF981" s="289"/>
      <c r="AG981" s="289"/>
      <c r="AH981" s="289"/>
      <c r="AI981" s="289"/>
      <c r="AJ981" s="289"/>
      <c r="AK981" s="289"/>
      <c r="AL981" s="289"/>
    </row>
    <row r="982" spans="2:38">
      <c r="B982" s="445" t="s">
        <v>76</v>
      </c>
      <c r="C982" s="445"/>
      <c r="D982" s="407">
        <f t="shared" ref="D982" si="150">IF(AC982="","",(1-$W$2)*(AC982/1.2))</f>
        <v>833.33333333333337</v>
      </c>
      <c r="E982" s="93">
        <f t="shared" ref="E982" si="151">IF($W$5=0.2,D982*1.2,D982)/$W$4</f>
        <v>1000</v>
      </c>
      <c r="F982" s="26"/>
      <c r="G982" s="26"/>
      <c r="H982" s="5"/>
      <c r="AC982" s="289">
        <v>1000</v>
      </c>
      <c r="AD982" s="289"/>
      <c r="AE982" s="289"/>
      <c r="AF982" s="289"/>
      <c r="AG982" s="289"/>
      <c r="AH982" s="289"/>
      <c r="AI982" s="289"/>
      <c r="AJ982" s="289"/>
      <c r="AK982" s="289"/>
      <c r="AL982" s="289"/>
    </row>
    <row r="983" spans="2:38">
      <c r="B983" s="445" t="str">
        <f>IF($C$1="ENG","door handle-lock (for sliding doors)","ручка-замок (для дверей купе)")</f>
        <v>ручка-замок (для дверей купе)</v>
      </c>
      <c r="C983" s="446"/>
      <c r="D983" s="405">
        <f t="shared" si="146"/>
        <v>466.66666666666669</v>
      </c>
      <c r="E983" s="93">
        <f t="shared" si="147"/>
        <v>560</v>
      </c>
      <c r="F983" s="26"/>
      <c r="G983" s="26"/>
      <c r="I983" s="11"/>
      <c r="J983" s="11"/>
      <c r="K983" s="19"/>
      <c r="AC983" s="289">
        <v>560</v>
      </c>
      <c r="AD983" s="289">
        <v>560</v>
      </c>
      <c r="AE983" s="289"/>
      <c r="AF983" s="289"/>
      <c r="AG983" s="289"/>
      <c r="AH983" s="289"/>
      <c r="AI983" s="289"/>
      <c r="AJ983" s="289"/>
      <c r="AK983" s="289"/>
      <c r="AL983" s="289"/>
    </row>
    <row r="984" spans="2:38">
      <c r="B984" s="445" t="str">
        <f>IF($C$1="ENG","cylinder incert","циліндр несиметричний")</f>
        <v>циліндр несиметричний</v>
      </c>
      <c r="C984" s="446"/>
      <c r="D984" s="405">
        <f t="shared" si="146"/>
        <v>316.66666666666669</v>
      </c>
      <c r="E984" s="93">
        <f t="shared" si="147"/>
        <v>380</v>
      </c>
      <c r="F984" s="26"/>
      <c r="G984" s="26"/>
      <c r="AC984" s="289">
        <v>380</v>
      </c>
      <c r="AD984" s="289">
        <v>380</v>
      </c>
      <c r="AE984" s="289"/>
      <c r="AF984" s="289"/>
      <c r="AG984" s="289"/>
      <c r="AH984" s="289"/>
      <c r="AI984" s="289"/>
      <c r="AJ984" s="289"/>
      <c r="AK984" s="289"/>
      <c r="AL984" s="289"/>
    </row>
    <row r="985" spans="2:38">
      <c r="B985" s="445" t="str">
        <f>IF($C$1="ENG","door hindge Prestige (1 unit)","завіса Prestige (1 шт)")</f>
        <v>завіса Prestige (1 шт)</v>
      </c>
      <c r="C985" s="446"/>
      <c r="D985" s="408">
        <f t="shared" si="146"/>
        <v>216.66666666666669</v>
      </c>
      <c r="E985" s="93">
        <f t="shared" si="147"/>
        <v>260</v>
      </c>
      <c r="F985" s="26"/>
      <c r="G985" s="26"/>
      <c r="AC985" s="289">
        <v>260</v>
      </c>
      <c r="AD985" s="289">
        <v>260</v>
      </c>
      <c r="AE985" s="289"/>
      <c r="AF985" s="289"/>
      <c r="AG985" s="289"/>
      <c r="AH985" s="289"/>
      <c r="AI985" s="289"/>
      <c r="AJ985" s="289"/>
      <c r="AK985" s="289"/>
      <c r="AL985" s="289"/>
    </row>
    <row r="986" spans="2:38">
      <c r="B986" s="445" t="str">
        <f>IF($C$1="ENG","door hinge caps (1 set)","накладка на завіси (1 к-т)")</f>
        <v>накладка на завіси (1 к-т)</v>
      </c>
      <c r="C986" s="446"/>
      <c r="D986" s="408">
        <f t="shared" si="146"/>
        <v>66.666666666666671</v>
      </c>
      <c r="E986" s="93">
        <f t="shared" si="147"/>
        <v>80</v>
      </c>
      <c r="F986" s="26"/>
      <c r="G986" s="26"/>
      <c r="AC986" s="289">
        <v>80</v>
      </c>
      <c r="AD986" s="289">
        <v>80</v>
      </c>
      <c r="AE986" s="289"/>
      <c r="AF986" s="289"/>
      <c r="AG986" s="289"/>
      <c r="AH986" s="289"/>
      <c r="AI986" s="289"/>
      <c r="AJ986" s="289"/>
      <c r="AK986" s="289"/>
      <c r="AL986" s="289"/>
    </row>
    <row r="987" spans="2:38">
      <c r="B987" s="445" t="str">
        <f>IF($C$1="ENG","door handle","дверна ручка")</f>
        <v>дверна ручка</v>
      </c>
      <c r="C987" s="446"/>
      <c r="D987" s="409" t="str">
        <f t="shared" si="146"/>
        <v/>
      </c>
      <c r="E987" s="247" t="str">
        <f>IF($C$1="ENG","see Handles Price","див. Таблицю Ручки")</f>
        <v>див. Таблицю Ручки</v>
      </c>
      <c r="F987" s="26"/>
      <c r="G987" s="26"/>
      <c r="AC987" s="289"/>
      <c r="AD987" s="289"/>
      <c r="AE987" s="289"/>
      <c r="AF987" s="289"/>
      <c r="AG987" s="289"/>
      <c r="AH987" s="289"/>
      <c r="AI987" s="289"/>
      <c r="AJ987" s="289"/>
      <c r="AK987" s="289"/>
      <c r="AL987" s="289"/>
    </row>
    <row r="988" spans="2:38" ht="14.25" customHeight="1">
      <c r="C988" s="245"/>
      <c r="D988" s="26"/>
      <c r="E988" s="26"/>
      <c r="F988" s="26"/>
      <c r="G988" s="26"/>
      <c r="H988" s="5"/>
      <c r="T988" s="465" t="str">
        <f>IF($C$1="ENG",CONCATENATE("down to: ",B1038),CONCATENATE("вниз до: ",B1038))</f>
        <v>вниз до: Полотна збірні: МІРА</v>
      </c>
      <c r="U988" s="465"/>
      <c r="V988" s="465"/>
      <c r="W988" s="465"/>
    </row>
    <row r="989" spans="2:38" ht="14.25" customHeight="1">
      <c r="C989" s="245"/>
      <c r="D989" s="26"/>
      <c r="E989" s="26"/>
      <c r="F989" s="26"/>
      <c r="G989" s="26"/>
      <c r="H989" s="5"/>
      <c r="T989" s="115"/>
      <c r="U989" s="115"/>
      <c r="V989" s="115"/>
      <c r="W989" s="115"/>
    </row>
    <row r="990" spans="2:38" ht="14.25" customHeight="1">
      <c r="C990" s="245"/>
      <c r="D990" s="26"/>
      <c r="E990" s="26"/>
      <c r="F990" s="26"/>
      <c r="G990" s="26"/>
      <c r="H990" s="5"/>
      <c r="T990" s="115"/>
      <c r="U990" s="115"/>
      <c r="V990" s="115"/>
      <c r="W990" s="115"/>
    </row>
    <row r="991" spans="2:38" ht="14.25" customHeight="1">
      <c r="C991" s="245"/>
      <c r="D991" s="26"/>
      <c r="E991" s="26"/>
      <c r="F991" s="26"/>
      <c r="G991" s="26"/>
      <c r="H991" s="5"/>
      <c r="T991" s="115"/>
      <c r="U991" s="115"/>
      <c r="V991" s="115"/>
      <c r="W991" s="115"/>
    </row>
    <row r="992" spans="2:38" ht="14.25" customHeight="1">
      <c r="C992" s="245"/>
      <c r="D992" s="26"/>
      <c r="E992" s="26"/>
      <c r="F992" s="26"/>
      <c r="G992" s="26"/>
      <c r="H992" s="5"/>
      <c r="T992" s="115"/>
      <c r="U992" s="115"/>
      <c r="V992" s="115"/>
      <c r="W992" s="115"/>
    </row>
    <row r="993" spans="3:23" ht="14.25" customHeight="1">
      <c r="C993" s="245"/>
      <c r="D993" s="26"/>
      <c r="E993" s="26"/>
      <c r="F993" s="26"/>
      <c r="G993" s="26"/>
      <c r="H993" s="5"/>
      <c r="T993" s="115"/>
      <c r="U993" s="115"/>
      <c r="V993" s="115"/>
      <c r="W993" s="115"/>
    </row>
    <row r="994" spans="3:23" ht="14.25" customHeight="1">
      <c r="C994" s="245"/>
      <c r="D994" s="26"/>
      <c r="E994" s="26"/>
      <c r="F994" s="26"/>
      <c r="G994" s="26"/>
      <c r="H994" s="5"/>
      <c r="T994" s="115"/>
      <c r="U994" s="115"/>
      <c r="V994" s="115"/>
      <c r="W994" s="115"/>
    </row>
    <row r="995" spans="3:23" ht="14.25" customHeight="1">
      <c r="C995" s="245"/>
      <c r="D995" s="26"/>
      <c r="E995" s="26"/>
      <c r="F995" s="26"/>
      <c r="G995" s="26"/>
      <c r="H995" s="5"/>
      <c r="T995" s="115"/>
      <c r="U995" s="115"/>
      <c r="V995" s="115"/>
      <c r="W995" s="115"/>
    </row>
    <row r="996" spans="3:23" ht="14.25" customHeight="1">
      <c r="C996" s="245"/>
      <c r="D996" s="26"/>
      <c r="E996" s="26"/>
      <c r="F996" s="26"/>
      <c r="G996" s="26"/>
      <c r="H996" s="5"/>
      <c r="T996" s="115"/>
      <c r="U996" s="115"/>
      <c r="V996" s="115"/>
      <c r="W996" s="115"/>
    </row>
    <row r="997" spans="3:23" ht="14.25" customHeight="1">
      <c r="C997" s="245"/>
      <c r="D997" s="26"/>
      <c r="E997" s="26"/>
      <c r="F997" s="26"/>
      <c r="G997" s="26"/>
      <c r="H997" s="5"/>
      <c r="T997" s="115"/>
      <c r="U997" s="115"/>
      <c r="V997" s="115"/>
      <c r="W997" s="115"/>
    </row>
    <row r="998" spans="3:23" ht="14.25" customHeight="1">
      <c r="C998" s="245"/>
      <c r="D998" s="26"/>
      <c r="E998" s="26"/>
      <c r="F998" s="26"/>
      <c r="G998" s="26"/>
      <c r="H998" s="5"/>
      <c r="T998" s="115"/>
      <c r="U998" s="115"/>
      <c r="V998" s="115"/>
      <c r="W998" s="115"/>
    </row>
    <row r="999" spans="3:23" ht="14.25" customHeight="1">
      <c r="C999" s="245"/>
      <c r="D999" s="26"/>
      <c r="E999" s="26"/>
      <c r="F999" s="26"/>
      <c r="G999" s="26"/>
      <c r="H999" s="5"/>
      <c r="T999" s="115"/>
      <c r="U999" s="115"/>
      <c r="V999" s="115"/>
      <c r="W999" s="115"/>
    </row>
    <row r="1000" spans="3:23" ht="14.25" customHeight="1">
      <c r="C1000" s="245"/>
      <c r="D1000" s="26"/>
      <c r="E1000" s="26"/>
      <c r="F1000" s="26"/>
      <c r="G1000" s="26"/>
      <c r="H1000" s="5"/>
      <c r="T1000" s="115"/>
      <c r="U1000" s="115"/>
      <c r="V1000" s="115"/>
      <c r="W1000" s="115"/>
    </row>
    <row r="1001" spans="3:23" ht="14.25" customHeight="1">
      <c r="C1001" s="245"/>
      <c r="D1001" s="26"/>
      <c r="E1001" s="26"/>
      <c r="F1001" s="26"/>
      <c r="G1001" s="26"/>
      <c r="H1001" s="5"/>
      <c r="T1001" s="115"/>
      <c r="U1001" s="115"/>
      <c r="V1001" s="115"/>
      <c r="W1001" s="115"/>
    </row>
    <row r="1002" spans="3:23" ht="14.25" customHeight="1">
      <c r="C1002" s="245"/>
      <c r="D1002" s="26"/>
      <c r="E1002" s="26"/>
      <c r="F1002" s="26"/>
      <c r="G1002" s="26"/>
      <c r="H1002" s="5"/>
      <c r="T1002" s="115"/>
      <c r="U1002" s="115"/>
      <c r="V1002" s="115"/>
      <c r="W1002" s="115"/>
    </row>
    <row r="1003" spans="3:23" ht="14.25" customHeight="1">
      <c r="C1003" s="245"/>
      <c r="D1003" s="26"/>
      <c r="E1003" s="26"/>
      <c r="F1003" s="26"/>
      <c r="G1003" s="26"/>
      <c r="H1003" s="5"/>
      <c r="T1003" s="115"/>
      <c r="U1003" s="115"/>
      <c r="V1003" s="115"/>
      <c r="W1003" s="115"/>
    </row>
    <row r="1004" spans="3:23" ht="14.25" customHeight="1">
      <c r="C1004" s="245"/>
      <c r="D1004" s="26"/>
      <c r="E1004" s="26"/>
      <c r="F1004" s="26"/>
      <c r="G1004" s="26"/>
      <c r="H1004" s="5"/>
      <c r="T1004" s="115"/>
      <c r="U1004" s="115"/>
      <c r="V1004" s="115"/>
      <c r="W1004" s="115"/>
    </row>
    <row r="1005" spans="3:23" ht="14.25" customHeight="1">
      <c r="C1005" s="245"/>
      <c r="D1005" s="26"/>
      <c r="E1005" s="26"/>
      <c r="F1005" s="26"/>
      <c r="G1005" s="26"/>
      <c r="H1005" s="5"/>
      <c r="T1005" s="115"/>
      <c r="U1005" s="115"/>
      <c r="V1005" s="115"/>
      <c r="W1005" s="115"/>
    </row>
    <row r="1006" spans="3:23" ht="14.25" customHeight="1">
      <c r="C1006" s="245"/>
      <c r="D1006" s="26"/>
      <c r="E1006" s="26"/>
      <c r="F1006" s="26"/>
      <c r="G1006" s="26"/>
      <c r="H1006" s="5"/>
      <c r="T1006" s="115"/>
      <c r="U1006" s="115"/>
      <c r="V1006" s="115"/>
      <c r="W1006" s="115"/>
    </row>
    <row r="1007" spans="3:23" ht="14.25" customHeight="1">
      <c r="C1007" s="245"/>
      <c r="D1007" s="26"/>
      <c r="E1007" s="26"/>
      <c r="F1007" s="26"/>
      <c r="G1007" s="26"/>
      <c r="H1007" s="5"/>
      <c r="T1007" s="115"/>
      <c r="U1007" s="115"/>
      <c r="V1007" s="115"/>
      <c r="W1007" s="115"/>
    </row>
    <row r="1008" spans="3:23" ht="14.25" customHeight="1">
      <c r="C1008" s="245"/>
      <c r="D1008" s="26"/>
      <c r="E1008" s="26"/>
      <c r="F1008" s="26"/>
      <c r="G1008" s="26"/>
      <c r="H1008" s="5"/>
      <c r="T1008" s="115"/>
      <c r="U1008" s="115"/>
      <c r="V1008" s="115"/>
      <c r="W1008" s="115"/>
    </row>
    <row r="1009" spans="3:23" ht="14.25" customHeight="1">
      <c r="C1009" s="245"/>
      <c r="D1009" s="26"/>
      <c r="E1009" s="26"/>
      <c r="F1009" s="26"/>
      <c r="G1009" s="26"/>
      <c r="H1009" s="5"/>
      <c r="T1009" s="115"/>
      <c r="U1009" s="115"/>
      <c r="V1009" s="115"/>
      <c r="W1009" s="115"/>
    </row>
    <row r="1010" spans="3:23" ht="14.25" customHeight="1">
      <c r="C1010" s="245"/>
      <c r="D1010" s="26"/>
      <c r="E1010" s="26"/>
      <c r="F1010" s="26"/>
      <c r="G1010" s="26"/>
      <c r="H1010" s="5"/>
      <c r="T1010" s="115"/>
      <c r="U1010" s="115"/>
      <c r="V1010" s="115"/>
      <c r="W1010" s="115"/>
    </row>
    <row r="1011" spans="3:23" ht="14.25" customHeight="1">
      <c r="C1011" s="245"/>
      <c r="D1011" s="26"/>
      <c r="E1011" s="26"/>
      <c r="F1011" s="26"/>
      <c r="G1011" s="26"/>
      <c r="H1011" s="5"/>
      <c r="T1011" s="115"/>
      <c r="U1011" s="115"/>
      <c r="V1011" s="115"/>
      <c r="W1011" s="115"/>
    </row>
    <row r="1012" spans="3:23" ht="14.25" customHeight="1">
      <c r="C1012" s="245"/>
      <c r="D1012" s="26"/>
      <c r="E1012" s="26"/>
      <c r="F1012" s="26"/>
      <c r="G1012" s="26"/>
      <c r="H1012" s="5"/>
      <c r="T1012" s="115"/>
      <c r="U1012" s="115"/>
      <c r="V1012" s="115"/>
      <c r="W1012" s="115"/>
    </row>
    <row r="1013" spans="3:23" ht="14.25" customHeight="1">
      <c r="C1013" s="245"/>
      <c r="D1013" s="26"/>
      <c r="E1013" s="26"/>
      <c r="F1013" s="26"/>
      <c r="G1013" s="26"/>
      <c r="H1013" s="5"/>
      <c r="T1013" s="115"/>
      <c r="U1013" s="115"/>
      <c r="V1013" s="115"/>
      <c r="W1013" s="115"/>
    </row>
    <row r="1014" spans="3:23" ht="14.25" customHeight="1">
      <c r="C1014" s="245"/>
      <c r="D1014" s="26"/>
      <c r="E1014" s="26"/>
      <c r="F1014" s="26"/>
      <c r="G1014" s="26"/>
      <c r="H1014" s="5"/>
      <c r="T1014" s="115"/>
      <c r="U1014" s="115"/>
      <c r="V1014" s="115"/>
      <c r="W1014" s="115"/>
    </row>
    <row r="1015" spans="3:23" ht="14.25" customHeight="1">
      <c r="C1015" s="245"/>
      <c r="D1015" s="26"/>
      <c r="E1015" s="26"/>
      <c r="F1015" s="26"/>
      <c r="G1015" s="26"/>
      <c r="H1015" s="5"/>
      <c r="T1015" s="115"/>
      <c r="U1015" s="115"/>
      <c r="V1015" s="115"/>
      <c r="W1015" s="115"/>
    </row>
    <row r="1016" spans="3:23" ht="14.25" customHeight="1">
      <c r="C1016" s="245"/>
      <c r="D1016" s="26"/>
      <c r="E1016" s="26"/>
      <c r="F1016" s="26"/>
      <c r="G1016" s="26"/>
      <c r="H1016" s="5"/>
      <c r="T1016" s="115"/>
      <c r="U1016" s="115"/>
      <c r="V1016" s="115"/>
      <c r="W1016" s="115"/>
    </row>
    <row r="1017" spans="3:23" ht="14.25" customHeight="1">
      <c r="C1017" s="245"/>
      <c r="D1017" s="26"/>
      <c r="E1017" s="26"/>
      <c r="F1017" s="26"/>
      <c r="G1017" s="26"/>
      <c r="H1017" s="5"/>
      <c r="T1017" s="115"/>
      <c r="U1017" s="115"/>
      <c r="V1017" s="115"/>
      <c r="W1017" s="115"/>
    </row>
    <row r="1018" spans="3:23" ht="14.25" customHeight="1">
      <c r="C1018" s="245"/>
      <c r="D1018" s="26"/>
      <c r="E1018" s="26"/>
      <c r="F1018" s="26"/>
      <c r="G1018" s="26"/>
      <c r="H1018" s="5"/>
      <c r="T1018" s="115"/>
      <c r="U1018" s="115"/>
      <c r="V1018" s="115"/>
      <c r="W1018" s="115"/>
    </row>
    <row r="1019" spans="3:23" ht="14.25" customHeight="1">
      <c r="C1019" s="245"/>
      <c r="D1019" s="26"/>
      <c r="E1019" s="26"/>
      <c r="F1019" s="26"/>
      <c r="G1019" s="26"/>
      <c r="H1019" s="5"/>
      <c r="T1019" s="115"/>
      <c r="U1019" s="115"/>
      <c r="V1019" s="115"/>
      <c r="W1019" s="115"/>
    </row>
    <row r="1020" spans="3:23" ht="14.25" customHeight="1">
      <c r="C1020" s="245"/>
      <c r="D1020" s="26"/>
      <c r="E1020" s="26"/>
      <c r="F1020" s="26"/>
      <c r="G1020" s="26"/>
      <c r="H1020" s="5"/>
      <c r="T1020" s="115"/>
      <c r="U1020" s="115"/>
      <c r="V1020" s="115"/>
      <c r="W1020" s="115"/>
    </row>
    <row r="1021" spans="3:23" ht="14.25" customHeight="1">
      <c r="C1021" s="245"/>
      <c r="D1021" s="26"/>
      <c r="E1021" s="26"/>
      <c r="F1021" s="26"/>
      <c r="G1021" s="26"/>
      <c r="H1021" s="5"/>
      <c r="T1021" s="115"/>
      <c r="U1021" s="115"/>
      <c r="V1021" s="115"/>
      <c r="W1021" s="115"/>
    </row>
    <row r="1022" spans="3:23" ht="14.25" customHeight="1">
      <c r="C1022" s="245"/>
      <c r="D1022" s="26"/>
      <c r="E1022" s="26"/>
      <c r="F1022" s="26"/>
      <c r="G1022" s="26"/>
      <c r="H1022" s="5"/>
      <c r="T1022" s="115"/>
      <c r="U1022" s="115"/>
      <c r="V1022" s="115"/>
      <c r="W1022" s="115"/>
    </row>
    <row r="1023" spans="3:23" ht="14.25" customHeight="1">
      <c r="C1023" s="245"/>
      <c r="D1023" s="26"/>
      <c r="E1023" s="26"/>
      <c r="F1023" s="26"/>
      <c r="G1023" s="26"/>
      <c r="H1023" s="5"/>
      <c r="T1023" s="115"/>
      <c r="U1023" s="115"/>
      <c r="V1023" s="115"/>
      <c r="W1023" s="115"/>
    </row>
    <row r="1024" spans="3:23" ht="14.25" customHeight="1">
      <c r="C1024" s="245"/>
      <c r="D1024" s="26"/>
      <c r="E1024" s="26"/>
      <c r="F1024" s="26"/>
      <c r="G1024" s="26"/>
      <c r="H1024" s="5"/>
      <c r="T1024" s="115"/>
      <c r="U1024" s="115"/>
      <c r="V1024" s="115"/>
      <c r="W1024" s="115"/>
    </row>
    <row r="1025" spans="2:46" ht="14.25" customHeight="1">
      <c r="C1025" s="245"/>
      <c r="D1025" s="26"/>
      <c r="E1025" s="26"/>
      <c r="F1025" s="26"/>
      <c r="G1025" s="26"/>
      <c r="H1025" s="5"/>
      <c r="T1025" s="115"/>
      <c r="U1025" s="115"/>
      <c r="V1025" s="115"/>
      <c r="W1025" s="115"/>
    </row>
    <row r="1026" spans="2:46" ht="14.25" customHeight="1">
      <c r="C1026" s="245"/>
      <c r="D1026" s="26"/>
      <c r="E1026" s="26"/>
      <c r="F1026" s="26"/>
      <c r="G1026" s="26"/>
      <c r="H1026" s="5"/>
      <c r="T1026" s="115"/>
      <c r="U1026" s="115"/>
      <c r="V1026" s="115"/>
      <c r="W1026" s="115"/>
    </row>
    <row r="1027" spans="2:46" ht="14.25" customHeight="1">
      <c r="C1027" s="245"/>
      <c r="D1027" s="26"/>
      <c r="E1027" s="26"/>
      <c r="F1027" s="26"/>
      <c r="G1027" s="26"/>
      <c r="H1027" s="5"/>
      <c r="T1027" s="115"/>
      <c r="U1027" s="115"/>
      <c r="V1027" s="115"/>
      <c r="W1027" s="115"/>
    </row>
    <row r="1028" spans="2:46" ht="14.25" customHeight="1">
      <c r="C1028" s="245"/>
      <c r="D1028" s="26"/>
      <c r="E1028" s="26"/>
      <c r="F1028" s="26"/>
      <c r="G1028" s="26"/>
      <c r="H1028" s="5"/>
      <c r="T1028" s="115"/>
      <c r="U1028" s="115"/>
      <c r="V1028" s="115"/>
      <c r="W1028" s="115"/>
    </row>
    <row r="1029" spans="2:46" ht="14.25" customHeight="1">
      <c r="C1029" s="245"/>
      <c r="D1029" s="26"/>
      <c r="E1029" s="26"/>
      <c r="F1029" s="26"/>
      <c r="G1029" s="26"/>
      <c r="H1029" s="5"/>
      <c r="T1029" s="115"/>
      <c r="U1029" s="115"/>
      <c r="V1029" s="115"/>
      <c r="W1029" s="115"/>
    </row>
    <row r="1030" spans="2:46" ht="14.25" customHeight="1">
      <c r="C1030" s="245"/>
      <c r="D1030" s="26"/>
      <c r="E1030" s="26"/>
      <c r="F1030" s="26"/>
      <c r="G1030" s="26"/>
      <c r="H1030" s="5"/>
      <c r="T1030" s="115"/>
      <c r="U1030" s="115"/>
      <c r="V1030" s="115"/>
      <c r="W1030" s="115"/>
    </row>
    <row r="1031" spans="2:46" ht="14.25" customHeight="1">
      <c r="C1031" s="245"/>
      <c r="D1031" s="26"/>
      <c r="E1031" s="26"/>
      <c r="F1031" s="26"/>
      <c r="G1031" s="26"/>
      <c r="H1031" s="5"/>
      <c r="T1031" s="115"/>
      <c r="U1031" s="115"/>
      <c r="V1031" s="115"/>
      <c r="W1031" s="115"/>
    </row>
    <row r="1032" spans="2:46" ht="14.25" customHeight="1">
      <c r="C1032" s="245"/>
      <c r="D1032" s="26"/>
      <c r="E1032" s="26"/>
      <c r="F1032" s="26"/>
      <c r="G1032" s="26"/>
      <c r="H1032" s="5"/>
      <c r="T1032" s="115"/>
      <c r="U1032" s="115"/>
      <c r="V1032" s="115"/>
      <c r="W1032" s="115"/>
    </row>
    <row r="1033" spans="2:46" ht="14.25" customHeight="1">
      <c r="C1033" s="245"/>
      <c r="D1033" s="26"/>
      <c r="E1033" s="26"/>
      <c r="F1033" s="26"/>
      <c r="G1033" s="26"/>
      <c r="H1033" s="5"/>
      <c r="T1033" s="115"/>
      <c r="U1033" s="115"/>
      <c r="V1033" s="115"/>
      <c r="W1033" s="115"/>
    </row>
    <row r="1034" spans="2:46" ht="14.25" customHeight="1">
      <c r="C1034" s="245"/>
      <c r="D1034" s="26"/>
      <c r="E1034" s="26"/>
      <c r="F1034" s="26"/>
      <c r="G1034" s="26"/>
      <c r="H1034" s="5"/>
      <c r="T1034" s="115"/>
      <c r="U1034" s="115"/>
      <c r="V1034" s="115"/>
      <c r="W1034" s="115"/>
    </row>
    <row r="1035" spans="2:46" ht="14.25" customHeight="1">
      <c r="C1035" s="245"/>
      <c r="D1035" s="26"/>
      <c r="E1035" s="26"/>
      <c r="F1035" s="26"/>
      <c r="G1035" s="26"/>
      <c r="H1035" s="5"/>
      <c r="T1035" s="115"/>
      <c r="U1035" s="115"/>
      <c r="V1035" s="115"/>
      <c r="W1035" s="115"/>
    </row>
    <row r="1036" spans="2:46" ht="14.25" customHeight="1">
      <c r="C1036" s="245"/>
      <c r="D1036" s="26"/>
      <c r="E1036" s="26"/>
      <c r="F1036" s="26"/>
      <c r="G1036" s="26"/>
      <c r="H1036" s="5"/>
      <c r="T1036" s="115"/>
      <c r="U1036" s="115"/>
      <c r="V1036" s="115"/>
      <c r="W1036" s="115"/>
    </row>
    <row r="1037" spans="2:46" ht="14.25" customHeight="1">
      <c r="C1037" s="245"/>
      <c r="D1037" s="26"/>
      <c r="E1037" s="26"/>
      <c r="F1037" s="26"/>
      <c r="G1037" s="26"/>
      <c r="H1037" s="5"/>
      <c r="T1037" s="115"/>
      <c r="U1037" s="115"/>
      <c r="V1037" s="115"/>
      <c r="W1037" s="115"/>
      <c r="AF1037" s="289">
        <f>AA1037/100*12+AA1037</f>
        <v>0</v>
      </c>
      <c r="AG1037" s="289" t="e">
        <f>AF1037/AA1037-1</f>
        <v>#DIV/0!</v>
      </c>
    </row>
    <row r="1038" spans="2:46" s="8" customFormat="1">
      <c r="B1038" s="451" t="str">
        <f>TITLE!C22</f>
        <v>Полотна збірні: МІРА</v>
      </c>
      <c r="C1038" s="451"/>
      <c r="D1038" s="118"/>
      <c r="E1038" s="118"/>
      <c r="F1038" s="118"/>
      <c r="G1038" s="118"/>
      <c r="H1038" s="455"/>
      <c r="I1038" s="455"/>
      <c r="J1038" s="121"/>
      <c r="K1038" s="121"/>
      <c r="L1038" s="121"/>
      <c r="M1038" s="121"/>
      <c r="N1038" s="121"/>
      <c r="O1038" s="121"/>
      <c r="P1038" s="121"/>
      <c r="Q1038" s="121"/>
      <c r="R1038" s="121"/>
      <c r="S1038" s="121"/>
      <c r="T1038" s="462" t="str">
        <f>IF($C$1="ENG",CONCATENATE("up to: ",B960),CONCATENATE("вгору до: ",B960))</f>
        <v>вгору до: Полотна збірні: ЛАДА-НОВА</v>
      </c>
      <c r="U1038" s="462"/>
      <c r="V1038" s="462"/>
      <c r="W1038" s="462"/>
      <c r="AN1038" s="280"/>
      <c r="AO1038" s="280"/>
      <c r="AP1038" s="280"/>
      <c r="AQ1038" s="280"/>
      <c r="AR1038" s="280"/>
      <c r="AS1038" s="280"/>
      <c r="AT1038" s="280"/>
    </row>
    <row r="1039" spans="2:46" s="8" customFormat="1" ht="5.0999999999999996" customHeight="1">
      <c r="B1039" s="117"/>
      <c r="C1039" s="420"/>
      <c r="D1039" s="9"/>
      <c r="E1039" s="9"/>
      <c r="F1039" s="9"/>
      <c r="G1039" s="9"/>
      <c r="H1039" s="120"/>
      <c r="I1039" s="120"/>
      <c r="T1039" s="115"/>
      <c r="U1039" s="115"/>
      <c r="V1039" s="115"/>
      <c r="W1039" s="115"/>
      <c r="AN1039" s="280"/>
      <c r="AO1039" s="280"/>
      <c r="AP1039" s="280"/>
      <c r="AQ1039" s="280"/>
      <c r="AR1039" s="280"/>
      <c r="AS1039" s="280"/>
      <c r="AT1039" s="280"/>
    </row>
    <row r="1040" spans="2:46" s="8" customFormat="1" ht="12.75" customHeight="1">
      <c r="B1040" s="452" t="str">
        <f>IF($C$1="ENG","model","модель")</f>
        <v>модель</v>
      </c>
      <c r="C1040" s="122" t="str">
        <f>IF($C$1="ENG","cover:","покриття:")</f>
        <v>покриття:</v>
      </c>
      <c r="D1040" s="458" t="str">
        <f>IF($C$1="ENG","Verto-CELL","Verto-CELL")</f>
        <v>Verto-CELL</v>
      </c>
      <c r="E1040" s="459"/>
      <c r="F1040" s="458" t="str">
        <f>IF($C$1="ENG","UNI-MAT","UNI-MAT")</f>
        <v>UNI-MAT</v>
      </c>
      <c r="G1040" s="459"/>
      <c r="H1040" s="458" t="str">
        <f>IF($C$1="ENG","RESIST","RESIST")</f>
        <v>RESIST</v>
      </c>
      <c r="I1040" s="459"/>
      <c r="J1040" s="458" t="str">
        <f>IF($C$1="ENG","Verto LINE-3D","Verto LINE-3D")</f>
        <v>Verto LINE-3D</v>
      </c>
      <c r="K1040" s="459"/>
      <c r="L1040" s="458" t="str">
        <f>IF($C$1="ENG","ECO Shpon","ЕКО Шпон")</f>
        <v>ЕКО Шпон</v>
      </c>
      <c r="M1040" s="459"/>
      <c r="P1040" s="1"/>
      <c r="Q1040" s="1"/>
      <c r="T1040" s="115"/>
      <c r="U1040" s="115"/>
      <c r="V1040" s="115"/>
      <c r="W1040" s="115"/>
      <c r="AN1040" s="280"/>
      <c r="AO1040" s="280"/>
      <c r="AP1040" s="280"/>
      <c r="AQ1040" s="280"/>
      <c r="AR1040" s="280"/>
      <c r="AS1040" s="280"/>
      <c r="AT1040" s="280"/>
    </row>
    <row r="1041" spans="1:46" s="8" customFormat="1" ht="24" customHeight="1">
      <c r="B1041" s="453"/>
      <c r="C1041" s="123" t="str">
        <f>IF($C$1="ENG","filling:","заповнення:")</f>
        <v>заповнення:</v>
      </c>
      <c r="D1041" s="460" t="str">
        <f>IF($C$1="ENG","softwood","клеєний сосновий брус")</f>
        <v>клеєний сосновий брус</v>
      </c>
      <c r="E1041" s="461"/>
      <c r="F1041" s="460" t="str">
        <f>IF($C$1="ENG","softwood","клеєний сосновий брус")</f>
        <v>клеєний сосновий брус</v>
      </c>
      <c r="G1041" s="461"/>
      <c r="H1041" s="460" t="str">
        <f>IF($C$1="ENG","softwood","клеєний сосновий брус")</f>
        <v>клеєний сосновий брус</v>
      </c>
      <c r="I1041" s="461"/>
      <c r="J1041" s="460" t="str">
        <f>IF($C$1="ENG","softwood","клеєний сосновий брус")</f>
        <v>клеєний сосновий брус</v>
      </c>
      <c r="K1041" s="461"/>
      <c r="L1041" s="460" t="str">
        <f>IF($C$1="ENG","softwood","клеєний сосновий брус")</f>
        <v>клеєний сосновий брус</v>
      </c>
      <c r="M1041" s="461"/>
      <c r="P1041" s="1"/>
      <c r="Q1041" s="1"/>
      <c r="T1041" s="115"/>
      <c r="U1041" s="115"/>
      <c r="V1041" s="115"/>
      <c r="W1041" s="115"/>
      <c r="AD1041" s="383">
        <f>AD1043/AC1043-1</f>
        <v>0.13956834532374107</v>
      </c>
      <c r="AE1041" s="383">
        <f>AE1043/AD1043-1</f>
        <v>4.4191919191919116E-2</v>
      </c>
      <c r="AF1041" s="383">
        <f>AF1043/AE1043-1</f>
        <v>7.3760580411124543E-2</v>
      </c>
      <c r="AG1041" s="383">
        <f>AG1043/AF1043-1</f>
        <v>4.8423423423423317E-2</v>
      </c>
      <c r="AH1041" s="8">
        <v>6200</v>
      </c>
      <c r="AI1041" s="8">
        <v>7380</v>
      </c>
      <c r="AJ1041" s="8">
        <v>7930</v>
      </c>
      <c r="AK1041" s="8">
        <v>8310</v>
      </c>
      <c r="AN1041" s="280"/>
      <c r="AO1041" s="280"/>
      <c r="AP1041" s="280"/>
      <c r="AQ1041" s="280"/>
      <c r="AR1041" s="280"/>
      <c r="AS1041" s="280"/>
      <c r="AT1041" s="280"/>
    </row>
    <row r="1042" spans="1:46" ht="12.75" customHeight="1">
      <c r="A1042" s="8"/>
      <c r="B1042" s="454"/>
      <c r="C1042" s="124" t="str">
        <f>IF($C$1="ENG","glazing:","скління:")</f>
        <v>скління:</v>
      </c>
      <c r="D1042" s="449" t="str">
        <f>IF($C$1="ENG","Satin","Сатин")</f>
        <v>Сатин</v>
      </c>
      <c r="E1042" s="450"/>
      <c r="F1042" s="449" t="str">
        <f>IF($C$1="ENG","Satin","Сатин")</f>
        <v>Сатин</v>
      </c>
      <c r="G1042" s="450"/>
      <c r="H1042" s="449" t="str">
        <f>IF($C$1="ENG","Satin","Сатин")</f>
        <v>Сатин</v>
      </c>
      <c r="I1042" s="450"/>
      <c r="J1042" s="449" t="str">
        <f>IF($C$1="ENG","Satin","Сатин")</f>
        <v>Сатин</v>
      </c>
      <c r="K1042" s="450"/>
      <c r="L1042" s="449" t="str">
        <f>IF($C$1="ENG","Satin","Сатин")</f>
        <v>Сатин</v>
      </c>
      <c r="M1042" s="450"/>
    </row>
    <row r="1043" spans="1:46" ht="35.1" customHeight="1">
      <c r="A1043" s="8"/>
      <c r="B1043" s="16" t="s">
        <v>48</v>
      </c>
      <c r="C1043" s="17"/>
      <c r="D1043" s="18">
        <f>IF(AC1043="","",(1-$W$2)*(AC1043/1.2))</f>
        <v>5791.666666666667</v>
      </c>
      <c r="E1043" s="66">
        <f>IF($W$5=0.2,D1043*1.2,D1043)/$W$4</f>
        <v>6950</v>
      </c>
      <c r="F1043" s="18">
        <f>IF(AD1043="","",(1-$W$2)*(AD1043/1.2))</f>
        <v>6600</v>
      </c>
      <c r="G1043" s="66">
        <f>IF($W$5=0.2,F1043*1.2,F1043)/$W$4</f>
        <v>7920</v>
      </c>
      <c r="H1043" s="18">
        <f>IF(AE1043="","",(1-$W$2)*(AE1043/1.2))</f>
        <v>6891.666666666667</v>
      </c>
      <c r="I1043" s="66">
        <f>IF($W$5=0.2,H1043*1.2,H1043)/$W$4</f>
        <v>8270</v>
      </c>
      <c r="J1043" s="18">
        <f>IF(AF1043="","",(1-$W$2)*(AF1043/1.2))</f>
        <v>7400</v>
      </c>
      <c r="K1043" s="66">
        <f>IF($W$5=0.2,J1043*1.2,J1043)/$W$4</f>
        <v>8880</v>
      </c>
      <c r="L1043" s="18">
        <f>IF(AG1043="","",(1-$W$2)*(AG1043/1.2))</f>
        <v>7758.3333333333339</v>
      </c>
      <c r="M1043" s="66">
        <f>IF($W$5=0.2,L1043*1.2,L1043)/$W$4</f>
        <v>9310</v>
      </c>
      <c r="N1043" s="104"/>
      <c r="R1043" s="104"/>
      <c r="T1043" s="104"/>
      <c r="U1043" s="20"/>
      <c r="V1043" s="104"/>
      <c r="W1043" s="20"/>
      <c r="X1043" s="104"/>
      <c r="Y1043" s="104"/>
      <c r="Z1043" s="104"/>
      <c r="AA1043" s="104"/>
      <c r="AB1043" s="104"/>
      <c r="AC1043" s="332">
        <v>6950</v>
      </c>
      <c r="AD1043" s="391">
        <v>7920</v>
      </c>
      <c r="AE1043" s="332">
        <v>8270</v>
      </c>
      <c r="AF1043" s="332">
        <v>8880</v>
      </c>
      <c r="AG1043" s="332">
        <v>9310</v>
      </c>
      <c r="AH1043" s="289">
        <v>6950</v>
      </c>
      <c r="AI1043" s="289">
        <f>AH1043/AC1043-1</f>
        <v>0</v>
      </c>
      <c r="AJ1043" s="289">
        <v>7920</v>
      </c>
      <c r="AK1043" s="289">
        <f>AJ1043/AD1043-1</f>
        <v>0</v>
      </c>
      <c r="AL1043" s="289">
        <v>8270</v>
      </c>
      <c r="AM1043" s="289">
        <f>AL1043/AE1043-1</f>
        <v>0</v>
      </c>
      <c r="AN1043" s="289">
        <v>8880</v>
      </c>
      <c r="AO1043" s="289">
        <f>AN1043/AF1043-1</f>
        <v>0</v>
      </c>
      <c r="AP1043" s="289">
        <v>9310</v>
      </c>
      <c r="AQ1043" s="289">
        <f>AP1043/AG1043-1</f>
        <v>0</v>
      </c>
    </row>
    <row r="1044" spans="1:46" ht="35.1" customHeight="1">
      <c r="A1044" s="8"/>
      <c r="B1044" s="23" t="s">
        <v>49</v>
      </c>
      <c r="C1044" s="24"/>
      <c r="D1044" s="25">
        <f>IF(AC1044="","",(1-$W$2)*(AC1044/1.2))</f>
        <v>5791.666666666667</v>
      </c>
      <c r="E1044" s="69">
        <f>IF($W$5=0.2,D1044*1.2,D1044)/$W$4</f>
        <v>6950</v>
      </c>
      <c r="F1044" s="25">
        <f>IF(AD1044="","",(1-$W$2)*(AD1044/1.2))</f>
        <v>6600</v>
      </c>
      <c r="G1044" s="69">
        <f>IF($W$5=0.2,F1044*1.2,F1044)/$W$4</f>
        <v>7920</v>
      </c>
      <c r="H1044" s="25">
        <f>IF(AE1044="","",(1-$W$2)*(AE1044/1.2))</f>
        <v>6891.666666666667</v>
      </c>
      <c r="I1044" s="69">
        <f>IF($W$5=0.2,H1044*1.2,H1044)/$W$4</f>
        <v>8270</v>
      </c>
      <c r="J1044" s="25">
        <f>IF(AF1044="","",(1-$W$2)*(AF1044/1.2))</f>
        <v>7400</v>
      </c>
      <c r="K1044" s="69">
        <f>IF($W$5=0.2,J1044*1.2,J1044)/$W$4</f>
        <v>8880</v>
      </c>
      <c r="L1044" s="25">
        <f>IF(AG1044="","",(1-$W$2)*(AG1044/1.2))</f>
        <v>7758.3333333333339</v>
      </c>
      <c r="M1044" s="69">
        <f>IF($W$5=0.2,L1044*1.2,L1044)/$W$4</f>
        <v>9310</v>
      </c>
      <c r="N1044" s="104"/>
      <c r="R1044" s="104"/>
      <c r="T1044" s="104"/>
      <c r="U1044" s="20"/>
      <c r="V1044" s="104"/>
      <c r="W1044" s="20"/>
      <c r="X1044" s="104"/>
      <c r="Y1044" s="104"/>
      <c r="Z1044" s="104"/>
      <c r="AA1044" s="104"/>
      <c r="AB1044" s="104"/>
      <c r="AC1044" s="332">
        <v>6950</v>
      </c>
      <c r="AD1044" s="391">
        <v>7920</v>
      </c>
      <c r="AE1044" s="332">
        <v>8270</v>
      </c>
      <c r="AF1044" s="332">
        <v>8880</v>
      </c>
      <c r="AG1044" s="332">
        <v>9310</v>
      </c>
      <c r="AH1044" s="289">
        <v>6950</v>
      </c>
      <c r="AI1044" s="289">
        <f>AH1044/AC1044-1</f>
        <v>0</v>
      </c>
      <c r="AJ1044" s="289">
        <v>7920</v>
      </c>
      <c r="AK1044" s="289">
        <f>AJ1044/AD1044-1</f>
        <v>0</v>
      </c>
      <c r="AL1044" s="289">
        <v>8270</v>
      </c>
      <c r="AM1044" s="289">
        <f>AL1044/AE1044-1</f>
        <v>0</v>
      </c>
      <c r="AN1044" s="289">
        <v>8880</v>
      </c>
      <c r="AO1044" s="289">
        <f>AN1044/AF1044-1</f>
        <v>0</v>
      </c>
      <c r="AP1044" s="289">
        <v>9310</v>
      </c>
      <c r="AQ1044" s="289">
        <f>AP1044/AG1044-1</f>
        <v>0</v>
      </c>
    </row>
    <row r="1045" spans="1:46">
      <c r="C1045" s="245"/>
      <c r="D1045" s="26"/>
      <c r="E1045" s="57"/>
      <c r="F1045" s="26"/>
      <c r="G1045" s="57"/>
      <c r="H1045" s="10"/>
      <c r="I1045" s="8"/>
      <c r="J1045" s="8"/>
      <c r="K1045" s="8"/>
    </row>
    <row r="1046" spans="1:46">
      <c r="B1046" s="212" t="str">
        <f>IF($C$1="ENG","For additonal charge:","Послуги за додаткову плату:")</f>
        <v>Послуги за додаткову плату:</v>
      </c>
      <c r="C1046" s="421"/>
      <c r="D1046" s="213"/>
      <c r="E1046" s="214"/>
      <c r="F1046" s="26"/>
      <c r="G1046" s="57"/>
      <c r="H1046" s="10"/>
      <c r="I1046" s="8"/>
      <c r="J1046" s="8"/>
      <c r="K1046" s="8"/>
    </row>
    <row r="1047" spans="1:46" ht="5.0999999999999996" customHeight="1">
      <c r="B1047" s="27"/>
      <c r="C1047" s="245"/>
      <c r="D1047" s="26"/>
      <c r="E1047" s="57"/>
      <c r="F1047" s="26"/>
      <c r="G1047" s="57"/>
      <c r="H1047" s="10"/>
      <c r="I1047" s="8"/>
      <c r="J1047" s="8"/>
      <c r="K1047" s="8"/>
    </row>
    <row r="1048" spans="1:46">
      <c r="B1048" s="447" t="str">
        <f>IF($C$1="ENG","door leaf with width 100","полотно розміром 100")</f>
        <v>полотно розміром 100</v>
      </c>
      <c r="C1048" s="448"/>
      <c r="D1048" s="410">
        <f t="shared" ref="D1048:D1060" si="152">IF(AC1048="","",(1-$W$2)*(AC1048/1.2))</f>
        <v>600</v>
      </c>
      <c r="E1048" s="92">
        <f t="shared" ref="E1048:E1059" si="153">IF($W$5=0.2,D1048*1.2,D1048)/$W$4</f>
        <v>720</v>
      </c>
      <c r="F1048" s="26"/>
      <c r="G1048" s="26"/>
      <c r="H1048" s="10"/>
      <c r="I1048" s="8"/>
      <c r="J1048" s="8"/>
      <c r="K1048" s="8"/>
      <c r="AC1048" s="298">
        <v>720</v>
      </c>
      <c r="AD1048" s="289">
        <v>720</v>
      </c>
      <c r="AE1048" s="289">
        <f>AD1048/AC1048-1</f>
        <v>0</v>
      </c>
      <c r="AF1048" s="289"/>
      <c r="AG1048" s="289"/>
      <c r="AH1048" s="289"/>
      <c r="AI1048" s="289"/>
      <c r="AJ1048" s="289"/>
      <c r="AK1048" s="289"/>
      <c r="AL1048" s="289"/>
    </row>
    <row r="1049" spans="1:46">
      <c r="B1049" s="447" t="str">
        <f>IF($C$1="ENG","Ventilation cut","вентиляційний підріз")</f>
        <v>вентиляційний підріз</v>
      </c>
      <c r="C1049" s="448"/>
      <c r="D1049" s="405">
        <f t="shared" si="152"/>
        <v>141.66666666666669</v>
      </c>
      <c r="E1049" s="66">
        <f t="shared" si="153"/>
        <v>170.00000000000003</v>
      </c>
      <c r="F1049" s="26"/>
      <c r="G1049" s="26"/>
      <c r="I1049" s="59"/>
      <c r="J1049" s="28"/>
      <c r="AC1049" s="298">
        <v>170</v>
      </c>
      <c r="AD1049" s="289">
        <v>170</v>
      </c>
      <c r="AE1049" s="289">
        <f t="shared" ref="AE1049:AE1059" si="154">AD1049/AC1049-1</f>
        <v>0</v>
      </c>
      <c r="AF1049" s="289"/>
      <c r="AG1049" s="289"/>
      <c r="AH1049" s="289"/>
      <c r="AI1049" s="289"/>
      <c r="AJ1049" s="289"/>
      <c r="AK1049" s="289"/>
      <c r="AL1049" s="289"/>
    </row>
    <row r="1050" spans="1:46">
      <c r="B1050" s="445" t="str">
        <f>IF($C$1="ENG","glazing Graphite / Bronze","скло Графіт / Бронза")</f>
        <v>скло Графіт / Бронза</v>
      </c>
      <c r="C1050" s="446"/>
      <c r="D1050" s="407">
        <f t="shared" si="152"/>
        <v>458.33333333333337</v>
      </c>
      <c r="E1050" s="93">
        <f t="shared" si="153"/>
        <v>550</v>
      </c>
      <c r="F1050" s="26"/>
      <c r="G1050" s="26"/>
      <c r="H1050" s="5"/>
      <c r="AC1050" s="298">
        <v>550</v>
      </c>
      <c r="AD1050" s="289">
        <v>550</v>
      </c>
      <c r="AE1050" s="289">
        <f t="shared" si="154"/>
        <v>0</v>
      </c>
      <c r="AF1050" s="289"/>
      <c r="AG1050" s="289"/>
      <c r="AH1050" s="289"/>
      <c r="AI1050" s="289"/>
      <c r="AJ1050" s="289"/>
      <c r="AK1050" s="289"/>
      <c r="AL1050" s="289"/>
    </row>
    <row r="1051" spans="1:46">
      <c r="B1051" s="445" t="str">
        <f>IF($C$1="ENG","glazing Lacobel black ","скло Lacobel чорне")</f>
        <v>скло Lacobel чорне</v>
      </c>
      <c r="C1051" s="446"/>
      <c r="D1051" s="407">
        <f t="shared" si="152"/>
        <v>458.33333333333337</v>
      </c>
      <c r="E1051" s="93">
        <f>IF($W$5=0.2,D1051*1.2,D1051)/$W$4</f>
        <v>550</v>
      </c>
      <c r="F1051" s="26"/>
      <c r="G1051" s="26"/>
      <c r="H1051" s="5"/>
      <c r="AC1051" s="298">
        <v>550</v>
      </c>
      <c r="AD1051" s="298">
        <v>550</v>
      </c>
      <c r="AE1051" s="289"/>
      <c r="AF1051" s="289"/>
      <c r="AG1051" s="289"/>
      <c r="AH1051" s="289"/>
      <c r="AI1051" s="289"/>
      <c r="AJ1051" s="289"/>
      <c r="AK1051" s="289"/>
      <c r="AL1051" s="289"/>
    </row>
    <row r="1052" spans="1:46">
      <c r="B1052" s="445" t="str">
        <f>IF($C$1="ENG","door lock Soft","замок Soft")</f>
        <v>замок Soft</v>
      </c>
      <c r="C1052" s="446"/>
      <c r="D1052" s="407">
        <f t="shared" si="152"/>
        <v>458.33333333333337</v>
      </c>
      <c r="E1052" s="93">
        <f t="shared" si="153"/>
        <v>550</v>
      </c>
      <c r="F1052" s="26"/>
      <c r="G1052" s="26"/>
      <c r="H1052" s="5"/>
      <c r="AC1052" s="298">
        <v>550</v>
      </c>
      <c r="AD1052" s="289">
        <v>550</v>
      </c>
      <c r="AE1052" s="289">
        <f t="shared" si="154"/>
        <v>0</v>
      </c>
      <c r="AF1052" s="289"/>
      <c r="AG1052" s="289"/>
      <c r="AH1052" s="289"/>
      <c r="AI1052" s="289"/>
      <c r="AJ1052" s="289"/>
      <c r="AK1052" s="289"/>
      <c r="AL1052" s="289"/>
    </row>
    <row r="1053" spans="1:46">
      <c r="B1053" s="445" t="str">
        <f>IF($C$1="ENG","door lock Soft black","замок Soft чорн.")</f>
        <v>замок Soft чорн.</v>
      </c>
      <c r="C1053" s="446"/>
      <c r="D1053" s="407">
        <f t="shared" ref="D1053" si="155">IF(AC1053="","",(1-$W$2)*(AC1053/1.2))</f>
        <v>566.66666666666674</v>
      </c>
      <c r="E1053" s="93">
        <f t="shared" ref="E1053" si="156">IF($W$5=0.2,D1053*1.2,D1053)/$W$4</f>
        <v>680.00000000000011</v>
      </c>
      <c r="F1053" s="26"/>
      <c r="G1053" s="26"/>
      <c r="H1053" s="5"/>
      <c r="AC1053" s="298">
        <v>680</v>
      </c>
      <c r="AD1053" s="289"/>
      <c r="AE1053" s="289"/>
      <c r="AF1053" s="289"/>
      <c r="AG1053" s="289"/>
      <c r="AH1053" s="289"/>
      <c r="AI1053" s="289"/>
      <c r="AJ1053" s="289"/>
      <c r="AK1053" s="289"/>
      <c r="AL1053" s="289"/>
    </row>
    <row r="1054" spans="1:46">
      <c r="B1054" s="445" t="str">
        <f>IF($C$1="ENG","door lock Magnet","замок Magnet")</f>
        <v>замок Magnet</v>
      </c>
      <c r="C1054" s="446"/>
      <c r="D1054" s="407">
        <f t="shared" si="152"/>
        <v>666.66666666666674</v>
      </c>
      <c r="E1054" s="93">
        <f t="shared" si="153"/>
        <v>800.00000000000011</v>
      </c>
      <c r="F1054" s="26"/>
      <c r="G1054" s="26"/>
      <c r="H1054" s="5"/>
      <c r="AC1054" s="298">
        <v>800</v>
      </c>
      <c r="AD1054" s="289">
        <v>800</v>
      </c>
      <c r="AE1054" s="289">
        <f t="shared" si="154"/>
        <v>0</v>
      </c>
      <c r="AF1054" s="289"/>
      <c r="AG1054" s="289"/>
      <c r="AH1054" s="289"/>
      <c r="AI1054" s="289"/>
      <c r="AJ1054" s="289"/>
      <c r="AK1054" s="289"/>
      <c r="AL1054" s="289"/>
    </row>
    <row r="1055" spans="1:46">
      <c r="B1055" s="445" t="s">
        <v>76</v>
      </c>
      <c r="C1055" s="445"/>
      <c r="D1055" s="407">
        <f t="shared" ref="D1055" si="157">IF(AC1055="","",(1-$W$2)*(AC1055/1.2))</f>
        <v>833.33333333333337</v>
      </c>
      <c r="E1055" s="93">
        <f t="shared" ref="E1055" si="158">IF($W$5=0.2,D1055*1.2,D1055)/$W$4</f>
        <v>1000</v>
      </c>
      <c r="F1055" s="26"/>
      <c r="G1055" s="26"/>
      <c r="H1055" s="5"/>
      <c r="AC1055" s="298">
        <v>1000</v>
      </c>
      <c r="AD1055" s="289"/>
      <c r="AE1055" s="289"/>
      <c r="AF1055" s="289"/>
      <c r="AG1055" s="289"/>
      <c r="AH1055" s="289"/>
      <c r="AI1055" s="289"/>
      <c r="AJ1055" s="289"/>
      <c r="AK1055" s="289"/>
      <c r="AL1055" s="289"/>
    </row>
    <row r="1056" spans="1:46">
      <c r="B1056" s="445" t="str">
        <f>IF($C$1="ENG","door handle-lock (for sliding doors)","ручка-замок (для дверей купе)")</f>
        <v>ручка-замок (для дверей купе)</v>
      </c>
      <c r="C1056" s="446"/>
      <c r="D1056" s="405">
        <f t="shared" si="152"/>
        <v>466.66666666666669</v>
      </c>
      <c r="E1056" s="93">
        <f t="shared" si="153"/>
        <v>560</v>
      </c>
      <c r="F1056" s="26"/>
      <c r="G1056" s="26"/>
      <c r="I1056" s="11"/>
      <c r="J1056" s="11"/>
      <c r="K1056" s="19"/>
      <c r="AC1056" s="298">
        <v>560</v>
      </c>
      <c r="AD1056" s="289">
        <v>560</v>
      </c>
      <c r="AE1056" s="289">
        <f t="shared" si="154"/>
        <v>0</v>
      </c>
      <c r="AF1056" s="289"/>
      <c r="AG1056" s="289"/>
      <c r="AH1056" s="289"/>
      <c r="AI1056" s="289"/>
      <c r="AJ1056" s="289"/>
      <c r="AK1056" s="289"/>
      <c r="AL1056" s="289"/>
    </row>
    <row r="1057" spans="2:38">
      <c r="B1057" s="445" t="str">
        <f>IF($C$1="ENG","cylinder incert","циліндр несиметричний")</f>
        <v>циліндр несиметричний</v>
      </c>
      <c r="C1057" s="446"/>
      <c r="D1057" s="405">
        <f t="shared" si="152"/>
        <v>316.66666666666669</v>
      </c>
      <c r="E1057" s="93">
        <f t="shared" si="153"/>
        <v>380</v>
      </c>
      <c r="F1057" s="26"/>
      <c r="G1057" s="26"/>
      <c r="AC1057" s="298">
        <v>380</v>
      </c>
      <c r="AD1057" s="289">
        <v>380</v>
      </c>
      <c r="AE1057" s="289">
        <f t="shared" si="154"/>
        <v>0</v>
      </c>
      <c r="AF1057" s="289"/>
      <c r="AG1057" s="289"/>
      <c r="AH1057" s="289"/>
      <c r="AI1057" s="289"/>
      <c r="AJ1057" s="289"/>
      <c r="AK1057" s="289"/>
      <c r="AL1057" s="289"/>
    </row>
    <row r="1058" spans="2:38">
      <c r="B1058" s="445" t="str">
        <f>IF($C$1="ENG","door hindge Prestige (1 unit)","завіса Prestige (1 шт)")</f>
        <v>завіса Prestige (1 шт)</v>
      </c>
      <c r="C1058" s="446"/>
      <c r="D1058" s="408">
        <f t="shared" si="152"/>
        <v>216.66666666666669</v>
      </c>
      <c r="E1058" s="93">
        <f t="shared" si="153"/>
        <v>260</v>
      </c>
      <c r="F1058" s="26"/>
      <c r="G1058" s="26"/>
      <c r="AC1058" s="298">
        <v>260</v>
      </c>
      <c r="AD1058" s="289">
        <v>260</v>
      </c>
      <c r="AE1058" s="289">
        <f t="shared" si="154"/>
        <v>0</v>
      </c>
      <c r="AF1058" s="289"/>
      <c r="AG1058" s="289"/>
      <c r="AH1058" s="289"/>
      <c r="AI1058" s="289"/>
      <c r="AJ1058" s="289"/>
      <c r="AK1058" s="289"/>
      <c r="AL1058" s="289"/>
    </row>
    <row r="1059" spans="2:38">
      <c r="B1059" s="445" t="str">
        <f>IF($C$1="ENG","door hinge caps (1 set)","накладка на завіси (1 к-т)")</f>
        <v>накладка на завіси (1 к-т)</v>
      </c>
      <c r="C1059" s="446"/>
      <c r="D1059" s="408">
        <f t="shared" si="152"/>
        <v>66.666666666666671</v>
      </c>
      <c r="E1059" s="93">
        <f t="shared" si="153"/>
        <v>80</v>
      </c>
      <c r="F1059" s="26"/>
      <c r="G1059" s="26"/>
      <c r="AC1059" s="298">
        <v>80</v>
      </c>
      <c r="AD1059" s="289">
        <v>80</v>
      </c>
      <c r="AE1059" s="289">
        <f t="shared" si="154"/>
        <v>0</v>
      </c>
      <c r="AF1059" s="289"/>
      <c r="AG1059" s="289"/>
      <c r="AH1059" s="289"/>
      <c r="AI1059" s="289"/>
      <c r="AJ1059" s="289"/>
      <c r="AK1059" s="289"/>
      <c r="AL1059" s="289"/>
    </row>
    <row r="1060" spans="2:38">
      <c r="B1060" s="445" t="str">
        <f>IF($C$1="ENG","door handle","дверна ручка")</f>
        <v>дверна ручка</v>
      </c>
      <c r="C1060" s="446"/>
      <c r="D1060" s="409" t="str">
        <f t="shared" si="152"/>
        <v/>
      </c>
      <c r="E1060" s="247" t="str">
        <f>IF($C$1="ENG","see Handles Price","див. Таблицю Ручки")</f>
        <v>див. Таблицю Ручки</v>
      </c>
      <c r="F1060" s="26"/>
      <c r="G1060" s="26"/>
      <c r="AC1060" s="289"/>
      <c r="AD1060" s="289"/>
      <c r="AE1060" s="289"/>
      <c r="AF1060" s="289"/>
      <c r="AG1060" s="289"/>
      <c r="AH1060" s="289"/>
      <c r="AI1060" s="289"/>
      <c r="AJ1060" s="289"/>
      <c r="AK1060" s="289"/>
      <c r="AL1060" s="289"/>
    </row>
    <row r="1061" spans="2:38" ht="14.25" customHeight="1">
      <c r="C1061" s="245"/>
      <c r="D1061" s="26"/>
      <c r="E1061" s="26"/>
      <c r="F1061" s="26"/>
      <c r="G1061" s="26"/>
      <c r="H1061" s="5"/>
      <c r="T1061" s="465" t="str">
        <f>IF($C$1="ENG",CONCATENATE("down to: ",B1111),CONCATENATE("вниз до: ",B1111))</f>
        <v>вниз до: Полотна збірні: ЛАДА-ЛОФТ</v>
      </c>
      <c r="U1061" s="465"/>
      <c r="V1061" s="465"/>
      <c r="W1061" s="465"/>
    </row>
    <row r="1062" spans="2:38" ht="14.25" customHeight="1">
      <c r="C1062" s="245"/>
      <c r="D1062" s="26"/>
      <c r="E1062" s="26"/>
      <c r="F1062" s="26"/>
      <c r="G1062" s="26"/>
      <c r="H1062" s="5"/>
    </row>
    <row r="1063" spans="2:38" ht="14.25" customHeight="1">
      <c r="C1063" s="245"/>
      <c r="D1063" s="26"/>
      <c r="E1063" s="26"/>
      <c r="F1063" s="26"/>
      <c r="G1063" s="26"/>
      <c r="H1063" s="5"/>
    </row>
    <row r="1064" spans="2:38" ht="14.25" customHeight="1">
      <c r="C1064" s="245"/>
      <c r="D1064" s="26"/>
      <c r="E1064" s="26"/>
      <c r="F1064" s="26"/>
      <c r="G1064" s="26"/>
      <c r="H1064" s="5"/>
    </row>
    <row r="1065" spans="2:38" ht="14.25" customHeight="1">
      <c r="C1065" s="245"/>
      <c r="D1065" s="26"/>
      <c r="E1065" s="26"/>
      <c r="F1065" s="26"/>
      <c r="G1065" s="26"/>
      <c r="H1065" s="5"/>
    </row>
    <row r="1066" spans="2:38" ht="14.25" customHeight="1">
      <c r="C1066" s="245"/>
      <c r="D1066" s="26"/>
      <c r="E1066" s="26"/>
      <c r="F1066" s="26"/>
      <c r="G1066" s="26"/>
      <c r="H1066" s="5"/>
    </row>
    <row r="1067" spans="2:38" ht="14.25" customHeight="1">
      <c r="C1067" s="245"/>
      <c r="D1067" s="26"/>
      <c r="E1067" s="26"/>
      <c r="F1067" s="26"/>
      <c r="G1067" s="26"/>
      <c r="H1067" s="5"/>
    </row>
    <row r="1068" spans="2:38" ht="14.25" customHeight="1">
      <c r="C1068" s="245"/>
      <c r="D1068" s="26"/>
      <c r="E1068" s="26"/>
      <c r="F1068" s="26"/>
      <c r="G1068" s="26"/>
      <c r="H1068" s="5"/>
    </row>
    <row r="1069" spans="2:38" ht="14.25" customHeight="1">
      <c r="C1069" s="245"/>
      <c r="D1069" s="26"/>
      <c r="E1069" s="26"/>
      <c r="F1069" s="26"/>
      <c r="G1069" s="26"/>
      <c r="H1069" s="5"/>
    </row>
    <row r="1070" spans="2:38" ht="14.25" customHeight="1">
      <c r="C1070" s="245"/>
      <c r="D1070" s="26"/>
      <c r="E1070" s="26"/>
      <c r="F1070" s="26"/>
      <c r="G1070" s="26"/>
      <c r="H1070" s="5"/>
    </row>
    <row r="1071" spans="2:38" ht="14.25" customHeight="1">
      <c r="C1071" s="245"/>
      <c r="D1071" s="26"/>
      <c r="E1071" s="26"/>
      <c r="F1071" s="26"/>
      <c r="G1071" s="26"/>
      <c r="H1071" s="5"/>
    </row>
    <row r="1072" spans="2:38" ht="14.25" customHeight="1">
      <c r="C1072" s="245"/>
      <c r="D1072" s="26"/>
      <c r="E1072" s="26"/>
      <c r="F1072" s="26"/>
      <c r="G1072" s="26"/>
      <c r="H1072" s="5"/>
    </row>
    <row r="1073" spans="3:8" ht="14.25" customHeight="1">
      <c r="C1073" s="245"/>
      <c r="D1073" s="26"/>
      <c r="E1073" s="26"/>
      <c r="F1073" s="26"/>
      <c r="G1073" s="26"/>
      <c r="H1073" s="5"/>
    </row>
    <row r="1074" spans="3:8" ht="14.25" customHeight="1">
      <c r="C1074" s="245"/>
      <c r="D1074" s="26"/>
      <c r="E1074" s="26"/>
      <c r="F1074" s="26"/>
      <c r="G1074" s="26"/>
      <c r="H1074" s="5"/>
    </row>
    <row r="1075" spans="3:8" ht="14.25" customHeight="1">
      <c r="C1075" s="245"/>
      <c r="D1075" s="26"/>
      <c r="E1075" s="26"/>
      <c r="F1075" s="26"/>
      <c r="G1075" s="26"/>
      <c r="H1075" s="5"/>
    </row>
    <row r="1076" spans="3:8" ht="14.25" customHeight="1">
      <c r="C1076" s="245"/>
      <c r="D1076" s="26"/>
      <c r="E1076" s="26"/>
      <c r="F1076" s="26"/>
      <c r="G1076" s="26"/>
      <c r="H1076" s="5"/>
    </row>
    <row r="1077" spans="3:8" ht="14.25" customHeight="1">
      <c r="C1077" s="245"/>
      <c r="D1077" s="26"/>
      <c r="E1077" s="26"/>
      <c r="F1077" s="26"/>
      <c r="G1077" s="26"/>
      <c r="H1077" s="5"/>
    </row>
    <row r="1078" spans="3:8" ht="14.25" customHeight="1">
      <c r="C1078" s="245"/>
      <c r="D1078" s="26"/>
      <c r="E1078" s="26"/>
      <c r="F1078" s="26"/>
      <c r="G1078" s="26"/>
      <c r="H1078" s="5"/>
    </row>
    <row r="1079" spans="3:8" ht="14.25" customHeight="1">
      <c r="C1079" s="245"/>
      <c r="D1079" s="26"/>
      <c r="E1079" s="26"/>
      <c r="F1079" s="26"/>
      <c r="G1079" s="26"/>
      <c r="H1079" s="5"/>
    </row>
    <row r="1080" spans="3:8" ht="14.25" customHeight="1">
      <c r="C1080" s="245"/>
      <c r="D1080" s="26"/>
      <c r="E1080" s="26"/>
      <c r="F1080" s="26"/>
      <c r="G1080" s="26"/>
      <c r="H1080" s="5"/>
    </row>
    <row r="1081" spans="3:8" ht="14.25" customHeight="1">
      <c r="C1081" s="245"/>
      <c r="D1081" s="26"/>
      <c r="E1081" s="26"/>
      <c r="F1081" s="26"/>
      <c r="G1081" s="26"/>
      <c r="H1081" s="5"/>
    </row>
    <row r="1082" spans="3:8" ht="14.25" customHeight="1">
      <c r="C1082" s="245"/>
      <c r="D1082" s="26"/>
      <c r="E1082" s="26"/>
      <c r="F1082" s="26"/>
      <c r="G1082" s="26"/>
      <c r="H1082" s="5"/>
    </row>
    <row r="1083" spans="3:8" ht="14.25" customHeight="1">
      <c r="C1083" s="245"/>
      <c r="D1083" s="26"/>
      <c r="E1083" s="26"/>
      <c r="F1083" s="26"/>
      <c r="G1083" s="26"/>
      <c r="H1083" s="5"/>
    </row>
    <row r="1084" spans="3:8" ht="14.25" customHeight="1">
      <c r="C1084" s="245"/>
      <c r="D1084" s="26"/>
      <c r="E1084" s="26"/>
      <c r="F1084" s="26"/>
      <c r="G1084" s="26"/>
      <c r="H1084" s="5"/>
    </row>
    <row r="1085" spans="3:8" ht="14.25" customHeight="1">
      <c r="C1085" s="245"/>
      <c r="D1085" s="26"/>
      <c r="E1085" s="26"/>
      <c r="F1085" s="26"/>
      <c r="G1085" s="26"/>
      <c r="H1085" s="5"/>
    </row>
    <row r="1086" spans="3:8" ht="14.25" customHeight="1">
      <c r="C1086" s="245"/>
      <c r="D1086" s="26"/>
      <c r="E1086" s="26"/>
      <c r="F1086" s="26"/>
      <c r="G1086" s="26"/>
      <c r="H1086" s="5"/>
    </row>
    <row r="1087" spans="3:8" ht="14.25" customHeight="1">
      <c r="C1087" s="245"/>
      <c r="D1087" s="26"/>
      <c r="E1087" s="26"/>
      <c r="F1087" s="26"/>
      <c r="G1087" s="26"/>
      <c r="H1087" s="5"/>
    </row>
    <row r="1088" spans="3:8" ht="14.25" customHeight="1">
      <c r="C1088" s="245"/>
      <c r="D1088" s="26"/>
      <c r="E1088" s="26"/>
      <c r="F1088" s="26"/>
      <c r="G1088" s="26"/>
      <c r="H1088" s="5"/>
    </row>
    <row r="1089" spans="3:8" ht="14.25" customHeight="1">
      <c r="C1089" s="245"/>
      <c r="D1089" s="26"/>
      <c r="E1089" s="26"/>
      <c r="F1089" s="26"/>
      <c r="G1089" s="26"/>
      <c r="H1089" s="5"/>
    </row>
    <row r="1090" spans="3:8" ht="14.25" customHeight="1">
      <c r="C1090" s="245"/>
      <c r="D1090" s="26"/>
      <c r="E1090" s="26"/>
      <c r="F1090" s="26"/>
      <c r="G1090" s="26"/>
      <c r="H1090" s="5"/>
    </row>
    <row r="1091" spans="3:8" ht="14.25" customHeight="1">
      <c r="C1091" s="245"/>
      <c r="D1091" s="26"/>
      <c r="E1091" s="26"/>
      <c r="F1091" s="26"/>
      <c r="G1091" s="26"/>
      <c r="H1091" s="5"/>
    </row>
    <row r="1092" spans="3:8" ht="14.25" customHeight="1">
      <c r="C1092" s="245"/>
      <c r="D1092" s="26"/>
      <c r="E1092" s="26"/>
      <c r="F1092" s="26"/>
      <c r="G1092" s="26"/>
      <c r="H1092" s="5"/>
    </row>
    <row r="1093" spans="3:8" ht="14.25" customHeight="1">
      <c r="C1093" s="245"/>
      <c r="D1093" s="26"/>
      <c r="E1093" s="26"/>
      <c r="F1093" s="26"/>
      <c r="G1093" s="26"/>
      <c r="H1093" s="5"/>
    </row>
    <row r="1094" spans="3:8" ht="14.25" customHeight="1">
      <c r="C1094" s="245"/>
      <c r="D1094" s="26"/>
      <c r="E1094" s="26"/>
      <c r="F1094" s="26"/>
      <c r="G1094" s="26"/>
      <c r="H1094" s="5"/>
    </row>
    <row r="1095" spans="3:8" ht="14.25" customHeight="1">
      <c r="C1095" s="245"/>
      <c r="D1095" s="26"/>
      <c r="E1095" s="26"/>
      <c r="F1095" s="26"/>
      <c r="G1095" s="26"/>
      <c r="H1095" s="5"/>
    </row>
    <row r="1096" spans="3:8" ht="14.25" customHeight="1">
      <c r="C1096" s="245"/>
      <c r="D1096" s="26"/>
      <c r="E1096" s="26"/>
      <c r="F1096" s="26"/>
      <c r="G1096" s="26"/>
      <c r="H1096" s="5"/>
    </row>
    <row r="1097" spans="3:8" ht="14.25" customHeight="1">
      <c r="C1097" s="245"/>
      <c r="D1097" s="26"/>
      <c r="E1097" s="26"/>
      <c r="F1097" s="26"/>
      <c r="G1097" s="26"/>
      <c r="H1097" s="5"/>
    </row>
    <row r="1098" spans="3:8" ht="14.25" customHeight="1">
      <c r="C1098" s="245"/>
      <c r="D1098" s="26"/>
      <c r="E1098" s="26"/>
      <c r="F1098" s="26"/>
      <c r="G1098" s="26"/>
      <c r="H1098" s="5"/>
    </row>
    <row r="1099" spans="3:8" ht="14.25" customHeight="1">
      <c r="C1099" s="245"/>
      <c r="D1099" s="26"/>
      <c r="E1099" s="26"/>
      <c r="F1099" s="26"/>
      <c r="G1099" s="26"/>
      <c r="H1099" s="5"/>
    </row>
    <row r="1100" spans="3:8" ht="14.25" customHeight="1">
      <c r="C1100" s="245"/>
      <c r="D1100" s="26"/>
      <c r="E1100" s="26"/>
      <c r="F1100" s="26"/>
      <c r="G1100" s="26"/>
      <c r="H1100" s="5"/>
    </row>
    <row r="1101" spans="3:8" ht="14.25" customHeight="1">
      <c r="C1101" s="245"/>
      <c r="D1101" s="26"/>
      <c r="E1101" s="26"/>
      <c r="F1101" s="26"/>
      <c r="G1101" s="26"/>
      <c r="H1101" s="5"/>
    </row>
    <row r="1102" spans="3:8" ht="14.25" customHeight="1">
      <c r="C1102" s="245"/>
      <c r="D1102" s="26"/>
      <c r="E1102" s="26"/>
      <c r="F1102" s="26"/>
      <c r="G1102" s="26"/>
      <c r="H1102" s="5"/>
    </row>
    <row r="1103" spans="3:8" ht="14.25" customHeight="1">
      <c r="C1103" s="245"/>
      <c r="D1103" s="26"/>
      <c r="E1103" s="26"/>
      <c r="F1103" s="26"/>
      <c r="G1103" s="26"/>
      <c r="H1103" s="5"/>
    </row>
    <row r="1104" spans="3:8" ht="14.25" customHeight="1">
      <c r="C1104" s="245"/>
      <c r="D1104" s="26"/>
      <c r="E1104" s="26"/>
      <c r="F1104" s="26"/>
      <c r="G1104" s="26"/>
      <c r="H1104" s="5"/>
    </row>
    <row r="1105" spans="2:43" ht="14.25" customHeight="1">
      <c r="C1105" s="245"/>
      <c r="D1105" s="26"/>
      <c r="E1105" s="26"/>
      <c r="F1105" s="26"/>
      <c r="G1105" s="26"/>
      <c r="H1105" s="5"/>
    </row>
    <row r="1106" spans="2:43" ht="14.25" customHeight="1">
      <c r="C1106" s="245"/>
      <c r="D1106" s="26"/>
      <c r="E1106" s="26"/>
      <c r="F1106" s="26"/>
      <c r="G1106" s="26"/>
      <c r="H1106" s="5"/>
    </row>
    <row r="1107" spans="2:43" ht="14.25" customHeight="1">
      <c r="C1107" s="245"/>
      <c r="D1107" s="26"/>
      <c r="E1107" s="26"/>
      <c r="F1107" s="26"/>
      <c r="G1107" s="26"/>
      <c r="H1107" s="5"/>
    </row>
    <row r="1108" spans="2:43" ht="14.25" customHeight="1">
      <c r="C1108" s="245"/>
      <c r="D1108" s="26"/>
      <c r="E1108" s="26"/>
      <c r="F1108" s="26"/>
      <c r="G1108" s="26"/>
      <c r="H1108" s="5"/>
    </row>
    <row r="1109" spans="2:43" ht="14.25" customHeight="1">
      <c r="C1109" s="245"/>
      <c r="D1109" s="26"/>
      <c r="E1109" s="26"/>
      <c r="F1109" s="26"/>
      <c r="G1109" s="26"/>
      <c r="H1109" s="5"/>
    </row>
    <row r="1110" spans="2:43" ht="14.25" customHeight="1">
      <c r="C1110" s="245"/>
      <c r="D1110" s="26"/>
      <c r="E1110" s="26"/>
      <c r="F1110" s="26"/>
      <c r="G1110" s="26"/>
      <c r="H1110" s="5"/>
    </row>
    <row r="1111" spans="2:43" ht="14.25" customHeight="1">
      <c r="B1111" s="451" t="str">
        <f>TITLE!$C$23</f>
        <v>Полотна збірні: ЛАДА-ЛОФТ</v>
      </c>
      <c r="C1111" s="451"/>
      <c r="D1111" s="118"/>
      <c r="E1111" s="118"/>
      <c r="F1111" s="118"/>
      <c r="G1111" s="118"/>
      <c r="H1111" s="455"/>
      <c r="I1111" s="455"/>
      <c r="J1111" s="121"/>
      <c r="K1111" s="121"/>
      <c r="L1111" s="121"/>
      <c r="M1111" s="121"/>
      <c r="N1111" s="121"/>
      <c r="O1111" s="121"/>
      <c r="P1111" s="121"/>
      <c r="Q1111" s="121"/>
      <c r="R1111" s="121"/>
      <c r="S1111" s="121"/>
      <c r="T1111" s="462" t="str">
        <f>IF($C$1="ENG",CONCATENATE("up to: ",B1038),CONCATENATE("вгору до: ",B1038))</f>
        <v>вгору до: Полотна збірні: МІРА</v>
      </c>
      <c r="U1111" s="462"/>
      <c r="V1111" s="462"/>
      <c r="W1111" s="462"/>
      <c r="X1111" s="8"/>
      <c r="Y1111" s="8"/>
      <c r="Z1111" s="8"/>
      <c r="AA1111" s="8"/>
      <c r="AB1111" s="8"/>
      <c r="AC1111" s="8"/>
      <c r="AD1111" s="8"/>
      <c r="AE1111" s="8"/>
      <c r="AF1111" s="8"/>
      <c r="AG1111" s="8"/>
      <c r="AH1111" s="8"/>
      <c r="AI1111" s="8"/>
      <c r="AJ1111" s="8"/>
      <c r="AK1111" s="8"/>
      <c r="AL1111" s="8"/>
    </row>
    <row r="1112" spans="2:43" ht="5.0999999999999996" customHeight="1">
      <c r="B1112" s="117"/>
      <c r="C1112" s="420"/>
      <c r="D1112" s="9"/>
      <c r="E1112" s="9"/>
      <c r="F1112" s="9"/>
      <c r="G1112" s="9"/>
      <c r="H1112" s="120"/>
      <c r="I1112" s="120"/>
      <c r="L1112" s="8"/>
      <c r="M1112" s="8"/>
      <c r="N1112" s="8"/>
      <c r="O1112" s="8"/>
      <c r="P1112" s="8"/>
      <c r="Q1112" s="8"/>
      <c r="R1112" s="8"/>
      <c r="S1112" s="8"/>
      <c r="T1112" s="115"/>
      <c r="U1112" s="115"/>
      <c r="V1112" s="115"/>
      <c r="W1112" s="115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</row>
    <row r="1113" spans="2:43" ht="12.75" customHeight="1">
      <c r="B1113" s="452" t="str">
        <f>IF($C$1="ENG","model","модель")</f>
        <v>модель</v>
      </c>
      <c r="C1113" s="122" t="str">
        <f>IF($C$1="ENG","cover:","покриття:")</f>
        <v>покриття:</v>
      </c>
      <c r="D1113" s="458" t="str">
        <f>IF($C$1="ENG","Verto-CELL","Verto-CELL")</f>
        <v>Verto-CELL</v>
      </c>
      <c r="E1113" s="459"/>
      <c r="F1113" s="458" t="str">
        <f>IF($C$1="ENG","UNI-MAT","UNI-MAT")</f>
        <v>UNI-MAT</v>
      </c>
      <c r="G1113" s="459"/>
      <c r="H1113" s="458" t="str">
        <f>IF($C$1="ENG","RESIST","RESIST")</f>
        <v>RESIST</v>
      </c>
      <c r="I1113" s="459"/>
      <c r="J1113" s="458" t="str">
        <f>IF($C$1="ENG","Verto LINE-3D","Verto LINE-3D")</f>
        <v>Verto LINE-3D</v>
      </c>
      <c r="K1113" s="459"/>
      <c r="L1113" s="458" t="str">
        <f>IF($C$1="ENG","ECO Shpon","ЕКО Шпон")</f>
        <v>ЕКО Шпон</v>
      </c>
      <c r="M1113" s="459"/>
      <c r="N1113" s="8"/>
      <c r="O1113" s="8"/>
      <c r="P1113" s="20"/>
      <c r="Q1113" s="20"/>
      <c r="R1113" s="8"/>
      <c r="S1113" s="8"/>
      <c r="T1113" s="115"/>
      <c r="U1113" s="115"/>
      <c r="V1113" s="115"/>
      <c r="W1113" s="115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</row>
    <row r="1114" spans="2:43" ht="24" customHeight="1">
      <c r="B1114" s="453"/>
      <c r="C1114" s="123" t="str">
        <f>IF($C$1="ENG","filling:","заповнення:")</f>
        <v>заповнення:</v>
      </c>
      <c r="D1114" s="460" t="str">
        <f>IF($C$1="ENG","softwood","клеєний сосновий брус")</f>
        <v>клеєний сосновий брус</v>
      </c>
      <c r="E1114" s="461"/>
      <c r="F1114" s="460" t="str">
        <f>IF($C$1="ENG","softwood","клеєний сосновий брус")</f>
        <v>клеєний сосновий брус</v>
      </c>
      <c r="G1114" s="461"/>
      <c r="H1114" s="460" t="str">
        <f>IF($C$1="ENG","softwood","клеєний сосновий брус")</f>
        <v>клеєний сосновий брус</v>
      </c>
      <c r="I1114" s="461"/>
      <c r="J1114" s="460" t="str">
        <f>IF($C$1="ENG","softwood","клеєний сосновий брус")</f>
        <v>клеєний сосновий брус</v>
      </c>
      <c r="K1114" s="461"/>
      <c r="L1114" s="460" t="str">
        <f>IF($C$1="ENG","softwood","клеєний сосновий брус")</f>
        <v>клеєний сосновий брус</v>
      </c>
      <c r="M1114" s="461"/>
      <c r="N1114" s="11"/>
      <c r="O1114" s="11"/>
      <c r="P1114" s="20"/>
      <c r="Q1114" s="20"/>
      <c r="R1114" s="11"/>
      <c r="S1114" s="11"/>
      <c r="T1114" s="11"/>
      <c r="U1114" s="115"/>
      <c r="V1114" s="115"/>
      <c r="W1114" s="115"/>
      <c r="X1114" s="8"/>
      <c r="Y1114" s="8"/>
      <c r="Z1114" s="8"/>
      <c r="AA1114" s="8"/>
      <c r="AB1114" s="8"/>
      <c r="AC1114" s="8"/>
      <c r="AD1114" s="383">
        <f>AD1116/AC1116-1</f>
        <v>0.14006024096385539</v>
      </c>
      <c r="AE1114" s="383">
        <f>AE1116/AD1116-1</f>
        <v>2.9062087186261465E-2</v>
      </c>
      <c r="AF1114" s="383">
        <f>AF1116/AE1116-1</f>
        <v>7.7021822849807409E-2</v>
      </c>
      <c r="AG1114" s="383">
        <f>AG1116/AF1116-1</f>
        <v>4.6483909415971469E-2</v>
      </c>
      <c r="AH1114" s="8"/>
      <c r="AI1114" s="8"/>
      <c r="AJ1114" s="8"/>
      <c r="AK1114" s="8"/>
      <c r="AL1114" s="8"/>
    </row>
    <row r="1115" spans="2:43" ht="12.75" customHeight="1">
      <c r="B1115" s="454"/>
      <c r="C1115" s="124" t="str">
        <f>IF($C$1="ENG","glazing:","скління:")</f>
        <v>скління:</v>
      </c>
      <c r="D1115" s="449" t="str">
        <f>IF($C$1="ENG","Satin","Сатин")</f>
        <v>Сатин</v>
      </c>
      <c r="E1115" s="450"/>
      <c r="F1115" s="449" t="str">
        <f>IF($C$1="ENG","Satin","Сатин")</f>
        <v>Сатин</v>
      </c>
      <c r="G1115" s="450"/>
      <c r="H1115" s="449" t="str">
        <f>IF($C$1="ENG","Satin","Сатин")</f>
        <v>Сатин</v>
      </c>
      <c r="I1115" s="450"/>
      <c r="J1115" s="449" t="str">
        <f>IF($C$1="ENG","Satin","Сатин")</f>
        <v>Сатин</v>
      </c>
      <c r="K1115" s="450"/>
      <c r="L1115" s="449" t="str">
        <f>IF($C$1="ENG","Satin","Сатин")</f>
        <v>Сатин</v>
      </c>
      <c r="M1115" s="450"/>
      <c r="N1115" s="11"/>
      <c r="O1115" s="11"/>
      <c r="P1115" s="20"/>
      <c r="Q1115" s="20"/>
      <c r="R1115" s="11"/>
      <c r="S1115" s="11"/>
      <c r="T1115" s="11"/>
    </row>
    <row r="1116" spans="2:43" ht="34.5" customHeight="1">
      <c r="B1116" s="13" t="s">
        <v>19</v>
      </c>
      <c r="C1116" s="14"/>
      <c r="D1116" s="15">
        <f>IF(AC1116="","",(1-$W$2)*(AC1116/1.2))</f>
        <v>5533.3333333333339</v>
      </c>
      <c r="E1116" s="64">
        <f>IF($W$5=0.2,D1116*1.2,D1116)/$W$4</f>
        <v>6640.0000000000009</v>
      </c>
      <c r="F1116" s="15">
        <f>IF(AD1116="","",(1-$W$2)*(AD1116/1.2))</f>
        <v>6308.3333333333339</v>
      </c>
      <c r="G1116" s="64">
        <f>IF($W$5=0.2,F1116*1.2,F1116)/$W$4</f>
        <v>7570</v>
      </c>
      <c r="H1116" s="15">
        <f>IF(AE1116="","",(1-$W$2)*(AE1116/1.2))</f>
        <v>6491.666666666667</v>
      </c>
      <c r="I1116" s="64">
        <f>IF($W$5=0.2,H1116*1.2,H1116)/$W$4</f>
        <v>7790</v>
      </c>
      <c r="J1116" s="15">
        <f>IF(AF1116="","",(1-$W$2)*(AF1116/1.2))</f>
        <v>6991.666666666667</v>
      </c>
      <c r="K1116" s="64">
        <f>IF($W$5=0.2,J1116*1.2,J1116)/$W$4</f>
        <v>8390</v>
      </c>
      <c r="L1116" s="15">
        <f>IF(AG1116="","",(1-$W$2)*(AG1116/1.2))</f>
        <v>7316.666666666667</v>
      </c>
      <c r="M1116" s="64">
        <f>IF($W$5=0.2,L1116*1.2,L1116)/$W$4</f>
        <v>8780</v>
      </c>
      <c r="N1116" s="104"/>
      <c r="O1116" s="20"/>
      <c r="P1116" s="20"/>
      <c r="Q1116" s="20"/>
      <c r="R1116" s="104"/>
      <c r="S1116" s="20"/>
      <c r="T1116" s="104"/>
      <c r="U1116" s="20"/>
      <c r="V1116" s="104"/>
      <c r="W1116" s="20"/>
      <c r="X1116" s="22"/>
      <c r="Y1116" s="22"/>
      <c r="Z1116" s="22"/>
      <c r="AA1116" s="22"/>
      <c r="AB1116" s="22"/>
      <c r="AC1116" s="332">
        <v>6640</v>
      </c>
      <c r="AD1116" s="391">
        <v>7570</v>
      </c>
      <c r="AE1116" s="332">
        <v>7790</v>
      </c>
      <c r="AF1116" s="332">
        <v>8390</v>
      </c>
      <c r="AG1116" s="332">
        <v>8780</v>
      </c>
      <c r="AH1116" s="289">
        <v>6640</v>
      </c>
      <c r="AI1116" s="289">
        <f>AH1116/AC1116-1</f>
        <v>0</v>
      </c>
      <c r="AJ1116" s="289">
        <v>7570</v>
      </c>
      <c r="AK1116" s="289">
        <f>AJ1116/AD1116-1</f>
        <v>0</v>
      </c>
      <c r="AL1116" s="289">
        <v>7790</v>
      </c>
      <c r="AM1116" s="289">
        <f>AL1116/AE1116-1</f>
        <v>0</v>
      </c>
      <c r="AN1116" s="289">
        <v>8390</v>
      </c>
      <c r="AO1116" s="289">
        <f>AN1116/AF1116-1</f>
        <v>0</v>
      </c>
      <c r="AP1116" s="289">
        <v>8780</v>
      </c>
      <c r="AQ1116" s="289">
        <f>AP1116/AG1116-1</f>
        <v>0</v>
      </c>
    </row>
    <row r="1117" spans="2:43" ht="34.5" customHeight="1">
      <c r="B1117" s="16" t="s">
        <v>17</v>
      </c>
      <c r="C1117" s="17"/>
      <c r="D1117" s="18">
        <f>IF(AC1117="","",(1-$W$2)*(AC1117/1.2))</f>
        <v>5791.666666666667</v>
      </c>
      <c r="E1117" s="66">
        <f>IF($W$5=0.2,D1117*1.2,D1117)/$W$4</f>
        <v>6950</v>
      </c>
      <c r="F1117" s="18">
        <f>IF(AD1117="","",(1-$W$2)*(AD1117/1.2))</f>
        <v>6608.3333333333339</v>
      </c>
      <c r="G1117" s="66">
        <f>IF($W$5=0.2,F1117*1.2,F1117)/$W$4</f>
        <v>7930</v>
      </c>
      <c r="H1117" s="18">
        <f>IF(AE1117="","",(1-$W$2)*(AE1117/1.2))</f>
        <v>6791.666666666667</v>
      </c>
      <c r="I1117" s="66">
        <f>IF($W$5=0.2,H1117*1.2,H1117)/$W$4</f>
        <v>8150</v>
      </c>
      <c r="J1117" s="18">
        <f>IF(AF1117="","",(1-$W$2)*(AF1117/1.2))</f>
        <v>7291.666666666667</v>
      </c>
      <c r="K1117" s="66">
        <f>IF($W$5=0.2,J1117*1.2,J1117)/$W$4</f>
        <v>8750</v>
      </c>
      <c r="L1117" s="18">
        <f>IF(AG1117="","",(1-$W$2)*(AG1117/1.2))</f>
        <v>7608.3333333333339</v>
      </c>
      <c r="M1117" s="66">
        <f>IF($W$5=0.2,L1117*1.2,L1117)/$W$4</f>
        <v>9130</v>
      </c>
      <c r="N1117" s="104"/>
      <c r="O1117" s="20"/>
      <c r="P1117" s="20"/>
      <c r="Q1117" s="20"/>
      <c r="R1117" s="104"/>
      <c r="S1117" s="20"/>
      <c r="T1117" s="104"/>
      <c r="U1117" s="20"/>
      <c r="V1117" s="104"/>
      <c r="W1117" s="20"/>
      <c r="X1117" s="22"/>
      <c r="Y1117" s="22"/>
      <c r="Z1117" s="22"/>
      <c r="AA1117" s="22"/>
      <c r="AB1117" s="22"/>
      <c r="AC1117" s="332">
        <v>6950</v>
      </c>
      <c r="AD1117" s="391">
        <v>7930</v>
      </c>
      <c r="AE1117" s="332">
        <v>8150</v>
      </c>
      <c r="AF1117" s="332">
        <v>8750</v>
      </c>
      <c r="AG1117" s="332">
        <v>9130</v>
      </c>
      <c r="AH1117" s="289">
        <v>6950</v>
      </c>
      <c r="AI1117" s="289">
        <f t="shared" ref="AI1117:AI1120" si="159">AH1117/AC1117-1</f>
        <v>0</v>
      </c>
      <c r="AJ1117" s="289">
        <v>7930</v>
      </c>
      <c r="AK1117" s="289">
        <f t="shared" ref="AK1117:AK1120" si="160">AJ1117/AD1117-1</f>
        <v>0</v>
      </c>
      <c r="AL1117" s="289">
        <v>8150</v>
      </c>
      <c r="AM1117" s="289">
        <f t="shared" ref="AM1117:AM1120" si="161">AL1117/AE1117-1</f>
        <v>0</v>
      </c>
      <c r="AN1117" s="289">
        <v>8750</v>
      </c>
      <c r="AO1117" s="289">
        <f t="shared" ref="AO1117:AO1120" si="162">AN1117/AF1117-1</f>
        <v>0</v>
      </c>
      <c r="AP1117" s="289">
        <v>9130</v>
      </c>
      <c r="AQ1117" s="289">
        <f t="shared" ref="AQ1117:AQ1120" si="163">AP1117/AG1117-1</f>
        <v>0</v>
      </c>
    </row>
    <row r="1118" spans="2:43" ht="34.5" customHeight="1">
      <c r="B1118" s="16" t="s">
        <v>20</v>
      </c>
      <c r="C1118" s="17"/>
      <c r="D1118" s="18">
        <f>IF(AC1118="","",(1-$W$2)*(AC1118/1.2))</f>
        <v>5533.3333333333339</v>
      </c>
      <c r="E1118" s="66">
        <f>IF($W$5=0.2,D1118*1.2,D1118)/$W$4</f>
        <v>6640.0000000000009</v>
      </c>
      <c r="F1118" s="18">
        <f>IF(AD1118="","",(1-$W$2)*(AD1118/1.2))</f>
        <v>6308.3333333333339</v>
      </c>
      <c r="G1118" s="66">
        <f>IF($W$5=0.2,F1118*1.2,F1118)/$W$4</f>
        <v>7570</v>
      </c>
      <c r="H1118" s="18">
        <f>IF(AE1118="","",(1-$W$2)*(AE1118/1.2))</f>
        <v>6491.666666666667</v>
      </c>
      <c r="I1118" s="66">
        <f>IF($W$5=0.2,H1118*1.2,H1118)/$W$4</f>
        <v>7790</v>
      </c>
      <c r="J1118" s="18">
        <f>IF(AF1118="","",(1-$W$2)*(AF1118/1.2))</f>
        <v>6991.666666666667</v>
      </c>
      <c r="K1118" s="66">
        <f>IF($W$5=0.2,J1118*1.2,J1118)/$W$4</f>
        <v>8390</v>
      </c>
      <c r="L1118" s="18">
        <f>IF(AG1118="","",(1-$W$2)*(AG1118/1.2))</f>
        <v>7316.666666666667</v>
      </c>
      <c r="M1118" s="66">
        <f>IF($W$5=0.2,L1118*1.2,L1118)/$W$4</f>
        <v>8780</v>
      </c>
      <c r="N1118" s="104"/>
      <c r="O1118" s="20"/>
      <c r="P1118" s="20"/>
      <c r="Q1118" s="20"/>
      <c r="R1118" s="104"/>
      <c r="S1118" s="20"/>
      <c r="T1118" s="104"/>
      <c r="U1118" s="20"/>
      <c r="V1118" s="104"/>
      <c r="W1118" s="20"/>
      <c r="X1118" s="22"/>
      <c r="Y1118" s="22"/>
      <c r="Z1118" s="22"/>
      <c r="AA1118" s="22"/>
      <c r="AB1118" s="22"/>
      <c r="AC1118" s="332">
        <v>6640</v>
      </c>
      <c r="AD1118" s="391">
        <v>7570</v>
      </c>
      <c r="AE1118" s="332">
        <v>7790</v>
      </c>
      <c r="AF1118" s="332">
        <v>8390</v>
      </c>
      <c r="AG1118" s="332">
        <v>8780</v>
      </c>
      <c r="AH1118" s="289">
        <v>6640</v>
      </c>
      <c r="AI1118" s="289">
        <f t="shared" si="159"/>
        <v>0</v>
      </c>
      <c r="AJ1118" s="289">
        <v>7570</v>
      </c>
      <c r="AK1118" s="289">
        <f t="shared" si="160"/>
        <v>0</v>
      </c>
      <c r="AL1118" s="289">
        <v>7790</v>
      </c>
      <c r="AM1118" s="289">
        <f t="shared" si="161"/>
        <v>0</v>
      </c>
      <c r="AN1118" s="289">
        <v>8390</v>
      </c>
      <c r="AO1118" s="289">
        <f t="shared" si="162"/>
        <v>0</v>
      </c>
      <c r="AP1118" s="289">
        <v>8780</v>
      </c>
      <c r="AQ1118" s="289">
        <f t="shared" si="163"/>
        <v>0</v>
      </c>
    </row>
    <row r="1119" spans="2:43" ht="34.5" customHeight="1">
      <c r="B1119" s="16" t="s">
        <v>21</v>
      </c>
      <c r="C1119" s="17"/>
      <c r="D1119" s="18">
        <f>IF(AC1119="","",(1-$W$2)*(AC1119/1.2))</f>
        <v>5550</v>
      </c>
      <c r="E1119" s="66">
        <f>IF($W$5=0.2,D1119*1.2,D1119)/$W$4</f>
        <v>6660</v>
      </c>
      <c r="F1119" s="18">
        <f>IF(AD1119="","",(1-$W$2)*(AD1119/1.2))</f>
        <v>6325</v>
      </c>
      <c r="G1119" s="66">
        <f>IF($W$5=0.2,F1119*1.2,F1119)/$W$4</f>
        <v>7590</v>
      </c>
      <c r="H1119" s="18">
        <f>IF(AE1119="","",(1-$W$2)*(AE1119/1.2))</f>
        <v>6575</v>
      </c>
      <c r="I1119" s="66">
        <f>IF($W$5=0.2,H1119*1.2,H1119)/$W$4</f>
        <v>7890</v>
      </c>
      <c r="J1119" s="18">
        <f>IF(AF1119="","",(1-$W$2)*(AF1119/1.2))</f>
        <v>7050</v>
      </c>
      <c r="K1119" s="66">
        <f>IF($W$5=0.2,J1119*1.2,J1119)/$W$4</f>
        <v>8460</v>
      </c>
      <c r="L1119" s="18">
        <f>IF(AG1119="","",(1-$W$2)*(AG1119/1.2))</f>
        <v>7375</v>
      </c>
      <c r="M1119" s="66">
        <f>IF($W$5=0.2,L1119*1.2,L1119)/$W$4</f>
        <v>8850</v>
      </c>
      <c r="N1119" s="104"/>
      <c r="O1119" s="20"/>
      <c r="P1119" s="20"/>
      <c r="Q1119" s="20"/>
      <c r="R1119" s="104"/>
      <c r="S1119" s="20"/>
      <c r="T1119" s="104"/>
      <c r="U1119" s="20"/>
      <c r="V1119" s="104"/>
      <c r="W1119" s="20"/>
      <c r="X1119" s="22"/>
      <c r="Y1119" s="22"/>
      <c r="Z1119" s="22"/>
      <c r="AA1119" s="22"/>
      <c r="AB1119" s="22"/>
      <c r="AC1119" s="332">
        <v>6660</v>
      </c>
      <c r="AD1119" s="391">
        <v>7590</v>
      </c>
      <c r="AE1119" s="332">
        <v>7890</v>
      </c>
      <c r="AF1119" s="332">
        <v>8460</v>
      </c>
      <c r="AG1119" s="332">
        <v>8850</v>
      </c>
      <c r="AH1119" s="289">
        <v>6660</v>
      </c>
      <c r="AI1119" s="289">
        <f t="shared" si="159"/>
        <v>0</v>
      </c>
      <c r="AJ1119" s="289">
        <v>7590</v>
      </c>
      <c r="AK1119" s="289">
        <f t="shared" si="160"/>
        <v>0</v>
      </c>
      <c r="AL1119" s="289">
        <v>7890</v>
      </c>
      <c r="AM1119" s="289">
        <f t="shared" si="161"/>
        <v>0</v>
      </c>
      <c r="AN1119" s="289">
        <v>8460</v>
      </c>
      <c r="AO1119" s="289">
        <f t="shared" si="162"/>
        <v>0</v>
      </c>
      <c r="AP1119" s="289">
        <v>8850</v>
      </c>
      <c r="AQ1119" s="289">
        <f t="shared" si="163"/>
        <v>0</v>
      </c>
    </row>
    <row r="1120" spans="2:43" ht="34.5" customHeight="1">
      <c r="B1120" s="23" t="s">
        <v>33</v>
      </c>
      <c r="C1120" s="24"/>
      <c r="D1120" s="25">
        <f>IF(AC1120="","",(1-$W$2)*(AC1120/1.2))</f>
        <v>5650</v>
      </c>
      <c r="E1120" s="69">
        <f>IF($W$5=0.2,D1120*1.2,D1120)/$W$4</f>
        <v>6780</v>
      </c>
      <c r="F1120" s="25">
        <f>IF(AD1120="","",(1-$W$2)*(AD1120/1.2))</f>
        <v>6433.3333333333339</v>
      </c>
      <c r="G1120" s="69">
        <f>IF($W$5=0.2,F1120*1.2,F1120)/$W$4</f>
        <v>7720</v>
      </c>
      <c r="H1120" s="25">
        <f>IF(AE1120="","",(1-$W$2)*(AE1120/1.2))</f>
        <v>6600</v>
      </c>
      <c r="I1120" s="69">
        <f>IF($W$5=0.2,H1120*1.2,H1120)/$W$4</f>
        <v>7920</v>
      </c>
      <c r="J1120" s="25">
        <f>IF(AF1120="","",(1-$W$2)*(AF1120/1.2))</f>
        <v>7116.666666666667</v>
      </c>
      <c r="K1120" s="69">
        <f>IF($W$5=0.2,J1120*1.2,J1120)/$W$4</f>
        <v>8540</v>
      </c>
      <c r="L1120" s="25">
        <f>IF(AG1120="","",(1-$W$2)*(AG1120/1.2))</f>
        <v>7441.666666666667</v>
      </c>
      <c r="M1120" s="69">
        <f>IF($W$5=0.2,L1120*1.2,L1120)/$W$4</f>
        <v>8930</v>
      </c>
      <c r="N1120" s="104"/>
      <c r="O1120" s="20"/>
      <c r="P1120" s="20"/>
      <c r="Q1120" s="20"/>
      <c r="R1120" s="104"/>
      <c r="S1120" s="20"/>
      <c r="T1120" s="104"/>
      <c r="U1120" s="20"/>
      <c r="V1120" s="104"/>
      <c r="W1120" s="20"/>
      <c r="X1120" s="22"/>
      <c r="Y1120" s="22"/>
      <c r="Z1120" s="22"/>
      <c r="AA1120" s="22"/>
      <c r="AB1120" s="22"/>
      <c r="AC1120" s="332">
        <v>6780</v>
      </c>
      <c r="AD1120" s="391">
        <v>7720</v>
      </c>
      <c r="AE1120" s="332">
        <v>7920</v>
      </c>
      <c r="AF1120" s="332">
        <v>8540</v>
      </c>
      <c r="AG1120" s="332">
        <v>8930</v>
      </c>
      <c r="AH1120" s="289">
        <v>6780</v>
      </c>
      <c r="AI1120" s="289">
        <f t="shared" si="159"/>
        <v>0</v>
      </c>
      <c r="AJ1120" s="289">
        <v>7720</v>
      </c>
      <c r="AK1120" s="289">
        <f t="shared" si="160"/>
        <v>0</v>
      </c>
      <c r="AL1120" s="289">
        <v>7920</v>
      </c>
      <c r="AM1120" s="289">
        <f t="shared" si="161"/>
        <v>0</v>
      </c>
      <c r="AN1120" s="289">
        <v>8540</v>
      </c>
      <c r="AO1120" s="289">
        <f t="shared" si="162"/>
        <v>0</v>
      </c>
      <c r="AP1120" s="289">
        <v>8930</v>
      </c>
      <c r="AQ1120" s="289">
        <f t="shared" si="163"/>
        <v>0</v>
      </c>
    </row>
    <row r="1121" spans="2:38" ht="14.25" customHeight="1">
      <c r="C1121" s="245"/>
      <c r="D1121" s="26"/>
      <c r="E1121" s="57"/>
      <c r="F1121" s="26"/>
      <c r="G1121" s="57"/>
      <c r="H1121" s="5"/>
      <c r="P1121" s="20"/>
      <c r="Q1121" s="20"/>
    </row>
    <row r="1122" spans="2:38" ht="12.75" customHeight="1">
      <c r="B1122" s="212" t="str">
        <f>IF($C$1="ENG","For additonal charge:","Послуги за додаткову плату:")</f>
        <v>Послуги за додаткову плату:</v>
      </c>
      <c r="C1122" s="421"/>
      <c r="D1122" s="213"/>
      <c r="E1122" s="214"/>
      <c r="F1122" s="26"/>
      <c r="G1122" s="57"/>
      <c r="H1122" s="10"/>
      <c r="I1122" s="8"/>
      <c r="J1122" s="8"/>
      <c r="K1122" s="8"/>
      <c r="P1122" s="20"/>
      <c r="Q1122" s="20"/>
    </row>
    <row r="1123" spans="2:38" ht="4.5" customHeight="1">
      <c r="B1123" s="27"/>
      <c r="C1123" s="245"/>
      <c r="D1123" s="26"/>
      <c r="E1123" s="57"/>
      <c r="F1123" s="26"/>
      <c r="G1123" s="26"/>
      <c r="H1123" s="10"/>
      <c r="I1123" s="8"/>
      <c r="J1123" s="8"/>
      <c r="K1123" s="8"/>
    </row>
    <row r="1124" spans="2:38" ht="12.75" customHeight="1">
      <c r="B1124" s="447" t="str">
        <f>IF($C$1="ENG","door leaf with width 100","полотно розміром 100")</f>
        <v>полотно розміром 100</v>
      </c>
      <c r="C1124" s="448"/>
      <c r="D1124" s="410">
        <f t="shared" ref="D1124:D1137" si="164">IF(AC1124="","",(1-$W$2)*(AC1124/1.2))</f>
        <v>600</v>
      </c>
      <c r="E1124" s="92">
        <f t="shared" ref="E1124:E1136" si="165">IF($W$5=0.2,D1124*1.2,D1124)/$W$4</f>
        <v>720</v>
      </c>
      <c r="F1124" s="26"/>
      <c r="G1124" s="26"/>
      <c r="H1124" s="10"/>
      <c r="I1124" s="8"/>
      <c r="J1124" s="8"/>
      <c r="K1124" s="8"/>
      <c r="AC1124" s="289">
        <v>720</v>
      </c>
      <c r="AD1124" s="289">
        <v>720</v>
      </c>
      <c r="AE1124" s="289"/>
      <c r="AF1124" s="289"/>
      <c r="AG1124" s="289"/>
      <c r="AH1124" s="289"/>
      <c r="AI1124" s="289"/>
      <c r="AJ1124" s="289"/>
      <c r="AK1124" s="289"/>
      <c r="AL1124" s="289"/>
    </row>
    <row r="1125" spans="2:38" ht="12.75" customHeight="1">
      <c r="B1125" s="445" t="str">
        <f>IF($C$1="ENG","Ventilation sleeves (1 row)","вентиляційні віддушини (1ряд)")</f>
        <v>вентиляційні віддушини (1ряд)</v>
      </c>
      <c r="C1125" s="446"/>
      <c r="D1125" s="405">
        <f t="shared" si="164"/>
        <v>208.33333333333334</v>
      </c>
      <c r="E1125" s="93">
        <f t="shared" si="165"/>
        <v>250</v>
      </c>
      <c r="F1125" s="26"/>
      <c r="G1125" s="26"/>
      <c r="I1125" s="11"/>
      <c r="J1125" s="11"/>
      <c r="K1125" s="11"/>
      <c r="AC1125" s="289">
        <v>250</v>
      </c>
      <c r="AD1125" s="289">
        <v>250</v>
      </c>
      <c r="AE1125" s="289"/>
      <c r="AF1125" s="289"/>
      <c r="AG1125" s="289"/>
      <c r="AH1125" s="289"/>
      <c r="AI1125" s="289"/>
      <c r="AJ1125" s="289"/>
      <c r="AK1125" s="289"/>
      <c r="AL1125" s="289"/>
    </row>
    <row r="1126" spans="2:38" ht="12.75" customHeight="1">
      <c r="B1126" s="447" t="str">
        <f>IF($C$1="ENG","Ventilation cut","вентиляційний підріз")</f>
        <v>вентиляційний підріз</v>
      </c>
      <c r="C1126" s="448"/>
      <c r="D1126" s="405">
        <f t="shared" si="164"/>
        <v>141.66666666666669</v>
      </c>
      <c r="E1126" s="66">
        <f t="shared" si="165"/>
        <v>170.00000000000003</v>
      </c>
      <c r="F1126" s="26"/>
      <c r="G1126" s="26"/>
      <c r="I1126" s="59"/>
      <c r="J1126" s="28"/>
      <c r="AC1126" s="289">
        <v>170</v>
      </c>
      <c r="AD1126" s="289">
        <v>170</v>
      </c>
      <c r="AE1126" s="289"/>
      <c r="AF1126" s="289"/>
      <c r="AG1126" s="289"/>
      <c r="AH1126" s="289"/>
      <c r="AI1126" s="289"/>
      <c r="AJ1126" s="289"/>
      <c r="AK1126" s="289"/>
      <c r="AL1126" s="289"/>
    </row>
    <row r="1127" spans="2:38" ht="12.75" customHeight="1">
      <c r="B1127" s="445" t="str">
        <f>IF($C$1="ENG","glazing Graphite / Bronze","скло Графіт / Бронза")</f>
        <v>скло Графіт / Бронза</v>
      </c>
      <c r="C1127" s="446"/>
      <c r="D1127" s="407">
        <f t="shared" si="164"/>
        <v>458.33333333333337</v>
      </c>
      <c r="E1127" s="93">
        <f t="shared" si="165"/>
        <v>550</v>
      </c>
      <c r="F1127" s="26"/>
      <c r="G1127" s="26"/>
      <c r="H1127" s="5"/>
      <c r="AC1127" s="289">
        <v>550</v>
      </c>
      <c r="AD1127" s="289">
        <v>550</v>
      </c>
      <c r="AE1127" s="289"/>
      <c r="AF1127" s="289"/>
      <c r="AG1127" s="289"/>
      <c r="AH1127" s="289"/>
      <c r="AI1127" s="289"/>
      <c r="AJ1127" s="289"/>
      <c r="AK1127" s="289"/>
      <c r="AL1127" s="289"/>
    </row>
    <row r="1128" spans="2:38">
      <c r="B1128" s="445" t="str">
        <f>IF($C$1="ENG","glazing Lacobel black ","скло Lacobel чорне")</f>
        <v>скло Lacobel чорне</v>
      </c>
      <c r="C1128" s="446"/>
      <c r="D1128" s="407">
        <f t="shared" si="164"/>
        <v>458.33333333333337</v>
      </c>
      <c r="E1128" s="93">
        <f>IF($W$5=0.2,D1128*1.2,D1128)/$W$4</f>
        <v>550</v>
      </c>
      <c r="F1128" s="26"/>
      <c r="G1128" s="26"/>
      <c r="H1128" s="5"/>
      <c r="AC1128" s="298">
        <v>550</v>
      </c>
      <c r="AD1128" s="298">
        <v>550</v>
      </c>
      <c r="AE1128" s="289"/>
      <c r="AF1128" s="289"/>
      <c r="AG1128" s="289"/>
      <c r="AH1128" s="289"/>
      <c r="AI1128" s="289"/>
      <c r="AJ1128" s="289"/>
      <c r="AK1128" s="289"/>
      <c r="AL1128" s="289"/>
    </row>
    <row r="1129" spans="2:38" ht="12.75" customHeight="1">
      <c r="B1129" s="445" t="str">
        <f>IF($C$1="ENG","door lock Soft","замок Soft")</f>
        <v>замок Soft</v>
      </c>
      <c r="C1129" s="446"/>
      <c r="D1129" s="407">
        <f t="shared" si="164"/>
        <v>458.33333333333337</v>
      </c>
      <c r="E1129" s="93">
        <f t="shared" si="165"/>
        <v>550</v>
      </c>
      <c r="F1129" s="26"/>
      <c r="G1129" s="26"/>
      <c r="H1129" s="5"/>
      <c r="AC1129" s="289">
        <v>550</v>
      </c>
      <c r="AD1129" s="289">
        <v>550</v>
      </c>
      <c r="AE1129" s="289"/>
      <c r="AF1129" s="289"/>
      <c r="AG1129" s="289"/>
      <c r="AH1129" s="289"/>
      <c r="AI1129" s="289"/>
      <c r="AJ1129" s="289"/>
      <c r="AK1129" s="289"/>
      <c r="AL1129" s="289"/>
    </row>
    <row r="1130" spans="2:38" ht="12.75" customHeight="1">
      <c r="B1130" s="445" t="str">
        <f>IF($C$1="ENG","door lock Soft black","замок Soft чорн.")</f>
        <v>замок Soft чорн.</v>
      </c>
      <c r="C1130" s="446"/>
      <c r="D1130" s="407">
        <f t="shared" ref="D1130" si="166">IF(AC1130="","",(1-$W$2)*(AC1130/1.2))</f>
        <v>566.66666666666674</v>
      </c>
      <c r="E1130" s="93">
        <f t="shared" ref="E1130" si="167">IF($W$5=0.2,D1130*1.2,D1130)/$W$4</f>
        <v>680.00000000000011</v>
      </c>
      <c r="F1130" s="26"/>
      <c r="G1130" s="26"/>
      <c r="H1130" s="5"/>
      <c r="AC1130" s="289">
        <v>680</v>
      </c>
      <c r="AD1130" s="289"/>
      <c r="AE1130" s="289"/>
      <c r="AF1130" s="289"/>
      <c r="AG1130" s="289"/>
      <c r="AH1130" s="289"/>
      <c r="AI1130" s="289"/>
      <c r="AJ1130" s="289"/>
      <c r="AK1130" s="289"/>
      <c r="AL1130" s="289"/>
    </row>
    <row r="1131" spans="2:38" ht="12.75" customHeight="1">
      <c r="B1131" s="445" t="str">
        <f>IF($C$1="ENG","door lock Magnet","замок Magnet")</f>
        <v>замок Magnet</v>
      </c>
      <c r="C1131" s="446"/>
      <c r="D1131" s="407">
        <f t="shared" si="164"/>
        <v>666.66666666666674</v>
      </c>
      <c r="E1131" s="93">
        <f t="shared" si="165"/>
        <v>800.00000000000011</v>
      </c>
      <c r="F1131" s="26"/>
      <c r="G1131" s="26"/>
      <c r="H1131" s="5"/>
      <c r="AC1131" s="289">
        <v>800</v>
      </c>
      <c r="AD1131" s="289">
        <v>800</v>
      </c>
      <c r="AE1131" s="289"/>
      <c r="AF1131" s="289"/>
      <c r="AG1131" s="289"/>
      <c r="AH1131" s="289"/>
      <c r="AI1131" s="289"/>
      <c r="AJ1131" s="289"/>
      <c r="AK1131" s="289"/>
      <c r="AL1131" s="289"/>
    </row>
    <row r="1132" spans="2:38" ht="12.75" customHeight="1">
      <c r="B1132" s="445" t="s">
        <v>76</v>
      </c>
      <c r="C1132" s="446"/>
      <c r="D1132" s="407">
        <f t="shared" ref="D1132" si="168">IF(AC1132="","",(1-$W$2)*(AC1132/1.2))</f>
        <v>833.33333333333337</v>
      </c>
      <c r="E1132" s="93">
        <f t="shared" ref="E1132" si="169">IF($W$5=0.2,D1132*1.2,D1132)/$W$4</f>
        <v>1000</v>
      </c>
      <c r="F1132" s="26"/>
      <c r="G1132" s="26"/>
      <c r="H1132" s="5"/>
      <c r="AC1132" s="289">
        <v>1000</v>
      </c>
      <c r="AD1132" s="289"/>
      <c r="AE1132" s="289"/>
      <c r="AF1132" s="289"/>
      <c r="AG1132" s="289"/>
      <c r="AH1132" s="289"/>
      <c r="AI1132" s="289"/>
      <c r="AJ1132" s="289"/>
      <c r="AK1132" s="289"/>
      <c r="AL1132" s="289"/>
    </row>
    <row r="1133" spans="2:38" ht="12.75" customHeight="1">
      <c r="B1133" s="445" t="str">
        <f>IF($C$1="ENG","door handle-lock (for sliding doors)","ручка-замок (для дверей купе)")</f>
        <v>ручка-замок (для дверей купе)</v>
      </c>
      <c r="C1133" s="446"/>
      <c r="D1133" s="405">
        <f t="shared" si="164"/>
        <v>466.66666666666669</v>
      </c>
      <c r="E1133" s="93">
        <f t="shared" si="165"/>
        <v>560</v>
      </c>
      <c r="F1133" s="26"/>
      <c r="G1133" s="26"/>
      <c r="I1133" s="11"/>
      <c r="J1133" s="11"/>
      <c r="K1133" s="19"/>
      <c r="AC1133" s="289">
        <v>560</v>
      </c>
      <c r="AD1133" s="289">
        <v>560</v>
      </c>
      <c r="AE1133" s="289"/>
      <c r="AF1133" s="289"/>
      <c r="AG1133" s="289"/>
      <c r="AH1133" s="289"/>
      <c r="AI1133" s="289"/>
      <c r="AJ1133" s="289"/>
      <c r="AK1133" s="289"/>
      <c r="AL1133" s="289"/>
    </row>
    <row r="1134" spans="2:38" ht="12.75" customHeight="1">
      <c r="B1134" s="445" t="str">
        <f>IF($C$1="ENG","cylinder incert","циліндр несиметричний")</f>
        <v>циліндр несиметричний</v>
      </c>
      <c r="C1134" s="446"/>
      <c r="D1134" s="405">
        <f t="shared" si="164"/>
        <v>316.66666666666669</v>
      </c>
      <c r="E1134" s="93">
        <f t="shared" si="165"/>
        <v>380</v>
      </c>
      <c r="F1134" s="26"/>
      <c r="G1134" s="26"/>
      <c r="AC1134" s="289">
        <v>380</v>
      </c>
      <c r="AD1134" s="289">
        <v>380</v>
      </c>
      <c r="AE1134" s="289"/>
      <c r="AF1134" s="289"/>
      <c r="AG1134" s="289"/>
      <c r="AH1134" s="289"/>
      <c r="AI1134" s="289"/>
      <c r="AJ1134" s="289"/>
      <c r="AK1134" s="289"/>
      <c r="AL1134" s="289"/>
    </row>
    <row r="1135" spans="2:38" ht="12.75" customHeight="1">
      <c r="B1135" s="445" t="str">
        <f>IF($C$1="ENG","door hindge Prestige (1 unit)","завіса Prestige (1 шт)")</f>
        <v>завіса Prestige (1 шт)</v>
      </c>
      <c r="C1135" s="446"/>
      <c r="D1135" s="408">
        <f t="shared" si="164"/>
        <v>216.66666666666669</v>
      </c>
      <c r="E1135" s="93">
        <f t="shared" si="165"/>
        <v>260</v>
      </c>
      <c r="F1135" s="26"/>
      <c r="G1135" s="26"/>
      <c r="AC1135" s="289">
        <v>260</v>
      </c>
      <c r="AD1135" s="289">
        <v>260</v>
      </c>
      <c r="AE1135" s="289"/>
      <c r="AF1135" s="289"/>
      <c r="AG1135" s="289"/>
      <c r="AH1135" s="289"/>
      <c r="AI1135" s="289"/>
      <c r="AJ1135" s="289"/>
      <c r="AK1135" s="289"/>
      <c r="AL1135" s="289"/>
    </row>
    <row r="1136" spans="2:38" ht="12.75" customHeight="1">
      <c r="B1136" s="445" t="str">
        <f>IF($C$1="ENG","door hinge caps (1 set)","накладка на завіси (1 к-т)")</f>
        <v>накладка на завіси (1 к-т)</v>
      </c>
      <c r="C1136" s="446"/>
      <c r="D1136" s="408">
        <f t="shared" si="164"/>
        <v>66.666666666666671</v>
      </c>
      <c r="E1136" s="93">
        <f t="shared" si="165"/>
        <v>80</v>
      </c>
      <c r="F1136" s="26"/>
      <c r="G1136" s="26"/>
      <c r="AC1136" s="289">
        <v>80</v>
      </c>
      <c r="AD1136" s="289">
        <v>80</v>
      </c>
      <c r="AE1136" s="289"/>
      <c r="AF1136" s="289"/>
      <c r="AG1136" s="289"/>
      <c r="AH1136" s="289"/>
      <c r="AI1136" s="289"/>
      <c r="AJ1136" s="289"/>
      <c r="AK1136" s="289"/>
      <c r="AL1136" s="289"/>
    </row>
    <row r="1137" spans="2:38" ht="12.75" customHeight="1">
      <c r="B1137" s="445" t="str">
        <f>IF($C$1="ENG","door handle","дверна ручка")</f>
        <v>дверна ручка</v>
      </c>
      <c r="C1137" s="446"/>
      <c r="D1137" s="409" t="str">
        <f t="shared" si="164"/>
        <v/>
      </c>
      <c r="E1137" s="247" t="str">
        <f>IF($C$1="ENG","see Handles Price","див. Таблицю Ручки")</f>
        <v>див. Таблицю Ручки</v>
      </c>
      <c r="F1137" s="26"/>
      <c r="G1137" s="26"/>
      <c r="AC1137" s="298"/>
      <c r="AD1137" s="289"/>
      <c r="AE1137" s="289"/>
      <c r="AF1137" s="289"/>
      <c r="AG1137" s="289"/>
      <c r="AH1137" s="289"/>
      <c r="AI1137" s="289"/>
      <c r="AJ1137" s="289"/>
      <c r="AK1137" s="289"/>
      <c r="AL1137" s="289"/>
    </row>
    <row r="1138" spans="2:38" ht="14.25" customHeight="1">
      <c r="C1138" s="245"/>
      <c r="D1138" s="26"/>
      <c r="E1138" s="26"/>
      <c r="F1138" s="26"/>
      <c r="G1138" s="26"/>
      <c r="H1138" s="5"/>
      <c r="U1138" s="465" t="str">
        <f>IF($C$1="ENG",CONCATENATE("down to: ",B1188),CONCATENATE("вниз до: ",B1188))</f>
        <v>вниз до: Полотна збірні: ЛІНДА</v>
      </c>
      <c r="V1138" s="465"/>
      <c r="W1138" s="465"/>
      <c r="X1138" s="304"/>
      <c r="Y1138" s="304"/>
      <c r="Z1138" s="304"/>
      <c r="AA1138" s="304"/>
      <c r="AB1138" s="304"/>
    </row>
    <row r="1139" spans="2:38" ht="14.25" customHeight="1">
      <c r="C1139" s="245"/>
      <c r="D1139" s="26"/>
      <c r="E1139" s="26"/>
      <c r="F1139" s="26"/>
      <c r="G1139" s="26"/>
      <c r="H1139" s="5"/>
    </row>
    <row r="1140" spans="2:38" ht="14.25" customHeight="1">
      <c r="C1140" s="245"/>
      <c r="D1140" s="26"/>
      <c r="E1140" s="26"/>
      <c r="F1140" s="26"/>
      <c r="G1140" s="26"/>
      <c r="H1140" s="5"/>
    </row>
    <row r="1141" spans="2:38" ht="14.25" customHeight="1">
      <c r="C1141" s="245"/>
      <c r="D1141" s="26"/>
      <c r="E1141" s="26"/>
      <c r="F1141" s="26"/>
      <c r="G1141" s="26"/>
      <c r="H1141" s="5"/>
    </row>
    <row r="1142" spans="2:38" ht="14.25" customHeight="1">
      <c r="C1142" s="245"/>
      <c r="D1142" s="26"/>
      <c r="E1142" s="26"/>
      <c r="F1142" s="26"/>
      <c r="G1142" s="26"/>
      <c r="H1142" s="5"/>
    </row>
    <row r="1143" spans="2:38" ht="14.25" customHeight="1">
      <c r="C1143" s="245"/>
      <c r="D1143" s="26"/>
      <c r="E1143" s="26"/>
      <c r="F1143" s="26"/>
      <c r="G1143" s="26"/>
      <c r="H1143" s="5"/>
    </row>
    <row r="1144" spans="2:38" ht="14.25" customHeight="1">
      <c r="C1144" s="245"/>
      <c r="D1144" s="26"/>
      <c r="E1144" s="26"/>
      <c r="F1144" s="26"/>
      <c r="G1144" s="26"/>
      <c r="H1144" s="5"/>
    </row>
    <row r="1145" spans="2:38" ht="14.25" customHeight="1">
      <c r="C1145" s="245"/>
      <c r="D1145" s="26"/>
      <c r="E1145" s="26"/>
      <c r="F1145" s="26"/>
      <c r="G1145" s="26"/>
      <c r="H1145" s="5"/>
    </row>
    <row r="1146" spans="2:38" ht="14.25" customHeight="1">
      <c r="C1146" s="245"/>
      <c r="D1146" s="26"/>
      <c r="E1146" s="26"/>
      <c r="F1146" s="26"/>
      <c r="G1146" s="26"/>
      <c r="H1146" s="5"/>
    </row>
    <row r="1147" spans="2:38" ht="14.25" customHeight="1">
      <c r="C1147" s="245"/>
      <c r="D1147" s="26"/>
      <c r="E1147" s="26"/>
      <c r="F1147" s="26"/>
      <c r="G1147" s="26"/>
      <c r="H1147" s="5"/>
    </row>
    <row r="1148" spans="2:38" ht="14.25" customHeight="1">
      <c r="C1148" s="245"/>
      <c r="D1148" s="26"/>
      <c r="E1148" s="26"/>
      <c r="F1148" s="26"/>
      <c r="G1148" s="26"/>
      <c r="H1148" s="5"/>
    </row>
    <row r="1149" spans="2:38" ht="14.25" customHeight="1">
      <c r="C1149" s="245"/>
      <c r="D1149" s="26"/>
      <c r="E1149" s="26"/>
      <c r="F1149" s="26"/>
      <c r="G1149" s="26"/>
      <c r="H1149" s="5"/>
    </row>
    <row r="1150" spans="2:38" ht="14.25" customHeight="1">
      <c r="C1150" s="245"/>
      <c r="D1150" s="26"/>
      <c r="E1150" s="26"/>
      <c r="F1150" s="26"/>
      <c r="G1150" s="26"/>
      <c r="H1150" s="5"/>
    </row>
    <row r="1151" spans="2:38" ht="14.25" customHeight="1">
      <c r="C1151" s="245"/>
      <c r="D1151" s="26"/>
      <c r="E1151" s="26"/>
      <c r="F1151" s="26"/>
      <c r="G1151" s="26"/>
      <c r="H1151" s="5"/>
    </row>
    <row r="1152" spans="2:38" ht="14.25" customHeight="1">
      <c r="C1152" s="245"/>
      <c r="D1152" s="26"/>
      <c r="E1152" s="26"/>
      <c r="F1152" s="26"/>
      <c r="G1152" s="26"/>
      <c r="H1152" s="5"/>
    </row>
    <row r="1153" spans="3:8" ht="14.25" customHeight="1">
      <c r="C1153" s="245"/>
      <c r="D1153" s="26"/>
      <c r="E1153" s="26"/>
      <c r="F1153" s="26"/>
      <c r="G1153" s="26"/>
      <c r="H1153" s="5"/>
    </row>
    <row r="1154" spans="3:8" ht="14.25" customHeight="1">
      <c r="C1154" s="245"/>
      <c r="D1154" s="26"/>
      <c r="E1154" s="26"/>
      <c r="F1154" s="26"/>
      <c r="G1154" s="26"/>
      <c r="H1154" s="5"/>
    </row>
    <row r="1155" spans="3:8" ht="14.25" customHeight="1">
      <c r="C1155" s="245"/>
      <c r="D1155" s="26"/>
      <c r="E1155" s="26"/>
      <c r="F1155" s="26"/>
      <c r="G1155" s="26"/>
      <c r="H1155" s="5"/>
    </row>
    <row r="1156" spans="3:8" ht="14.25" customHeight="1">
      <c r="C1156" s="245"/>
      <c r="D1156" s="26"/>
      <c r="E1156" s="26"/>
      <c r="F1156" s="26"/>
      <c r="G1156" s="26"/>
      <c r="H1156" s="5"/>
    </row>
    <row r="1157" spans="3:8" ht="14.25" customHeight="1">
      <c r="C1157" s="245"/>
      <c r="D1157" s="26"/>
      <c r="E1157" s="26"/>
      <c r="F1157" s="26"/>
      <c r="G1157" s="26"/>
      <c r="H1157" s="5"/>
    </row>
    <row r="1158" spans="3:8" ht="14.25" customHeight="1">
      <c r="C1158" s="245"/>
      <c r="D1158" s="26"/>
      <c r="E1158" s="26"/>
      <c r="F1158" s="26"/>
      <c r="G1158" s="26"/>
      <c r="H1158" s="5"/>
    </row>
    <row r="1159" spans="3:8" ht="14.25" customHeight="1">
      <c r="C1159" s="245"/>
      <c r="D1159" s="26"/>
      <c r="E1159" s="26"/>
      <c r="F1159" s="26"/>
      <c r="G1159" s="26"/>
      <c r="H1159" s="5"/>
    </row>
    <row r="1160" spans="3:8" ht="14.25" customHeight="1">
      <c r="C1160" s="245"/>
      <c r="D1160" s="26"/>
      <c r="E1160" s="26"/>
      <c r="F1160" s="26"/>
      <c r="G1160" s="26"/>
      <c r="H1160" s="5"/>
    </row>
    <row r="1161" spans="3:8" ht="14.25" customHeight="1">
      <c r="C1161" s="245"/>
      <c r="D1161" s="26"/>
      <c r="E1161" s="26"/>
      <c r="F1161" s="26"/>
      <c r="G1161" s="26"/>
      <c r="H1161" s="5"/>
    </row>
    <row r="1162" spans="3:8" ht="14.25" customHeight="1">
      <c r="C1162" s="245"/>
      <c r="D1162" s="26"/>
      <c r="E1162" s="26"/>
      <c r="F1162" s="26"/>
      <c r="G1162" s="26"/>
      <c r="H1162" s="5"/>
    </row>
    <row r="1163" spans="3:8" ht="14.25" customHeight="1">
      <c r="C1163" s="245"/>
      <c r="D1163" s="26"/>
      <c r="E1163" s="26"/>
      <c r="F1163" s="26"/>
      <c r="G1163" s="26"/>
      <c r="H1163" s="5"/>
    </row>
    <row r="1164" spans="3:8" ht="14.25" customHeight="1">
      <c r="C1164" s="245"/>
      <c r="D1164" s="26"/>
      <c r="E1164" s="26"/>
      <c r="F1164" s="26"/>
      <c r="G1164" s="26"/>
      <c r="H1164" s="5"/>
    </row>
    <row r="1165" spans="3:8" ht="14.25" customHeight="1">
      <c r="C1165" s="245"/>
      <c r="D1165" s="26"/>
      <c r="E1165" s="26"/>
      <c r="F1165" s="26"/>
      <c r="G1165" s="26"/>
      <c r="H1165" s="5"/>
    </row>
    <row r="1166" spans="3:8" ht="14.25" customHeight="1">
      <c r="C1166" s="245"/>
      <c r="D1166" s="26"/>
      <c r="E1166" s="26"/>
      <c r="F1166" s="26"/>
      <c r="G1166" s="26"/>
      <c r="H1166" s="5"/>
    </row>
    <row r="1167" spans="3:8" ht="14.25" customHeight="1">
      <c r="C1167" s="245"/>
      <c r="D1167" s="26"/>
      <c r="E1167" s="26"/>
      <c r="F1167" s="26"/>
      <c r="G1167" s="26"/>
      <c r="H1167" s="5"/>
    </row>
    <row r="1168" spans="3:8" ht="14.25" customHeight="1">
      <c r="C1168" s="245"/>
      <c r="D1168" s="26"/>
      <c r="E1168" s="26"/>
      <c r="F1168" s="26"/>
      <c r="G1168" s="26"/>
      <c r="H1168" s="5"/>
    </row>
    <row r="1169" spans="3:8" ht="14.25" customHeight="1">
      <c r="C1169" s="245"/>
      <c r="D1169" s="26"/>
      <c r="E1169" s="26"/>
      <c r="F1169" s="26"/>
      <c r="G1169" s="26"/>
      <c r="H1169" s="5"/>
    </row>
    <row r="1170" spans="3:8" ht="14.25" customHeight="1">
      <c r="C1170" s="245"/>
      <c r="D1170" s="26"/>
      <c r="E1170" s="26"/>
      <c r="F1170" s="26"/>
      <c r="G1170" s="26"/>
      <c r="H1170" s="5"/>
    </row>
    <row r="1171" spans="3:8" ht="14.25" customHeight="1">
      <c r="C1171" s="245"/>
      <c r="D1171" s="26"/>
      <c r="E1171" s="26"/>
      <c r="F1171" s="26"/>
      <c r="G1171" s="26"/>
      <c r="H1171" s="5"/>
    </row>
    <row r="1172" spans="3:8" ht="14.25" customHeight="1">
      <c r="C1172" s="245"/>
      <c r="D1172" s="26"/>
      <c r="E1172" s="26"/>
      <c r="F1172" s="26"/>
      <c r="G1172" s="26"/>
      <c r="H1172" s="5"/>
    </row>
    <row r="1173" spans="3:8" ht="14.25" customHeight="1">
      <c r="C1173" s="245"/>
      <c r="D1173" s="26"/>
      <c r="E1173" s="26"/>
      <c r="F1173" s="26"/>
      <c r="G1173" s="26"/>
      <c r="H1173" s="5"/>
    </row>
    <row r="1174" spans="3:8" ht="14.25" customHeight="1">
      <c r="C1174" s="245"/>
      <c r="D1174" s="26"/>
      <c r="E1174" s="26"/>
      <c r="F1174" s="26"/>
      <c r="G1174" s="26"/>
      <c r="H1174" s="5"/>
    </row>
    <row r="1175" spans="3:8" ht="14.25" customHeight="1">
      <c r="C1175" s="245"/>
      <c r="D1175" s="26"/>
      <c r="E1175" s="26"/>
      <c r="F1175" s="26"/>
      <c r="G1175" s="26"/>
      <c r="H1175" s="5"/>
    </row>
    <row r="1176" spans="3:8" ht="14.25" customHeight="1">
      <c r="C1176" s="245"/>
      <c r="D1176" s="26"/>
      <c r="E1176" s="26"/>
      <c r="F1176" s="26"/>
      <c r="G1176" s="26"/>
      <c r="H1176" s="5"/>
    </row>
    <row r="1177" spans="3:8" ht="14.25" customHeight="1">
      <c r="C1177" s="245"/>
      <c r="D1177" s="26"/>
      <c r="E1177" s="26"/>
      <c r="F1177" s="26"/>
      <c r="G1177" s="26"/>
      <c r="H1177" s="5"/>
    </row>
    <row r="1178" spans="3:8" ht="14.25" customHeight="1">
      <c r="C1178" s="245"/>
      <c r="D1178" s="26"/>
      <c r="E1178" s="26"/>
      <c r="F1178" s="26"/>
      <c r="G1178" s="26"/>
      <c r="H1178" s="5"/>
    </row>
    <row r="1179" spans="3:8" ht="14.25" customHeight="1">
      <c r="C1179" s="245"/>
      <c r="D1179" s="26"/>
      <c r="E1179" s="26"/>
      <c r="F1179" s="26"/>
      <c r="G1179" s="26"/>
      <c r="H1179" s="5"/>
    </row>
    <row r="1180" spans="3:8" ht="14.25" customHeight="1">
      <c r="C1180" s="245"/>
      <c r="D1180" s="26"/>
      <c r="E1180" s="26"/>
      <c r="F1180" s="26"/>
      <c r="G1180" s="26"/>
      <c r="H1180" s="5"/>
    </row>
    <row r="1181" spans="3:8" ht="14.25" customHeight="1">
      <c r="C1181" s="245"/>
      <c r="D1181" s="26"/>
      <c r="E1181" s="26"/>
      <c r="F1181" s="26"/>
      <c r="G1181" s="26"/>
      <c r="H1181" s="5"/>
    </row>
    <row r="1182" spans="3:8" ht="14.25" customHeight="1">
      <c r="C1182" s="245"/>
      <c r="D1182" s="26"/>
      <c r="E1182" s="26"/>
      <c r="F1182" s="26"/>
      <c r="G1182" s="26"/>
      <c r="H1182" s="5"/>
    </row>
    <row r="1183" spans="3:8" ht="14.25" customHeight="1">
      <c r="C1183" s="245"/>
      <c r="D1183" s="26"/>
      <c r="E1183" s="26"/>
      <c r="F1183" s="26"/>
      <c r="G1183" s="26"/>
      <c r="H1183" s="5"/>
    </row>
    <row r="1184" spans="3:8" ht="14.25" customHeight="1">
      <c r="C1184" s="245"/>
      <c r="D1184" s="26"/>
      <c r="E1184" s="26"/>
      <c r="F1184" s="26"/>
      <c r="G1184" s="26"/>
      <c r="H1184" s="5"/>
    </row>
    <row r="1185" spans="1:46" ht="14.25" customHeight="1">
      <c r="C1185" s="245"/>
      <c r="D1185" s="26"/>
      <c r="E1185" s="26"/>
      <c r="F1185" s="26"/>
      <c r="G1185" s="26"/>
      <c r="H1185" s="5"/>
    </row>
    <row r="1186" spans="1:46" ht="14.25" customHeight="1">
      <c r="C1186" s="245"/>
      <c r="D1186" s="26"/>
      <c r="E1186" s="26"/>
      <c r="F1186" s="26"/>
      <c r="G1186" s="26"/>
      <c r="H1186" s="5"/>
    </row>
    <row r="1187" spans="1:46" ht="14.25" customHeight="1">
      <c r="C1187" s="245"/>
      <c r="D1187" s="26"/>
      <c r="E1187" s="26"/>
      <c r="F1187" s="26"/>
      <c r="G1187" s="26"/>
      <c r="H1187" s="5"/>
    </row>
    <row r="1188" spans="1:46" s="8" customFormat="1">
      <c r="B1188" s="451" t="str">
        <f>TITLE!C24</f>
        <v>Полотна збірні: ЛІНДА</v>
      </c>
      <c r="C1188" s="451"/>
      <c r="D1188" s="118"/>
      <c r="E1188" s="118"/>
      <c r="F1188" s="118"/>
      <c r="G1188" s="118"/>
      <c r="H1188" s="455"/>
      <c r="I1188" s="455"/>
      <c r="J1188" s="121"/>
      <c r="K1188" s="121"/>
      <c r="L1188" s="121"/>
      <c r="M1188" s="121"/>
      <c r="N1188" s="121"/>
      <c r="O1188" s="121"/>
      <c r="P1188" s="121"/>
      <c r="Q1188" s="121"/>
      <c r="R1188" s="121"/>
      <c r="S1188" s="121"/>
      <c r="T1188" s="462" t="str">
        <f>IF($C$1="ENG",CONCATENATE("up to: ",B1111),CONCATENATE("вгору до: ",B1111))</f>
        <v>вгору до: Полотна збірні: ЛАДА-ЛОФТ</v>
      </c>
      <c r="U1188" s="462"/>
      <c r="V1188" s="462"/>
      <c r="W1188" s="462"/>
      <c r="AN1188" s="280"/>
      <c r="AO1188" s="280"/>
      <c r="AP1188" s="280"/>
      <c r="AQ1188" s="280"/>
      <c r="AR1188" s="280"/>
      <c r="AS1188" s="280"/>
      <c r="AT1188" s="280"/>
    </row>
    <row r="1189" spans="1:46" s="8" customFormat="1" ht="5.0999999999999996" customHeight="1">
      <c r="B1189" s="117"/>
      <c r="C1189" s="420"/>
      <c r="D1189" s="9"/>
      <c r="E1189" s="9"/>
      <c r="F1189" s="9"/>
      <c r="G1189" s="9"/>
      <c r="H1189" s="120"/>
      <c r="I1189" s="120"/>
      <c r="T1189" s="115"/>
      <c r="U1189" s="115"/>
      <c r="V1189" s="115"/>
      <c r="W1189" s="115"/>
      <c r="AN1189" s="280"/>
      <c r="AO1189" s="280"/>
      <c r="AP1189" s="280"/>
      <c r="AQ1189" s="280"/>
      <c r="AR1189" s="280"/>
      <c r="AS1189" s="280"/>
      <c r="AT1189" s="280"/>
    </row>
    <row r="1190" spans="1:46" s="8" customFormat="1" ht="12.75" customHeight="1">
      <c r="B1190" s="452" t="str">
        <f>IF($C$1="ENG","model","модель")</f>
        <v>модель</v>
      </c>
      <c r="C1190" s="122" t="str">
        <f>IF($C$1="ENG","cover:","покриття:")</f>
        <v>покриття:</v>
      </c>
      <c r="D1190" s="458" t="str">
        <f>IF($C$1="ENG","Verto-CELL","Verto-CELL")</f>
        <v>Verto-CELL</v>
      </c>
      <c r="E1190" s="459"/>
      <c r="F1190" s="458" t="str">
        <f>IF($C$1="ENG","UNI-MAT","UNI-MAT")</f>
        <v>UNI-MAT</v>
      </c>
      <c r="G1190" s="459"/>
      <c r="H1190" s="458" t="str">
        <f>IF($C$1="ENG","RESIST","RESIST")</f>
        <v>RESIST</v>
      </c>
      <c r="I1190" s="459"/>
      <c r="J1190" s="458" t="str">
        <f>IF($C$1="ENG","Verto LINE-3D","Verto LINE-3D")</f>
        <v>Verto LINE-3D</v>
      </c>
      <c r="K1190" s="459"/>
      <c r="L1190" s="458" t="str">
        <f>IF($C$1="ENG","ECO Shpon","ЕКО Шпон")</f>
        <v>ЕКО Шпон</v>
      </c>
      <c r="M1190" s="459"/>
      <c r="P1190" s="1"/>
      <c r="Q1190" s="1"/>
      <c r="T1190" s="115"/>
      <c r="U1190" s="115"/>
      <c r="V1190" s="115"/>
      <c r="W1190" s="115"/>
      <c r="AN1190" s="280"/>
      <c r="AO1190" s="280"/>
      <c r="AP1190" s="280"/>
      <c r="AQ1190" s="280"/>
      <c r="AR1190" s="280"/>
      <c r="AS1190" s="280"/>
      <c r="AT1190" s="280"/>
    </row>
    <row r="1191" spans="1:46" s="8" customFormat="1" ht="24.75" customHeight="1">
      <c r="B1191" s="453"/>
      <c r="C1191" s="123" t="str">
        <f>IF($C$1="ENG","filling:","заповнення:")</f>
        <v>заповнення:</v>
      </c>
      <c r="D1191" s="460" t="str">
        <f>IF($C$1="ENG","softwood","клеєний сосновий брус")</f>
        <v>клеєний сосновий брус</v>
      </c>
      <c r="E1191" s="461"/>
      <c r="F1191" s="460" t="str">
        <f>IF($C$1="ENG","softwood","клеєний сосновий брус")</f>
        <v>клеєний сосновий брус</v>
      </c>
      <c r="G1191" s="461"/>
      <c r="H1191" s="460" t="str">
        <f>IF($C$1="ENG","softwood","клеєний сосновий брус")</f>
        <v>клеєний сосновий брус</v>
      </c>
      <c r="I1191" s="461"/>
      <c r="J1191" s="460" t="str">
        <f>IF($C$1="ENG","softwood","клеєний сосновий брус")</f>
        <v>клеєний сосновий брус</v>
      </c>
      <c r="K1191" s="461"/>
      <c r="L1191" s="460" t="str">
        <f>IF($C$1="ENG","softwood","клеєний сосновий брус")</f>
        <v>клеєний сосновий брус</v>
      </c>
      <c r="M1191" s="461"/>
      <c r="P1191" s="1"/>
      <c r="Q1191" s="1"/>
      <c r="T1191" s="115"/>
      <c r="U1191" s="115"/>
      <c r="V1191" s="115"/>
      <c r="W1191" s="115"/>
      <c r="AD1191" s="383">
        <f>AD1193/AC1193-1</f>
        <v>0.13961038961038952</v>
      </c>
      <c r="AE1191" s="383">
        <f>AE1193/AD1193-1</f>
        <v>4.2735042735042805E-2</v>
      </c>
      <c r="AF1191" s="383">
        <f>AF1193/AE1193-1</f>
        <v>7.5136612021857951E-2</v>
      </c>
      <c r="AG1191" s="383">
        <f>AG1193/AF1193-1</f>
        <v>5.2096569250317692E-2</v>
      </c>
      <c r="AN1191" s="280"/>
      <c r="AO1191" s="280"/>
      <c r="AP1191" s="280"/>
      <c r="AQ1191" s="280"/>
      <c r="AR1191" s="280"/>
      <c r="AS1191" s="280"/>
      <c r="AT1191" s="280"/>
    </row>
    <row r="1192" spans="1:46" ht="12.75" customHeight="1">
      <c r="A1192" s="8"/>
      <c r="B1192" s="454"/>
      <c r="C1192" s="124" t="str">
        <f>IF($C$1="ENG","glazing:","скління:")</f>
        <v>скління:</v>
      </c>
      <c r="D1192" s="449" t="str">
        <f>IF($C$1="ENG","Satin","Сатин")</f>
        <v>Сатин</v>
      </c>
      <c r="E1192" s="450"/>
      <c r="F1192" s="449" t="str">
        <f>IF($C$1="ENG","Satin","Сатин")</f>
        <v>Сатин</v>
      </c>
      <c r="G1192" s="450"/>
      <c r="H1192" s="449" t="str">
        <f>IF($C$1="ENG","Satin","Сатин")</f>
        <v>Сатин</v>
      </c>
      <c r="I1192" s="450"/>
      <c r="J1192" s="449" t="str">
        <f>IF($C$1="ENG","Satin","Сатин")</f>
        <v>Сатин</v>
      </c>
      <c r="K1192" s="450"/>
      <c r="L1192" s="449" t="str">
        <f>IF($C$1="ENG","Satin","Сатин")</f>
        <v>Сатин</v>
      </c>
      <c r="M1192" s="450"/>
    </row>
    <row r="1193" spans="1:46" ht="35.1" customHeight="1">
      <c r="A1193" s="8"/>
      <c r="B1193" s="16" t="s">
        <v>50</v>
      </c>
      <c r="C1193" s="17"/>
      <c r="D1193" s="18">
        <f>IF(AC1193="","",(1-$W$2)*(AC1193/1.2))</f>
        <v>5133.3333333333339</v>
      </c>
      <c r="E1193" s="66">
        <f>IF($W$5=0.2,D1193*1.2,D1193)/$W$4</f>
        <v>6160.0000000000009</v>
      </c>
      <c r="F1193" s="18">
        <f>IF(AD1193="","",(1-$W$2)*(AD1193/1.2))</f>
        <v>5850</v>
      </c>
      <c r="G1193" s="66">
        <f>IF($W$5=0.2,F1193*1.2,F1193)/$W$4</f>
        <v>7020</v>
      </c>
      <c r="H1193" s="18">
        <f>IF(AE1193="","",(1-$W$2)*(AE1193/1.2))</f>
        <v>6100</v>
      </c>
      <c r="I1193" s="66">
        <f>IF($W$5=0.2,H1193*1.2,H1193)/$W$4</f>
        <v>7320</v>
      </c>
      <c r="J1193" s="18">
        <f>IF(AF1193="","",(1-$W$2)*(AF1193/1.2))</f>
        <v>6558.3333333333339</v>
      </c>
      <c r="K1193" s="66">
        <f>IF($W$5=0.2,J1193*1.2,J1193)/$W$4</f>
        <v>7870</v>
      </c>
      <c r="L1193" s="18">
        <f>IF(AG1193="","",(1-$W$2)*(AG1193/1.2))</f>
        <v>6900</v>
      </c>
      <c r="M1193" s="66">
        <f>IF($W$5=0.2,L1193*1.2,L1193)/$W$4</f>
        <v>8280</v>
      </c>
      <c r="N1193" s="104"/>
      <c r="R1193" s="104"/>
      <c r="T1193" s="104"/>
      <c r="U1193" s="20"/>
      <c r="V1193" s="104"/>
      <c r="W1193" s="20"/>
      <c r="X1193" s="104"/>
      <c r="Y1193" s="104"/>
      <c r="Z1193" s="104"/>
      <c r="AA1193" s="104"/>
      <c r="AB1193" s="104"/>
      <c r="AC1193" s="332">
        <v>6160</v>
      </c>
      <c r="AD1193" s="391">
        <v>7020</v>
      </c>
      <c r="AE1193" s="332">
        <v>7320</v>
      </c>
      <c r="AF1193" s="332">
        <v>7870</v>
      </c>
      <c r="AG1193" s="332">
        <v>8280</v>
      </c>
      <c r="AH1193" s="289">
        <v>6160</v>
      </c>
      <c r="AI1193" s="289">
        <f>AH1193/AC1193-1</f>
        <v>0</v>
      </c>
      <c r="AJ1193" s="289">
        <v>7020</v>
      </c>
      <c r="AK1193" s="289">
        <f>AJ1193/AD1193-1</f>
        <v>0</v>
      </c>
      <c r="AL1193" s="289">
        <v>7320</v>
      </c>
      <c r="AM1193" s="289">
        <f>AL1193/AE1193-1</f>
        <v>0</v>
      </c>
      <c r="AN1193" s="289">
        <v>7870</v>
      </c>
      <c r="AO1193" s="289">
        <f>AN1193/AF1193-1</f>
        <v>0</v>
      </c>
      <c r="AP1193" s="289">
        <v>8280</v>
      </c>
      <c r="AQ1193" s="289">
        <f>AP1193/AG1193-1</f>
        <v>0</v>
      </c>
    </row>
    <row r="1194" spans="1:46" ht="35.1" customHeight="1">
      <c r="A1194" s="8"/>
      <c r="B1194" s="23" t="s">
        <v>51</v>
      </c>
      <c r="C1194" s="24"/>
      <c r="D1194" s="25">
        <f>IF(AC1194="","",(1-$W$2)*(AC1194/1.2))</f>
        <v>5133.3333333333339</v>
      </c>
      <c r="E1194" s="69">
        <f>IF($W$5=0.2,D1194*1.2,D1194)/$W$4</f>
        <v>6160.0000000000009</v>
      </c>
      <c r="F1194" s="25">
        <f>IF(AD1194="","",(1-$W$2)*(AD1194/1.2))</f>
        <v>5850</v>
      </c>
      <c r="G1194" s="69">
        <f>IF($W$5=0.2,F1194*1.2,F1194)/$W$4</f>
        <v>7020</v>
      </c>
      <c r="H1194" s="25">
        <f>IF(AE1194="","",(1-$W$2)*(AE1194/1.2))</f>
        <v>6100</v>
      </c>
      <c r="I1194" s="69">
        <f>IF($W$5=0.2,H1194*1.2,H1194)/$W$4</f>
        <v>7320</v>
      </c>
      <c r="J1194" s="25">
        <f>IF(AF1194="","",(1-$W$2)*(AF1194/1.2))</f>
        <v>6558.3333333333339</v>
      </c>
      <c r="K1194" s="69">
        <f>IF($W$5=0.2,J1194*1.2,J1194)/$W$4</f>
        <v>7870</v>
      </c>
      <c r="L1194" s="25">
        <f>IF(AG1194="","",(1-$W$2)*(AG1194/1.2))</f>
        <v>6900</v>
      </c>
      <c r="M1194" s="69">
        <f>IF($W$5=0.2,L1194*1.2,L1194)/$W$4</f>
        <v>8280</v>
      </c>
      <c r="N1194" s="104"/>
      <c r="R1194" s="104"/>
      <c r="T1194" s="104"/>
      <c r="U1194" s="20"/>
      <c r="V1194" s="104"/>
      <c r="W1194" s="20"/>
      <c r="X1194" s="104"/>
      <c r="Y1194" s="104"/>
      <c r="Z1194" s="104"/>
      <c r="AA1194" s="104"/>
      <c r="AB1194" s="104"/>
      <c r="AC1194" s="332">
        <v>6160</v>
      </c>
      <c r="AD1194" s="391">
        <v>7020</v>
      </c>
      <c r="AE1194" s="332">
        <v>7320</v>
      </c>
      <c r="AF1194" s="332">
        <v>7870</v>
      </c>
      <c r="AG1194" s="332">
        <v>8280</v>
      </c>
      <c r="AH1194" s="289">
        <v>6160</v>
      </c>
      <c r="AI1194" s="289">
        <f>AH1194/AC1194-1</f>
        <v>0</v>
      </c>
      <c r="AJ1194" s="289">
        <v>7020</v>
      </c>
      <c r="AK1194" s="289">
        <f>AJ1194/AD1194-1</f>
        <v>0</v>
      </c>
      <c r="AL1194" s="289">
        <v>7320</v>
      </c>
      <c r="AM1194" s="289">
        <f>AL1194/AE1194-1</f>
        <v>0</v>
      </c>
      <c r="AN1194" s="289">
        <v>7870</v>
      </c>
      <c r="AO1194" s="289">
        <f>AN1194/AF1194-1</f>
        <v>0</v>
      </c>
      <c r="AP1194" s="289">
        <v>8280</v>
      </c>
      <c r="AQ1194" s="289">
        <f>AP1194/AG1194-1</f>
        <v>0</v>
      </c>
    </row>
    <row r="1195" spans="1:46">
      <c r="C1195" s="245"/>
      <c r="D1195" s="26"/>
      <c r="E1195" s="57"/>
      <c r="F1195" s="26"/>
      <c r="G1195" s="57"/>
      <c r="H1195" s="10"/>
      <c r="I1195" s="8"/>
      <c r="J1195" s="8"/>
      <c r="K1195" s="8"/>
    </row>
    <row r="1196" spans="1:46">
      <c r="B1196" s="212" t="str">
        <f>IF($C$1="ENG","For additonal charge:","Послуги за додаткову плату:")</f>
        <v>Послуги за додаткову плату:</v>
      </c>
      <c r="C1196" s="421"/>
      <c r="D1196" s="213"/>
      <c r="E1196" s="214"/>
      <c r="F1196" s="26"/>
      <c r="G1196" s="57"/>
      <c r="H1196" s="10"/>
      <c r="I1196" s="8"/>
      <c r="J1196" s="8"/>
      <c r="K1196" s="8"/>
    </row>
    <row r="1197" spans="1:46" ht="5.0999999999999996" customHeight="1">
      <c r="B1197" s="27"/>
      <c r="C1197" s="245"/>
      <c r="D1197" s="26"/>
      <c r="E1197" s="57"/>
      <c r="F1197" s="26"/>
      <c r="G1197" s="57"/>
      <c r="H1197" s="10"/>
      <c r="I1197" s="8"/>
      <c r="J1197" s="8"/>
      <c r="K1197" s="8"/>
    </row>
    <row r="1198" spans="1:46">
      <c r="B1198" s="447" t="str">
        <f>IF($C$1="ENG","door leaf with width 100","полотно розміром 100")</f>
        <v>полотно розміром 100</v>
      </c>
      <c r="C1198" s="448"/>
      <c r="D1198" s="410">
        <f t="shared" ref="D1198:D1209" si="170">IF(AC1198="","",(1-$W$2)*(AC1198/1.2))</f>
        <v>600</v>
      </c>
      <c r="E1198" s="92">
        <f t="shared" ref="E1198:E1208" si="171">IF($W$5=0.2,D1198*1.2,D1198)/$W$4</f>
        <v>720</v>
      </c>
      <c r="F1198" s="26"/>
      <c r="G1198" s="26"/>
      <c r="H1198" s="10"/>
      <c r="I1198" s="8"/>
      <c r="J1198" s="8"/>
      <c r="K1198" s="8"/>
      <c r="AC1198" s="289">
        <v>720</v>
      </c>
      <c r="AD1198" s="289">
        <v>720</v>
      </c>
      <c r="AE1198" s="289"/>
      <c r="AF1198" s="289"/>
      <c r="AG1198" s="289"/>
      <c r="AH1198" s="289"/>
      <c r="AI1198" s="289"/>
      <c r="AJ1198" s="289"/>
      <c r="AK1198" s="289"/>
      <c r="AL1198" s="289"/>
    </row>
    <row r="1199" spans="1:46">
      <c r="B1199" s="447" t="str">
        <f>IF($C$1="ENG","Ventilation cut","вентиляційний підріз")</f>
        <v>вентиляційний підріз</v>
      </c>
      <c r="C1199" s="448"/>
      <c r="D1199" s="405">
        <f t="shared" si="170"/>
        <v>141.66666666666669</v>
      </c>
      <c r="E1199" s="66">
        <f t="shared" si="171"/>
        <v>170.00000000000003</v>
      </c>
      <c r="F1199" s="26"/>
      <c r="G1199" s="26"/>
      <c r="I1199" s="59"/>
      <c r="J1199" s="28"/>
      <c r="AC1199" s="289">
        <v>170</v>
      </c>
      <c r="AD1199" s="289">
        <v>170</v>
      </c>
      <c r="AE1199" s="289"/>
      <c r="AF1199" s="289"/>
      <c r="AG1199" s="289"/>
      <c r="AH1199" s="289"/>
      <c r="AI1199" s="289"/>
      <c r="AJ1199" s="289"/>
      <c r="AK1199" s="289"/>
      <c r="AL1199" s="289"/>
    </row>
    <row r="1200" spans="1:46">
      <c r="B1200" s="445" t="str">
        <f>IF($C$1="ENG","glazing Graphite / Bronze","скло Графіт / Бронза")</f>
        <v>скло Графіт / Бронза</v>
      </c>
      <c r="C1200" s="446"/>
      <c r="D1200" s="407">
        <f t="shared" si="170"/>
        <v>458.33333333333337</v>
      </c>
      <c r="E1200" s="93">
        <f t="shared" si="171"/>
        <v>550</v>
      </c>
      <c r="F1200" s="26"/>
      <c r="G1200" s="26"/>
      <c r="H1200" s="5"/>
      <c r="AC1200" s="289">
        <v>550</v>
      </c>
      <c r="AD1200" s="289">
        <v>550</v>
      </c>
      <c r="AE1200" s="289"/>
      <c r="AF1200" s="289"/>
      <c r="AG1200" s="289"/>
      <c r="AH1200" s="289"/>
      <c r="AI1200" s="289"/>
      <c r="AJ1200" s="289"/>
      <c r="AK1200" s="289"/>
      <c r="AL1200" s="289"/>
    </row>
    <row r="1201" spans="2:38">
      <c r="B1201" s="445" t="str">
        <f>IF($C$1="ENG","door lock Soft","замок Soft")</f>
        <v>замок Soft</v>
      </c>
      <c r="C1201" s="446"/>
      <c r="D1201" s="407">
        <f t="shared" si="170"/>
        <v>458.33333333333337</v>
      </c>
      <c r="E1201" s="93">
        <f t="shared" si="171"/>
        <v>550</v>
      </c>
      <c r="F1201" s="26"/>
      <c r="G1201" s="26"/>
      <c r="H1201" s="5"/>
      <c r="AC1201" s="289">
        <v>550</v>
      </c>
      <c r="AD1201" s="289">
        <v>550</v>
      </c>
      <c r="AE1201" s="289"/>
      <c r="AF1201" s="289"/>
      <c r="AG1201" s="289"/>
      <c r="AH1201" s="289"/>
      <c r="AI1201" s="289"/>
      <c r="AJ1201" s="289"/>
      <c r="AK1201" s="289"/>
      <c r="AL1201" s="289"/>
    </row>
    <row r="1202" spans="2:38">
      <c r="B1202" s="445" t="str">
        <f>IF($C$1="ENG","door lock Soft black","замок Soft чорн.")</f>
        <v>замок Soft чорн.</v>
      </c>
      <c r="C1202" s="446"/>
      <c r="D1202" s="407">
        <f t="shared" ref="D1202" si="172">IF(AC1202="","",(1-$W$2)*(AC1202/1.2))</f>
        <v>566.66666666666674</v>
      </c>
      <c r="E1202" s="93">
        <f t="shared" ref="E1202" si="173">IF($W$5=0.2,D1202*1.2,D1202)/$W$4</f>
        <v>680.00000000000011</v>
      </c>
      <c r="F1202" s="26"/>
      <c r="G1202" s="26"/>
      <c r="H1202" s="5"/>
      <c r="AC1202" s="289">
        <v>680</v>
      </c>
      <c r="AD1202" s="289"/>
      <c r="AE1202" s="289"/>
      <c r="AF1202" s="289"/>
      <c r="AG1202" s="289"/>
      <c r="AH1202" s="289"/>
      <c r="AI1202" s="289"/>
      <c r="AJ1202" s="289"/>
      <c r="AK1202" s="289"/>
      <c r="AL1202" s="289"/>
    </row>
    <row r="1203" spans="2:38">
      <c r="B1203" s="445" t="str">
        <f>IF($C$1="ENG","door lock Magnet","замок Magnet")</f>
        <v>замок Magnet</v>
      </c>
      <c r="C1203" s="446"/>
      <c r="D1203" s="407">
        <f t="shared" si="170"/>
        <v>666.66666666666674</v>
      </c>
      <c r="E1203" s="93">
        <f t="shared" si="171"/>
        <v>800.00000000000011</v>
      </c>
      <c r="F1203" s="26"/>
      <c r="G1203" s="26"/>
      <c r="H1203" s="5"/>
      <c r="AC1203" s="289">
        <v>800</v>
      </c>
      <c r="AD1203" s="289">
        <v>800</v>
      </c>
      <c r="AE1203" s="289"/>
      <c r="AF1203" s="289"/>
      <c r="AG1203" s="289"/>
      <c r="AH1203" s="289"/>
      <c r="AI1203" s="289"/>
      <c r="AJ1203" s="289"/>
      <c r="AK1203" s="289"/>
      <c r="AL1203" s="289"/>
    </row>
    <row r="1204" spans="2:38">
      <c r="B1204" s="445" t="s">
        <v>76</v>
      </c>
      <c r="C1204" s="446"/>
      <c r="D1204" s="407">
        <f t="shared" si="170"/>
        <v>833.33333333333337</v>
      </c>
      <c r="E1204" s="93">
        <f t="shared" si="171"/>
        <v>1000</v>
      </c>
      <c r="F1204" s="26"/>
      <c r="G1204" s="26"/>
      <c r="H1204" s="5"/>
      <c r="AC1204" s="289">
        <v>1000</v>
      </c>
      <c r="AD1204" s="289"/>
      <c r="AE1204" s="289"/>
      <c r="AF1204" s="289"/>
      <c r="AG1204" s="289"/>
      <c r="AH1204" s="289"/>
      <c r="AI1204" s="289"/>
      <c r="AJ1204" s="289"/>
      <c r="AK1204" s="289"/>
      <c r="AL1204" s="289"/>
    </row>
    <row r="1205" spans="2:38">
      <c r="B1205" s="445" t="str">
        <f>IF($C$1="ENG","door handle-lock (for sliding doors)","ручка-замок (для дверей купе)")</f>
        <v>ручка-замок (для дверей купе)</v>
      </c>
      <c r="C1205" s="446"/>
      <c r="D1205" s="405">
        <f t="shared" si="170"/>
        <v>466.66666666666669</v>
      </c>
      <c r="E1205" s="93">
        <f t="shared" si="171"/>
        <v>560</v>
      </c>
      <c r="F1205" s="26"/>
      <c r="G1205" s="26"/>
      <c r="I1205" s="11"/>
      <c r="J1205" s="11"/>
      <c r="K1205" s="19"/>
      <c r="AC1205" s="289">
        <v>560</v>
      </c>
      <c r="AD1205" s="289">
        <v>560</v>
      </c>
      <c r="AE1205" s="289"/>
      <c r="AF1205" s="289"/>
      <c r="AG1205" s="289"/>
      <c r="AH1205" s="289"/>
      <c r="AI1205" s="289"/>
      <c r="AJ1205" s="289"/>
      <c r="AK1205" s="289"/>
      <c r="AL1205" s="289"/>
    </row>
    <row r="1206" spans="2:38">
      <c r="B1206" s="445" t="str">
        <f>IF($C$1="ENG","cylinder incert","циліндр несиметричний")</f>
        <v>циліндр несиметричний</v>
      </c>
      <c r="C1206" s="446"/>
      <c r="D1206" s="405">
        <f t="shared" si="170"/>
        <v>316.66666666666669</v>
      </c>
      <c r="E1206" s="93">
        <f t="shared" si="171"/>
        <v>380</v>
      </c>
      <c r="F1206" s="26"/>
      <c r="G1206" s="26"/>
      <c r="AC1206" s="289">
        <v>380</v>
      </c>
      <c r="AD1206" s="289">
        <v>380</v>
      </c>
      <c r="AE1206" s="289"/>
      <c r="AF1206" s="289"/>
      <c r="AG1206" s="289"/>
      <c r="AH1206" s="289"/>
      <c r="AI1206" s="289"/>
      <c r="AJ1206" s="289"/>
      <c r="AK1206" s="289"/>
      <c r="AL1206" s="289"/>
    </row>
    <row r="1207" spans="2:38">
      <c r="B1207" s="445" t="str">
        <f>IF($C$1="ENG","door hindge Prestige (1 unit)","завіса Prestige (1 шт)")</f>
        <v>завіса Prestige (1 шт)</v>
      </c>
      <c r="C1207" s="446"/>
      <c r="D1207" s="408">
        <f t="shared" si="170"/>
        <v>216.66666666666669</v>
      </c>
      <c r="E1207" s="93">
        <f t="shared" si="171"/>
        <v>260</v>
      </c>
      <c r="F1207" s="26"/>
      <c r="G1207" s="26"/>
      <c r="AC1207" s="289">
        <v>260</v>
      </c>
      <c r="AD1207" s="289">
        <v>260</v>
      </c>
      <c r="AE1207" s="289"/>
      <c r="AF1207" s="289"/>
      <c r="AG1207" s="289"/>
      <c r="AH1207" s="289"/>
      <c r="AI1207" s="289"/>
      <c r="AJ1207" s="289"/>
      <c r="AK1207" s="289"/>
      <c r="AL1207" s="289"/>
    </row>
    <row r="1208" spans="2:38">
      <c r="B1208" s="445" t="str">
        <f>IF($C$1="ENG","door hinge caps (1 set)","накладка на завіси (1 к-т)")</f>
        <v>накладка на завіси (1 к-т)</v>
      </c>
      <c r="C1208" s="446"/>
      <c r="D1208" s="408">
        <f t="shared" si="170"/>
        <v>66.666666666666671</v>
      </c>
      <c r="E1208" s="93">
        <f t="shared" si="171"/>
        <v>80</v>
      </c>
      <c r="F1208" s="26"/>
      <c r="G1208" s="26"/>
      <c r="AC1208" s="289">
        <v>80</v>
      </c>
      <c r="AD1208" s="289">
        <v>80</v>
      </c>
      <c r="AE1208" s="289"/>
      <c r="AF1208" s="289"/>
      <c r="AG1208" s="289"/>
      <c r="AH1208" s="289"/>
      <c r="AI1208" s="289"/>
      <c r="AJ1208" s="289"/>
      <c r="AK1208" s="289"/>
      <c r="AL1208" s="289"/>
    </row>
    <row r="1209" spans="2:38">
      <c r="B1209" s="445" t="str">
        <f>IF($C$1="ENG","door handle","дверна ручка")</f>
        <v>дверна ручка</v>
      </c>
      <c r="C1209" s="446"/>
      <c r="D1209" s="409" t="str">
        <f t="shared" si="170"/>
        <v/>
      </c>
      <c r="E1209" s="247" t="str">
        <f>IF($C$1="ENG","see Handles Price","див. Таблицю Ручки")</f>
        <v>див. Таблицю Ручки</v>
      </c>
      <c r="F1209" s="26"/>
      <c r="G1209" s="26"/>
      <c r="AC1209" s="289"/>
      <c r="AD1209" s="289"/>
      <c r="AE1209" s="289"/>
      <c r="AF1209" s="289"/>
      <c r="AG1209" s="289"/>
      <c r="AH1209" s="289"/>
      <c r="AI1209" s="289"/>
      <c r="AJ1209" s="289"/>
      <c r="AK1209" s="289"/>
      <c r="AL1209" s="289"/>
    </row>
    <row r="1210" spans="2:38" ht="14.25" customHeight="1">
      <c r="C1210" s="245"/>
      <c r="D1210" s="26"/>
      <c r="E1210" s="26"/>
      <c r="F1210" s="26"/>
      <c r="G1210" s="26"/>
      <c r="H1210" s="5"/>
      <c r="U1210" s="465" t="str">
        <f>IF($C$1="ENG",CONCATENATE("down to: ",B1260),CONCATENATE("вниз до: ",B1260))</f>
        <v>вниз до: Полотна збірні: ТІАНА</v>
      </c>
      <c r="V1210" s="465"/>
      <c r="W1210" s="465"/>
    </row>
    <row r="1211" spans="2:38" ht="14.25" customHeight="1">
      <c r="C1211" s="245"/>
      <c r="D1211" s="26"/>
      <c r="E1211" s="26"/>
      <c r="F1211" s="26"/>
      <c r="G1211" s="26"/>
      <c r="H1211" s="5"/>
    </row>
    <row r="1212" spans="2:38" ht="14.25" customHeight="1">
      <c r="C1212" s="245"/>
      <c r="D1212" s="26"/>
      <c r="E1212" s="26"/>
      <c r="F1212" s="26"/>
      <c r="G1212" s="26"/>
      <c r="H1212" s="5"/>
    </row>
    <row r="1213" spans="2:38" ht="14.25" customHeight="1">
      <c r="C1213" s="245"/>
      <c r="D1213" s="26"/>
      <c r="E1213" s="26"/>
      <c r="F1213" s="26"/>
      <c r="G1213" s="26"/>
      <c r="H1213" s="5"/>
    </row>
    <row r="1214" spans="2:38" ht="14.25" customHeight="1">
      <c r="C1214" s="245"/>
      <c r="D1214" s="26"/>
      <c r="E1214" s="26"/>
      <c r="F1214" s="26"/>
      <c r="G1214" s="26"/>
      <c r="H1214" s="5"/>
    </row>
    <row r="1215" spans="2:38" ht="14.25" customHeight="1">
      <c r="C1215" s="245"/>
      <c r="D1215" s="26"/>
      <c r="E1215" s="26"/>
      <c r="F1215" s="26"/>
      <c r="G1215" s="26"/>
      <c r="H1215" s="5"/>
    </row>
    <row r="1216" spans="2:38" ht="14.25" customHeight="1">
      <c r="C1216" s="245"/>
      <c r="D1216" s="26"/>
      <c r="E1216" s="26"/>
      <c r="F1216" s="26"/>
      <c r="G1216" s="26"/>
      <c r="H1216" s="5"/>
    </row>
    <row r="1217" spans="3:8" ht="14.25" customHeight="1">
      <c r="C1217" s="245"/>
      <c r="D1217" s="26"/>
      <c r="E1217" s="26"/>
      <c r="F1217" s="26"/>
      <c r="G1217" s="26"/>
      <c r="H1217" s="5"/>
    </row>
    <row r="1218" spans="3:8" ht="14.25" customHeight="1">
      <c r="C1218" s="245"/>
      <c r="D1218" s="26"/>
      <c r="E1218" s="26"/>
      <c r="F1218" s="26"/>
      <c r="G1218" s="26"/>
      <c r="H1218" s="5"/>
    </row>
    <row r="1219" spans="3:8" ht="14.25" customHeight="1">
      <c r="C1219" s="245"/>
      <c r="D1219" s="26"/>
      <c r="E1219" s="26"/>
      <c r="F1219" s="26"/>
      <c r="G1219" s="26"/>
      <c r="H1219" s="5"/>
    </row>
    <row r="1220" spans="3:8" ht="14.25" customHeight="1">
      <c r="C1220" s="245"/>
      <c r="D1220" s="26"/>
      <c r="E1220" s="26"/>
      <c r="F1220" s="26"/>
      <c r="G1220" s="26"/>
      <c r="H1220" s="5"/>
    </row>
    <row r="1221" spans="3:8" ht="14.25" customHeight="1">
      <c r="C1221" s="245"/>
      <c r="D1221" s="26"/>
      <c r="E1221" s="26"/>
      <c r="F1221" s="26"/>
      <c r="G1221" s="26"/>
      <c r="H1221" s="5"/>
    </row>
    <row r="1222" spans="3:8" ht="14.25" customHeight="1">
      <c r="C1222" s="245"/>
      <c r="D1222" s="26"/>
      <c r="E1222" s="26"/>
      <c r="F1222" s="26"/>
      <c r="G1222" s="26"/>
      <c r="H1222" s="5"/>
    </row>
    <row r="1223" spans="3:8" ht="14.25" customHeight="1">
      <c r="C1223" s="245"/>
      <c r="D1223" s="26"/>
      <c r="E1223" s="26"/>
      <c r="F1223" s="26"/>
      <c r="G1223" s="26"/>
      <c r="H1223" s="5"/>
    </row>
    <row r="1224" spans="3:8" ht="14.25" customHeight="1">
      <c r="C1224" s="245"/>
      <c r="D1224" s="26"/>
      <c r="E1224" s="26"/>
      <c r="F1224" s="26"/>
      <c r="G1224" s="26"/>
      <c r="H1224" s="5"/>
    </row>
    <row r="1225" spans="3:8" ht="14.25" customHeight="1">
      <c r="C1225" s="245"/>
      <c r="D1225" s="26"/>
      <c r="E1225" s="26"/>
      <c r="F1225" s="26"/>
      <c r="G1225" s="26"/>
      <c r="H1225" s="5"/>
    </row>
    <row r="1226" spans="3:8" ht="14.25" customHeight="1">
      <c r="C1226" s="245"/>
      <c r="D1226" s="26"/>
      <c r="E1226" s="26"/>
      <c r="F1226" s="26"/>
      <c r="G1226" s="26"/>
      <c r="H1226" s="5"/>
    </row>
    <row r="1227" spans="3:8" ht="14.25" customHeight="1">
      <c r="C1227" s="245"/>
      <c r="D1227" s="26"/>
      <c r="E1227" s="26"/>
      <c r="F1227" s="26"/>
      <c r="G1227" s="26"/>
      <c r="H1227" s="5"/>
    </row>
    <row r="1228" spans="3:8" ht="14.25" customHeight="1">
      <c r="C1228" s="245"/>
      <c r="D1228" s="26"/>
      <c r="E1228" s="26"/>
      <c r="F1228" s="26"/>
      <c r="G1228" s="26"/>
      <c r="H1228" s="5"/>
    </row>
    <row r="1229" spans="3:8" ht="14.25" customHeight="1">
      <c r="C1229" s="245"/>
      <c r="D1229" s="26"/>
      <c r="E1229" s="26"/>
      <c r="F1229" s="26"/>
      <c r="G1229" s="26"/>
      <c r="H1229" s="5"/>
    </row>
    <row r="1230" spans="3:8" ht="14.25" customHeight="1">
      <c r="C1230" s="245"/>
      <c r="D1230" s="26"/>
      <c r="E1230" s="26"/>
      <c r="F1230" s="26"/>
      <c r="G1230" s="26"/>
      <c r="H1230" s="5"/>
    </row>
    <row r="1231" spans="3:8" ht="14.25" customHeight="1">
      <c r="C1231" s="245"/>
      <c r="D1231" s="26"/>
      <c r="E1231" s="26"/>
      <c r="F1231" s="26"/>
      <c r="G1231" s="26"/>
      <c r="H1231" s="5"/>
    </row>
    <row r="1232" spans="3:8" ht="14.25" customHeight="1">
      <c r="C1232" s="245"/>
      <c r="D1232" s="26"/>
      <c r="E1232" s="26"/>
      <c r="F1232" s="26"/>
      <c r="G1232" s="26"/>
      <c r="H1232" s="5"/>
    </row>
    <row r="1233" spans="3:8" ht="14.25" customHeight="1">
      <c r="C1233" s="245"/>
      <c r="D1233" s="26"/>
      <c r="E1233" s="26"/>
      <c r="F1233" s="26"/>
      <c r="G1233" s="26"/>
      <c r="H1233" s="5"/>
    </row>
    <row r="1234" spans="3:8" ht="14.25" customHeight="1">
      <c r="C1234" s="245"/>
      <c r="D1234" s="26"/>
      <c r="E1234" s="26"/>
      <c r="F1234" s="26"/>
      <c r="G1234" s="26"/>
      <c r="H1234" s="5"/>
    </row>
    <row r="1235" spans="3:8" ht="14.25" customHeight="1">
      <c r="C1235" s="245"/>
      <c r="D1235" s="26"/>
      <c r="E1235" s="26"/>
      <c r="F1235" s="26"/>
      <c r="G1235" s="26"/>
      <c r="H1235" s="5"/>
    </row>
    <row r="1236" spans="3:8" ht="14.25" customHeight="1">
      <c r="C1236" s="245"/>
      <c r="D1236" s="26"/>
      <c r="E1236" s="26"/>
      <c r="F1236" s="26"/>
      <c r="G1236" s="26"/>
      <c r="H1236" s="5"/>
    </row>
    <row r="1237" spans="3:8" ht="14.25" customHeight="1">
      <c r="C1237" s="245"/>
      <c r="D1237" s="26"/>
      <c r="E1237" s="26"/>
      <c r="F1237" s="26"/>
      <c r="G1237" s="26"/>
      <c r="H1237" s="5"/>
    </row>
    <row r="1238" spans="3:8" ht="14.25" customHeight="1">
      <c r="C1238" s="245"/>
      <c r="D1238" s="26"/>
      <c r="E1238" s="26"/>
      <c r="F1238" s="26"/>
      <c r="G1238" s="26"/>
      <c r="H1238" s="5"/>
    </row>
    <row r="1239" spans="3:8" ht="14.25" customHeight="1">
      <c r="C1239" s="245"/>
      <c r="D1239" s="26"/>
      <c r="E1239" s="26"/>
      <c r="F1239" s="26"/>
      <c r="G1239" s="26"/>
      <c r="H1239" s="5"/>
    </row>
    <row r="1240" spans="3:8" ht="14.25" customHeight="1">
      <c r="C1240" s="245"/>
      <c r="D1240" s="26"/>
      <c r="E1240" s="26"/>
      <c r="F1240" s="26"/>
      <c r="G1240" s="26"/>
      <c r="H1240" s="5"/>
    </row>
    <row r="1241" spans="3:8" ht="14.25" customHeight="1">
      <c r="C1241" s="245"/>
      <c r="D1241" s="26"/>
      <c r="E1241" s="26"/>
      <c r="F1241" s="26"/>
      <c r="G1241" s="26"/>
      <c r="H1241" s="5"/>
    </row>
    <row r="1242" spans="3:8" ht="14.25" customHeight="1">
      <c r="C1242" s="245"/>
      <c r="D1242" s="26"/>
      <c r="E1242" s="26"/>
      <c r="F1242" s="26"/>
      <c r="G1242" s="26"/>
      <c r="H1242" s="5"/>
    </row>
    <row r="1243" spans="3:8" ht="14.25" customHeight="1">
      <c r="C1243" s="245"/>
      <c r="D1243" s="26"/>
      <c r="E1243" s="26"/>
      <c r="F1243" s="26"/>
      <c r="G1243" s="26"/>
      <c r="H1243" s="5"/>
    </row>
    <row r="1244" spans="3:8" ht="14.25" customHeight="1">
      <c r="C1244" s="245"/>
      <c r="D1244" s="26"/>
      <c r="E1244" s="26"/>
      <c r="F1244" s="26"/>
      <c r="G1244" s="26"/>
      <c r="H1244" s="5"/>
    </row>
    <row r="1245" spans="3:8" ht="14.25" customHeight="1">
      <c r="C1245" s="245"/>
      <c r="D1245" s="26"/>
      <c r="E1245" s="26"/>
      <c r="F1245" s="26"/>
      <c r="G1245" s="26"/>
      <c r="H1245" s="5"/>
    </row>
    <row r="1246" spans="3:8" ht="14.25" customHeight="1">
      <c r="C1246" s="245"/>
      <c r="D1246" s="26"/>
      <c r="E1246" s="26"/>
      <c r="F1246" s="26"/>
      <c r="G1246" s="26"/>
      <c r="H1246" s="5"/>
    </row>
    <row r="1247" spans="3:8" ht="14.25" customHeight="1">
      <c r="C1247" s="245"/>
      <c r="D1247" s="26"/>
      <c r="E1247" s="26"/>
      <c r="F1247" s="26"/>
      <c r="G1247" s="26"/>
      <c r="H1247" s="5"/>
    </row>
    <row r="1248" spans="3:8" ht="14.25" customHeight="1">
      <c r="C1248" s="245"/>
      <c r="D1248" s="26"/>
      <c r="E1248" s="26"/>
      <c r="F1248" s="26"/>
      <c r="G1248" s="26"/>
      <c r="H1248" s="5"/>
    </row>
    <row r="1249" spans="1:46" ht="14.25" customHeight="1">
      <c r="C1249" s="245"/>
      <c r="D1249" s="26"/>
      <c r="E1249" s="26"/>
      <c r="F1249" s="26"/>
      <c r="G1249" s="26"/>
      <c r="H1249" s="5"/>
    </row>
    <row r="1250" spans="1:46" ht="14.25" customHeight="1">
      <c r="C1250" s="245"/>
      <c r="D1250" s="26"/>
      <c r="E1250" s="26"/>
      <c r="F1250" s="26"/>
      <c r="G1250" s="26"/>
      <c r="H1250" s="5"/>
    </row>
    <row r="1251" spans="1:46" ht="14.25" customHeight="1">
      <c r="C1251" s="245"/>
      <c r="D1251" s="26"/>
      <c r="E1251" s="26"/>
      <c r="F1251" s="26"/>
      <c r="G1251" s="26"/>
      <c r="H1251" s="5"/>
    </row>
    <row r="1252" spans="1:46" ht="14.25" customHeight="1">
      <c r="C1252" s="245"/>
      <c r="D1252" s="26"/>
      <c r="E1252" s="26"/>
      <c r="F1252" s="26"/>
      <c r="G1252" s="26"/>
      <c r="H1252" s="5"/>
    </row>
    <row r="1253" spans="1:46" ht="14.25" customHeight="1">
      <c r="C1253" s="245"/>
      <c r="D1253" s="26"/>
      <c r="E1253" s="26"/>
      <c r="F1253" s="26"/>
      <c r="G1253" s="26"/>
      <c r="H1253" s="5"/>
    </row>
    <row r="1254" spans="1:46" ht="14.25" customHeight="1">
      <c r="C1254" s="245"/>
      <c r="D1254" s="26"/>
      <c r="E1254" s="26"/>
      <c r="F1254" s="26"/>
      <c r="G1254" s="26"/>
      <c r="H1254" s="5"/>
    </row>
    <row r="1255" spans="1:46" ht="14.25" customHeight="1">
      <c r="C1255" s="245"/>
      <c r="D1255" s="26"/>
      <c r="E1255" s="26"/>
      <c r="F1255" s="26"/>
      <c r="G1255" s="26"/>
      <c r="H1255" s="5"/>
    </row>
    <row r="1256" spans="1:46" ht="14.25" customHeight="1">
      <c r="C1256" s="245"/>
      <c r="D1256" s="26"/>
      <c r="E1256" s="26"/>
      <c r="F1256" s="26"/>
      <c r="G1256" s="26"/>
      <c r="H1256" s="5"/>
    </row>
    <row r="1257" spans="1:46" ht="14.25" customHeight="1">
      <c r="C1257" s="245"/>
      <c r="D1257" s="26"/>
      <c r="E1257" s="26"/>
      <c r="F1257" s="26"/>
      <c r="G1257" s="26"/>
      <c r="H1257" s="5"/>
    </row>
    <row r="1258" spans="1:46" ht="14.25" customHeight="1">
      <c r="C1258" s="245"/>
      <c r="D1258" s="26"/>
      <c r="E1258" s="26"/>
      <c r="F1258" s="26"/>
      <c r="G1258" s="26"/>
      <c r="H1258" s="5"/>
    </row>
    <row r="1259" spans="1:46" ht="14.25" customHeight="1">
      <c r="C1259" s="245"/>
      <c r="D1259" s="26"/>
      <c r="E1259" s="26"/>
      <c r="F1259" s="26"/>
      <c r="G1259" s="26"/>
      <c r="H1259" s="5"/>
    </row>
    <row r="1260" spans="1:46" s="8" customFormat="1">
      <c r="B1260" s="451" t="str">
        <f>TITLE!C25</f>
        <v>Полотна збірні: ТІАНА</v>
      </c>
      <c r="C1260" s="451"/>
      <c r="D1260" s="118"/>
      <c r="E1260" s="118"/>
      <c r="F1260" s="118"/>
      <c r="G1260" s="118"/>
      <c r="H1260" s="455"/>
      <c r="I1260" s="455"/>
      <c r="J1260" s="121"/>
      <c r="K1260" s="121"/>
      <c r="L1260" s="121"/>
      <c r="M1260" s="121"/>
      <c r="N1260" s="121"/>
      <c r="O1260" s="121"/>
      <c r="P1260" s="121"/>
      <c r="Q1260" s="121"/>
      <c r="R1260" s="121"/>
      <c r="S1260" s="121"/>
      <c r="T1260" s="462" t="str">
        <f>IF($C$1="ENG",CONCATENATE("up to: ",B1188),CONCATENATE("вгору до: ",B1188))</f>
        <v>вгору до: Полотна збірні: ЛІНДА</v>
      </c>
      <c r="U1260" s="462"/>
      <c r="V1260" s="462"/>
      <c r="W1260" s="462"/>
      <c r="AN1260" s="280"/>
      <c r="AO1260" s="280"/>
      <c r="AP1260" s="280"/>
      <c r="AQ1260" s="280"/>
      <c r="AR1260" s="280"/>
      <c r="AS1260" s="280"/>
      <c r="AT1260" s="280"/>
    </row>
    <row r="1261" spans="1:46" s="8" customFormat="1" ht="5.0999999999999996" customHeight="1">
      <c r="B1261" s="117"/>
      <c r="C1261" s="420"/>
      <c r="D1261" s="9"/>
      <c r="E1261" s="9"/>
      <c r="F1261" s="9"/>
      <c r="G1261" s="9"/>
      <c r="H1261" s="120"/>
      <c r="I1261" s="120"/>
      <c r="T1261" s="115"/>
      <c r="U1261" s="115"/>
      <c r="V1261" s="115"/>
      <c r="W1261" s="115"/>
      <c r="AN1261" s="280"/>
      <c r="AO1261" s="280"/>
      <c r="AP1261" s="280"/>
      <c r="AQ1261" s="280"/>
      <c r="AR1261" s="280"/>
      <c r="AS1261" s="280"/>
      <c r="AT1261" s="280"/>
    </row>
    <row r="1262" spans="1:46" s="8" customFormat="1" ht="12.75" customHeight="1">
      <c r="B1262" s="452" t="str">
        <f>IF($C$1="ENG","model","модель")</f>
        <v>модель</v>
      </c>
      <c r="C1262" s="122" t="str">
        <f>IF($C$1="ENG","cover:","покриття:")</f>
        <v>покриття:</v>
      </c>
      <c r="D1262" s="458" t="str">
        <f>IF($C$1="ENG","Verto-CELL","Verto-CELL")</f>
        <v>Verto-CELL</v>
      </c>
      <c r="E1262" s="459"/>
      <c r="F1262" s="458" t="str">
        <f>IF($C$1="ENG","UNI-MAT","UNI-MAT")</f>
        <v>UNI-MAT</v>
      </c>
      <c r="G1262" s="459"/>
      <c r="H1262" s="458" t="str">
        <f>IF($C$1="ENG","RESIST","RESIST")</f>
        <v>RESIST</v>
      </c>
      <c r="I1262" s="459"/>
      <c r="J1262" s="458" t="str">
        <f>IF($C$1="ENG","Verto LINE-3D","Verto LINE-3D")</f>
        <v>Verto LINE-3D</v>
      </c>
      <c r="K1262" s="459"/>
      <c r="L1262" s="458" t="str">
        <f>IF($C$1="ENG","ECO Shpon","ЕКО Шпон")</f>
        <v>ЕКО Шпон</v>
      </c>
      <c r="M1262" s="459"/>
      <c r="P1262" s="1"/>
      <c r="Q1262" s="1"/>
      <c r="T1262" s="115"/>
      <c r="U1262" s="115"/>
      <c r="V1262" s="115"/>
      <c r="W1262" s="115"/>
      <c r="AN1262" s="280"/>
      <c r="AO1262" s="280"/>
      <c r="AP1262" s="280"/>
      <c r="AQ1262" s="280"/>
      <c r="AR1262" s="280"/>
      <c r="AS1262" s="280"/>
      <c r="AT1262" s="280"/>
    </row>
    <row r="1263" spans="1:46" s="8" customFormat="1" ht="24.75" customHeight="1">
      <c r="B1263" s="453"/>
      <c r="C1263" s="123" t="str">
        <f>IF($C$1="ENG","filling:","заповнення:")</f>
        <v>заповнення:</v>
      </c>
      <c r="D1263" s="460" t="str">
        <f>IF($C$1="ENG","softwood","клеєний сосновий брус")</f>
        <v>клеєний сосновий брус</v>
      </c>
      <c r="E1263" s="461"/>
      <c r="F1263" s="460" t="str">
        <f>IF($C$1="ENG","softwood","клеєний сосновий брус")</f>
        <v>клеєний сосновий брус</v>
      </c>
      <c r="G1263" s="461"/>
      <c r="H1263" s="460" t="str">
        <f>IF($C$1="ENG","softwood","клеєний сосновий брус")</f>
        <v>клеєний сосновий брус</v>
      </c>
      <c r="I1263" s="461"/>
      <c r="J1263" s="460" t="str">
        <f>IF($C$1="ENG","softwood","клеєний сосновий брус")</f>
        <v>клеєний сосновий брус</v>
      </c>
      <c r="K1263" s="461"/>
      <c r="L1263" s="460" t="str">
        <f>IF($C$1="ENG","softwood","клеєний сосновий брус")</f>
        <v>клеєний сосновий брус</v>
      </c>
      <c r="M1263" s="461"/>
      <c r="P1263" s="1"/>
      <c r="Q1263" s="1"/>
      <c r="T1263" s="115"/>
      <c r="U1263" s="115"/>
      <c r="V1263" s="115"/>
      <c r="W1263" s="115"/>
      <c r="AD1263" s="383">
        <f>AD1265/AC1265-1</f>
        <v>0.12812960235640647</v>
      </c>
      <c r="AE1263" s="383">
        <f>AE1265/AD1265-1</f>
        <v>3.0026109660574507E-2</v>
      </c>
      <c r="AF1263" s="383">
        <f>AF1265/AE1265-1</f>
        <v>7.3510773130545104E-2</v>
      </c>
      <c r="AG1263" s="383">
        <f>AG1265/AF1265-1</f>
        <v>4.7225501770956413E-2</v>
      </c>
      <c r="AH1263" s="8">
        <v>6060</v>
      </c>
      <c r="AI1263" s="8">
        <v>7040</v>
      </c>
      <c r="AJ1263" s="8">
        <v>7560</v>
      </c>
      <c r="AK1263" s="8">
        <v>7920</v>
      </c>
      <c r="AN1263" s="280"/>
      <c r="AO1263" s="280"/>
      <c r="AP1263" s="280"/>
      <c r="AQ1263" s="280"/>
      <c r="AR1263" s="280"/>
      <c r="AS1263" s="280"/>
      <c r="AT1263" s="280"/>
    </row>
    <row r="1264" spans="1:46" ht="12.75" customHeight="1">
      <c r="A1264" s="8"/>
      <c r="B1264" s="454"/>
      <c r="C1264" s="124" t="str">
        <f>IF($C$1="ENG","glazing:","скління:")</f>
        <v>скління:</v>
      </c>
      <c r="D1264" s="449" t="str">
        <f>IF($C$1="ENG","Satin","Сатин")</f>
        <v>Сатин</v>
      </c>
      <c r="E1264" s="450"/>
      <c r="F1264" s="449" t="str">
        <f>IF($C$1="ENG","Satin","Сатин")</f>
        <v>Сатин</v>
      </c>
      <c r="G1264" s="450"/>
      <c r="H1264" s="449" t="str">
        <f>IF($C$1="ENG","Satin","Сатин")</f>
        <v>Сатин</v>
      </c>
      <c r="I1264" s="450"/>
      <c r="J1264" s="449" t="str">
        <f>IF($C$1="ENG","Satin","Сатин")</f>
        <v>Сатин</v>
      </c>
      <c r="K1264" s="450"/>
      <c r="L1264" s="449" t="str">
        <f>IF($C$1="ENG","Satin","Сатин")</f>
        <v>Сатин</v>
      </c>
      <c r="M1264" s="450"/>
    </row>
    <row r="1265" spans="1:43" ht="35.1" customHeight="1">
      <c r="A1265" s="8"/>
      <c r="B1265" s="16" t="s">
        <v>50</v>
      </c>
      <c r="C1265" s="17"/>
      <c r="D1265" s="18">
        <f>IF(AC1265="","",(1-$W$2)*(AC1265/1.2))</f>
        <v>5658.3333333333339</v>
      </c>
      <c r="E1265" s="66">
        <f>IF($W$5=0.2,D1265*1.2,D1265)/$W$4</f>
        <v>6790.0000000000009</v>
      </c>
      <c r="F1265" s="18">
        <f>IF(AD1265="","",(1-$W$2)*(AD1265/1.2))</f>
        <v>6383.3333333333339</v>
      </c>
      <c r="G1265" s="66">
        <f>IF($W$5=0.2,F1265*1.2,F1265)/$W$4</f>
        <v>7660</v>
      </c>
      <c r="H1265" s="18">
        <f>IF(AE1265="","",(1-$W$2)*(AE1265/1.2))</f>
        <v>6575</v>
      </c>
      <c r="I1265" s="66">
        <f>IF($W$5=0.2,H1265*1.2,H1265)/$W$4</f>
        <v>7890</v>
      </c>
      <c r="J1265" s="18">
        <f>IF(AF1265="","",(1-$W$2)*(AF1265/1.2))</f>
        <v>7058.3333333333339</v>
      </c>
      <c r="K1265" s="66">
        <f>IF($W$5=0.2,J1265*1.2,J1265)/$W$4</f>
        <v>8470</v>
      </c>
      <c r="L1265" s="18">
        <f>IF(AG1265="","",(1-$W$2)*(AG1265/1.2))</f>
        <v>7391.666666666667</v>
      </c>
      <c r="M1265" s="66">
        <f>IF($W$5=0.2,L1265*1.2,L1265)/$W$4</f>
        <v>8870</v>
      </c>
      <c r="N1265" s="104"/>
      <c r="R1265" s="104"/>
      <c r="T1265" s="104"/>
      <c r="U1265" s="20"/>
      <c r="V1265" s="104"/>
      <c r="W1265" s="20"/>
      <c r="X1265" s="104"/>
      <c r="Y1265" s="104"/>
      <c r="Z1265" s="104"/>
      <c r="AA1265" s="104"/>
      <c r="AB1265" s="104"/>
      <c r="AC1265" s="332">
        <v>6790</v>
      </c>
      <c r="AD1265" s="391">
        <v>7660</v>
      </c>
      <c r="AE1265" s="332">
        <v>7890</v>
      </c>
      <c r="AF1265" s="332">
        <v>8470</v>
      </c>
      <c r="AG1265" s="332">
        <v>8870</v>
      </c>
      <c r="AH1265" s="289">
        <v>6790</v>
      </c>
      <c r="AI1265" s="289">
        <f>AH1265/AC1265-1</f>
        <v>0</v>
      </c>
      <c r="AJ1265" s="289">
        <v>7660</v>
      </c>
      <c r="AK1265" s="289">
        <f>AJ1265/AD1265-1</f>
        <v>0</v>
      </c>
      <c r="AL1265" s="289">
        <v>7890</v>
      </c>
      <c r="AM1265" s="289">
        <f>AL1265/AE1265-1</f>
        <v>0</v>
      </c>
      <c r="AN1265" s="289">
        <v>8470</v>
      </c>
      <c r="AO1265" s="289">
        <f>AN1265/AF1265-1</f>
        <v>0</v>
      </c>
      <c r="AP1265" s="289">
        <v>8870</v>
      </c>
      <c r="AQ1265" s="289">
        <f>AP1265/AG1265-1</f>
        <v>0</v>
      </c>
    </row>
    <row r="1266" spans="1:43" ht="35.1" customHeight="1">
      <c r="A1266" s="8"/>
      <c r="B1266" s="23" t="s">
        <v>51</v>
      </c>
      <c r="C1266" s="24"/>
      <c r="D1266" s="25">
        <f>IF(AC1266="","",(1-$W$2)*(AC1266/1.2))</f>
        <v>5658.3333333333339</v>
      </c>
      <c r="E1266" s="69">
        <f>IF($W$5=0.2,D1266*1.2,D1266)/$W$4</f>
        <v>6790.0000000000009</v>
      </c>
      <c r="F1266" s="25">
        <f>IF(AD1266="","",(1-$W$2)*(AD1266/1.2))</f>
        <v>6383.3333333333339</v>
      </c>
      <c r="G1266" s="69">
        <f>IF($W$5=0.2,F1266*1.2,F1266)/$W$4</f>
        <v>7660</v>
      </c>
      <c r="H1266" s="25">
        <f>IF(AE1266="","",(1-$W$2)*(AE1266/1.2))</f>
        <v>6575</v>
      </c>
      <c r="I1266" s="69">
        <f>IF($W$5=0.2,H1266*1.2,H1266)/$W$4</f>
        <v>7890</v>
      </c>
      <c r="J1266" s="25">
        <f>IF(AF1266="","",(1-$W$2)*(AF1266/1.2))</f>
        <v>7058.3333333333339</v>
      </c>
      <c r="K1266" s="69">
        <f>IF($W$5=0.2,J1266*1.2,J1266)/$W$4</f>
        <v>8470</v>
      </c>
      <c r="L1266" s="25">
        <f>IF(AG1266="","",(1-$W$2)*(AG1266/1.2))</f>
        <v>7391.666666666667</v>
      </c>
      <c r="M1266" s="69">
        <f>IF($W$5=0.2,L1266*1.2,L1266)/$W$4</f>
        <v>8870</v>
      </c>
      <c r="N1266" s="104"/>
      <c r="R1266" s="104"/>
      <c r="T1266" s="104"/>
      <c r="U1266" s="20"/>
      <c r="V1266" s="104"/>
      <c r="W1266" s="20"/>
      <c r="X1266" s="104"/>
      <c r="Y1266" s="104"/>
      <c r="Z1266" s="104"/>
      <c r="AA1266" s="104"/>
      <c r="AB1266" s="104"/>
      <c r="AC1266" s="332">
        <v>6790</v>
      </c>
      <c r="AD1266" s="391">
        <v>7660</v>
      </c>
      <c r="AE1266" s="332">
        <v>7890</v>
      </c>
      <c r="AF1266" s="332">
        <v>8470</v>
      </c>
      <c r="AG1266" s="332">
        <v>8870</v>
      </c>
      <c r="AH1266" s="289">
        <v>6790</v>
      </c>
      <c r="AI1266" s="289">
        <f>AH1266/AC1266-1</f>
        <v>0</v>
      </c>
      <c r="AJ1266" s="289">
        <v>7660</v>
      </c>
      <c r="AK1266" s="289">
        <f>AJ1266/AD1266-1</f>
        <v>0</v>
      </c>
      <c r="AL1266" s="289">
        <v>7890</v>
      </c>
      <c r="AM1266" s="289">
        <f>AL1266/AE1266-1</f>
        <v>0</v>
      </c>
      <c r="AN1266" s="289">
        <v>8470</v>
      </c>
      <c r="AO1266" s="289">
        <f>AN1266/AF1266-1</f>
        <v>0</v>
      </c>
      <c r="AP1266" s="289">
        <v>8870</v>
      </c>
      <c r="AQ1266" s="289">
        <f>AP1266/AG1266-1</f>
        <v>0</v>
      </c>
    </row>
    <row r="1267" spans="1:43">
      <c r="C1267" s="245"/>
      <c r="D1267" s="26"/>
      <c r="E1267" s="57"/>
      <c r="F1267" s="26"/>
      <c r="G1267" s="57"/>
      <c r="H1267" s="10"/>
      <c r="I1267" s="8"/>
      <c r="J1267" s="8"/>
      <c r="K1267" s="8"/>
    </row>
    <row r="1268" spans="1:43">
      <c r="B1268" s="212" t="str">
        <f>IF($C$1="ENG","For additonal charge:","Послуги за додаткову плату:")</f>
        <v>Послуги за додаткову плату:</v>
      </c>
      <c r="C1268" s="421"/>
      <c r="D1268" s="213"/>
      <c r="E1268" s="214"/>
      <c r="F1268" s="26"/>
      <c r="G1268" s="57"/>
      <c r="H1268" s="10"/>
      <c r="I1268" s="8"/>
      <c r="J1268" s="8"/>
      <c r="K1268" s="8"/>
    </row>
    <row r="1269" spans="1:43" ht="5.0999999999999996" customHeight="1">
      <c r="B1269" s="27"/>
      <c r="C1269" s="245"/>
      <c r="D1269" s="26"/>
      <c r="E1269" s="57"/>
      <c r="F1269" s="26"/>
      <c r="G1269" s="57"/>
      <c r="H1269" s="10"/>
      <c r="I1269" s="8"/>
      <c r="J1269" s="8"/>
      <c r="K1269" s="8"/>
    </row>
    <row r="1270" spans="1:43">
      <c r="B1270" s="447" t="str">
        <f>IF($C$1="ENG","door leaf with width 100","полотно розміром 100")</f>
        <v>полотно розміром 100</v>
      </c>
      <c r="C1270" s="448"/>
      <c r="D1270" s="132">
        <f t="shared" ref="D1270:D1282" si="174">IF(AC1270="","",(1-$W$2)*(AC1270/1.2))</f>
        <v>600</v>
      </c>
      <c r="E1270" s="92">
        <f t="shared" ref="E1270:E1281" si="175">IF($W$5=0.2,D1270*1.2,D1270)/$W$4</f>
        <v>720</v>
      </c>
      <c r="F1270" s="26"/>
      <c r="G1270" s="26"/>
      <c r="H1270" s="10"/>
      <c r="I1270" s="8"/>
      <c r="J1270" s="8"/>
      <c r="K1270" s="8"/>
      <c r="AC1270" s="289">
        <v>720</v>
      </c>
      <c r="AD1270" s="289">
        <v>720</v>
      </c>
      <c r="AE1270" s="289"/>
      <c r="AF1270" s="289"/>
      <c r="AG1270" s="289"/>
      <c r="AH1270" s="289"/>
      <c r="AI1270" s="289"/>
      <c r="AJ1270" s="289"/>
      <c r="AK1270" s="289"/>
      <c r="AL1270" s="289"/>
    </row>
    <row r="1271" spans="1:43">
      <c r="B1271" s="447" t="str">
        <f>IF($C$1="ENG","Ventilation cut","вентиляційний підріз")</f>
        <v>вентиляційний підріз</v>
      </c>
      <c r="C1271" s="448"/>
      <c r="D1271" s="133">
        <f t="shared" si="174"/>
        <v>141.66666666666669</v>
      </c>
      <c r="E1271" s="66">
        <f t="shared" si="175"/>
        <v>170.00000000000003</v>
      </c>
      <c r="F1271" s="26"/>
      <c r="G1271" s="26"/>
      <c r="I1271" s="59"/>
      <c r="J1271" s="28"/>
      <c r="AC1271" s="289">
        <v>170</v>
      </c>
      <c r="AD1271" s="289">
        <v>170</v>
      </c>
      <c r="AE1271" s="289"/>
      <c r="AF1271" s="289"/>
      <c r="AG1271" s="289"/>
      <c r="AH1271" s="289"/>
      <c r="AI1271" s="289"/>
      <c r="AJ1271" s="289"/>
      <c r="AK1271" s="289"/>
      <c r="AL1271" s="289"/>
    </row>
    <row r="1272" spans="1:43">
      <c r="B1272" s="445" t="str">
        <f>IF($C$1="ENG","glazing Graphite / Bronze","скло Графіт / Бронза")</f>
        <v>скло Графіт / Бронза</v>
      </c>
      <c r="C1272" s="446"/>
      <c r="D1272" s="102">
        <f t="shared" si="174"/>
        <v>458.33333333333337</v>
      </c>
      <c r="E1272" s="93">
        <f t="shared" si="175"/>
        <v>550</v>
      </c>
      <c r="F1272" s="26"/>
      <c r="G1272" s="26"/>
      <c r="H1272" s="5"/>
      <c r="AC1272" s="289">
        <v>550</v>
      </c>
      <c r="AD1272" s="289">
        <v>550</v>
      </c>
      <c r="AE1272" s="289"/>
      <c r="AF1272" s="289"/>
      <c r="AG1272" s="289"/>
      <c r="AH1272" s="289"/>
      <c r="AI1272" s="289"/>
      <c r="AJ1272" s="289"/>
      <c r="AK1272" s="289"/>
      <c r="AL1272" s="289"/>
    </row>
    <row r="1273" spans="1:43">
      <c r="B1273" s="445" t="str">
        <f>IF($C$1="ENG","glazing Lacobel black ","скло Lacobel чорне")</f>
        <v>скло Lacobel чорне</v>
      </c>
      <c r="C1273" s="446"/>
      <c r="D1273" s="407">
        <f t="shared" si="174"/>
        <v>458.33333333333337</v>
      </c>
      <c r="E1273" s="93">
        <f>IF($W$5=0.2,D1273*1.2,D1273)/$W$4</f>
        <v>550</v>
      </c>
      <c r="F1273" s="26"/>
      <c r="G1273" s="26"/>
      <c r="H1273" s="5"/>
      <c r="AC1273" s="298">
        <v>550</v>
      </c>
      <c r="AD1273" s="298">
        <v>550</v>
      </c>
      <c r="AE1273" s="289"/>
      <c r="AF1273" s="289"/>
      <c r="AG1273" s="289"/>
      <c r="AH1273" s="289"/>
      <c r="AI1273" s="289"/>
      <c r="AJ1273" s="289"/>
      <c r="AK1273" s="289"/>
      <c r="AL1273" s="289"/>
    </row>
    <row r="1274" spans="1:43">
      <c r="B1274" s="445" t="str">
        <f>IF($C$1="ENG","door lock Soft","замок Soft")</f>
        <v>замок Soft</v>
      </c>
      <c r="C1274" s="446"/>
      <c r="D1274" s="102">
        <f t="shared" si="174"/>
        <v>458.33333333333337</v>
      </c>
      <c r="E1274" s="93">
        <f t="shared" si="175"/>
        <v>550</v>
      </c>
      <c r="F1274" s="26"/>
      <c r="G1274" s="26"/>
      <c r="H1274" s="5"/>
      <c r="AC1274" s="289">
        <v>550</v>
      </c>
      <c r="AD1274" s="289">
        <v>550</v>
      </c>
      <c r="AE1274" s="289"/>
      <c r="AF1274" s="289"/>
      <c r="AG1274" s="289"/>
      <c r="AH1274" s="289"/>
      <c r="AI1274" s="289"/>
      <c r="AJ1274" s="289"/>
      <c r="AK1274" s="289"/>
      <c r="AL1274" s="289"/>
    </row>
    <row r="1275" spans="1:43">
      <c r="B1275" s="445" t="str">
        <f>IF($C$1="ENG","door lock Soft black","замок Soft чорн.")</f>
        <v>замок Soft чорн.</v>
      </c>
      <c r="C1275" s="446"/>
      <c r="D1275" s="102">
        <f t="shared" ref="D1275" si="176">IF(AC1275="","",(1-$W$2)*(AC1275/1.2))</f>
        <v>566.66666666666674</v>
      </c>
      <c r="E1275" s="93">
        <f t="shared" ref="E1275" si="177">IF($W$5=0.2,D1275*1.2,D1275)/$W$4</f>
        <v>680.00000000000011</v>
      </c>
      <c r="F1275" s="26"/>
      <c r="G1275" s="26"/>
      <c r="H1275" s="5"/>
      <c r="AC1275" s="289">
        <v>680</v>
      </c>
      <c r="AD1275" s="289"/>
      <c r="AE1275" s="289"/>
      <c r="AF1275" s="289"/>
      <c r="AG1275" s="289"/>
      <c r="AH1275" s="289"/>
      <c r="AI1275" s="289"/>
      <c r="AJ1275" s="289"/>
      <c r="AK1275" s="289"/>
      <c r="AL1275" s="289"/>
    </row>
    <row r="1276" spans="1:43">
      <c r="B1276" s="445" t="str">
        <f>IF($C$1="ENG","door lock Magnet","замок Magnet")</f>
        <v>замок Magnet</v>
      </c>
      <c r="C1276" s="446"/>
      <c r="D1276" s="102">
        <f t="shared" si="174"/>
        <v>666.66666666666674</v>
      </c>
      <c r="E1276" s="93">
        <f t="shared" si="175"/>
        <v>800.00000000000011</v>
      </c>
      <c r="F1276" s="26"/>
      <c r="G1276" s="26"/>
      <c r="H1276" s="5"/>
      <c r="AC1276" s="289">
        <v>800</v>
      </c>
      <c r="AD1276" s="289">
        <v>800</v>
      </c>
      <c r="AE1276" s="289"/>
      <c r="AF1276" s="289"/>
      <c r="AG1276" s="289"/>
      <c r="AH1276" s="289"/>
      <c r="AI1276" s="289"/>
      <c r="AJ1276" s="289"/>
      <c r="AK1276" s="289"/>
      <c r="AL1276" s="289"/>
    </row>
    <row r="1277" spans="1:43">
      <c r="B1277" s="445" t="s">
        <v>76</v>
      </c>
      <c r="C1277" s="446"/>
      <c r="D1277" s="102">
        <f t="shared" ref="D1277" si="178">IF(AC1277="","",(1-$W$2)*(AC1277/1.2))</f>
        <v>833.33333333333337</v>
      </c>
      <c r="E1277" s="93">
        <f t="shared" ref="E1277" si="179">IF($W$5=0.2,D1277*1.2,D1277)/$W$4</f>
        <v>1000</v>
      </c>
      <c r="F1277" s="26"/>
      <c r="G1277" s="26"/>
      <c r="H1277" s="5"/>
      <c r="AC1277" s="289">
        <v>1000</v>
      </c>
      <c r="AD1277" s="289"/>
      <c r="AE1277" s="289"/>
      <c r="AF1277" s="289"/>
      <c r="AG1277" s="289"/>
      <c r="AH1277" s="289"/>
      <c r="AI1277" s="289"/>
      <c r="AJ1277" s="289"/>
      <c r="AK1277" s="289"/>
      <c r="AL1277" s="289"/>
    </row>
    <row r="1278" spans="1:43">
      <c r="B1278" s="445" t="str">
        <f>IF($C$1="ENG","door handle-lock (for sliding doors)","ручка-замок (для дверей купе)")</f>
        <v>ручка-замок (для дверей купе)</v>
      </c>
      <c r="C1278" s="446"/>
      <c r="D1278" s="133">
        <f t="shared" si="174"/>
        <v>466.66666666666669</v>
      </c>
      <c r="E1278" s="93">
        <f t="shared" si="175"/>
        <v>560</v>
      </c>
      <c r="F1278" s="26"/>
      <c r="G1278" s="26"/>
      <c r="I1278" s="11"/>
      <c r="J1278" s="11"/>
      <c r="K1278" s="19"/>
      <c r="AC1278" s="289">
        <v>560</v>
      </c>
      <c r="AD1278" s="289">
        <v>560</v>
      </c>
      <c r="AE1278" s="289"/>
      <c r="AF1278" s="289"/>
      <c r="AG1278" s="289"/>
      <c r="AH1278" s="289"/>
      <c r="AI1278" s="289"/>
      <c r="AJ1278" s="289"/>
      <c r="AK1278" s="289"/>
      <c r="AL1278" s="289"/>
    </row>
    <row r="1279" spans="1:43">
      <c r="B1279" s="445" t="str">
        <f>IF($C$1="ENG","cylinder incert","циліндр несиметричний")</f>
        <v>циліндр несиметричний</v>
      </c>
      <c r="C1279" s="446"/>
      <c r="D1279" s="133">
        <f t="shared" si="174"/>
        <v>316.66666666666669</v>
      </c>
      <c r="E1279" s="93">
        <f t="shared" si="175"/>
        <v>380</v>
      </c>
      <c r="F1279" s="26"/>
      <c r="G1279" s="26"/>
      <c r="AC1279" s="289">
        <v>380</v>
      </c>
      <c r="AD1279" s="289">
        <v>380</v>
      </c>
      <c r="AE1279" s="289"/>
      <c r="AF1279" s="289"/>
      <c r="AG1279" s="289"/>
      <c r="AH1279" s="289"/>
      <c r="AI1279" s="289"/>
      <c r="AJ1279" s="289"/>
      <c r="AK1279" s="289"/>
      <c r="AL1279" s="289"/>
    </row>
    <row r="1280" spans="1:43">
      <c r="B1280" s="445" t="str">
        <f>IF($C$1="ENG","door hindge Prestige (1 unit)","завіса Prestige (1 шт)")</f>
        <v>завіса Prestige (1 шт)</v>
      </c>
      <c r="C1280" s="446"/>
      <c r="D1280" s="135">
        <f t="shared" si="174"/>
        <v>216.66666666666669</v>
      </c>
      <c r="E1280" s="93">
        <f t="shared" si="175"/>
        <v>260</v>
      </c>
      <c r="F1280" s="26"/>
      <c r="G1280" s="26"/>
      <c r="AC1280" s="289">
        <v>260</v>
      </c>
      <c r="AD1280" s="289">
        <v>260</v>
      </c>
      <c r="AE1280" s="289"/>
      <c r="AF1280" s="289"/>
      <c r="AG1280" s="289"/>
      <c r="AH1280" s="289"/>
      <c r="AI1280" s="289"/>
      <c r="AJ1280" s="289"/>
      <c r="AK1280" s="289"/>
      <c r="AL1280" s="289"/>
    </row>
    <row r="1281" spans="2:38">
      <c r="B1281" s="445" t="str">
        <f>IF($C$1="ENG","door hinge caps (1 set)","накладка на завіси (1 к-т)")</f>
        <v>накладка на завіси (1 к-т)</v>
      </c>
      <c r="C1281" s="446"/>
      <c r="D1281" s="135">
        <f t="shared" si="174"/>
        <v>66.666666666666671</v>
      </c>
      <c r="E1281" s="93">
        <f t="shared" si="175"/>
        <v>80</v>
      </c>
      <c r="F1281" s="26"/>
      <c r="G1281" s="26"/>
      <c r="AC1281" s="289">
        <v>80</v>
      </c>
      <c r="AD1281" s="289">
        <v>80</v>
      </c>
      <c r="AE1281" s="289"/>
      <c r="AF1281" s="289"/>
      <c r="AG1281" s="289"/>
      <c r="AH1281" s="289"/>
      <c r="AI1281" s="289"/>
      <c r="AJ1281" s="289"/>
      <c r="AK1281" s="289"/>
      <c r="AL1281" s="289"/>
    </row>
    <row r="1282" spans="2:38">
      <c r="B1282" s="445" t="str">
        <f>IF($C$1="ENG","door handle","дверна ручка")</f>
        <v>дверна ручка</v>
      </c>
      <c r="C1282" s="446"/>
      <c r="D1282" s="134" t="str">
        <f t="shared" si="174"/>
        <v/>
      </c>
      <c r="E1282" s="247" t="str">
        <f>IF($C$1="ENG","see Handles Price","див. Таблицю Ручки")</f>
        <v>див. Таблицю Ручки</v>
      </c>
      <c r="F1282" s="26"/>
      <c r="G1282" s="26"/>
      <c r="AC1282" s="289"/>
      <c r="AD1282" s="289"/>
      <c r="AE1282" s="289"/>
      <c r="AF1282" s="289"/>
      <c r="AG1282" s="289"/>
      <c r="AH1282" s="289"/>
      <c r="AI1282" s="289"/>
      <c r="AJ1282" s="289"/>
      <c r="AK1282" s="289"/>
      <c r="AL1282" s="289"/>
    </row>
    <row r="1283" spans="2:38" ht="14.25" customHeight="1">
      <c r="C1283" s="245"/>
      <c r="D1283" s="26"/>
      <c r="E1283" s="26"/>
      <c r="F1283" s="26"/>
      <c r="G1283" s="26"/>
      <c r="H1283" s="5"/>
      <c r="U1283" s="465" t="str">
        <f>IF($C$1="ENG",CONCATENATE("down to: ",B1333),CONCATENATE("вниз до: ",B1333))</f>
        <v>вниз до: Полотна збірні: ЄВА</v>
      </c>
      <c r="V1283" s="465"/>
      <c r="W1283" s="465"/>
      <c r="X1283" s="304"/>
      <c r="Y1283" s="304"/>
      <c r="Z1283" s="304"/>
      <c r="AA1283" s="304"/>
      <c r="AB1283" s="304"/>
    </row>
    <row r="1284" spans="2:38" ht="14.25" customHeight="1">
      <c r="C1284" s="245"/>
      <c r="D1284" s="26"/>
      <c r="E1284" s="26"/>
      <c r="F1284" s="26"/>
      <c r="G1284" s="26"/>
      <c r="H1284" s="5"/>
    </row>
    <row r="1285" spans="2:38" ht="14.25" customHeight="1">
      <c r="C1285" s="245"/>
      <c r="D1285" s="26"/>
      <c r="E1285" s="26"/>
      <c r="F1285" s="26"/>
      <c r="G1285" s="26"/>
      <c r="H1285" s="5"/>
    </row>
    <row r="1286" spans="2:38" ht="14.25" customHeight="1">
      <c r="C1286" s="245"/>
      <c r="D1286" s="26"/>
      <c r="E1286" s="26"/>
      <c r="F1286" s="26"/>
      <c r="G1286" s="26"/>
      <c r="H1286" s="5"/>
    </row>
    <row r="1287" spans="2:38" ht="14.25" customHeight="1">
      <c r="C1287" s="245"/>
      <c r="D1287" s="26"/>
      <c r="E1287" s="26"/>
      <c r="F1287" s="26"/>
      <c r="G1287" s="26"/>
      <c r="H1287" s="5"/>
    </row>
    <row r="1288" spans="2:38" ht="14.25" customHeight="1">
      <c r="C1288" s="245"/>
      <c r="D1288" s="26"/>
      <c r="E1288" s="26"/>
      <c r="F1288" s="26"/>
      <c r="G1288" s="26"/>
      <c r="H1288" s="5"/>
    </row>
    <row r="1289" spans="2:38" ht="14.25" customHeight="1">
      <c r="C1289" s="245"/>
      <c r="D1289" s="26"/>
      <c r="E1289" s="26"/>
      <c r="F1289" s="26"/>
      <c r="G1289" s="26"/>
      <c r="H1289" s="5"/>
    </row>
    <row r="1290" spans="2:38" ht="14.25" customHeight="1">
      <c r="C1290" s="245"/>
      <c r="D1290" s="26"/>
      <c r="E1290" s="26"/>
      <c r="F1290" s="26"/>
      <c r="G1290" s="26"/>
      <c r="H1290" s="5"/>
    </row>
    <row r="1291" spans="2:38" ht="14.25" customHeight="1">
      <c r="C1291" s="245"/>
      <c r="D1291" s="26"/>
      <c r="E1291" s="26"/>
      <c r="F1291" s="26"/>
      <c r="G1291" s="26"/>
      <c r="H1291" s="5"/>
    </row>
    <row r="1292" spans="2:38" ht="14.25" customHeight="1">
      <c r="C1292" s="245"/>
      <c r="D1292" s="26"/>
      <c r="E1292" s="26"/>
      <c r="F1292" s="26"/>
      <c r="G1292" s="26"/>
      <c r="H1292" s="5"/>
    </row>
    <row r="1293" spans="2:38" ht="14.25" customHeight="1">
      <c r="C1293" s="245"/>
      <c r="D1293" s="26"/>
      <c r="E1293" s="26"/>
      <c r="F1293" s="26"/>
      <c r="G1293" s="26"/>
      <c r="H1293" s="5"/>
    </row>
    <row r="1294" spans="2:38" ht="14.25" customHeight="1">
      <c r="C1294" s="245"/>
      <c r="D1294" s="26"/>
      <c r="E1294" s="26"/>
      <c r="F1294" s="26"/>
      <c r="G1294" s="26"/>
      <c r="H1294" s="5"/>
    </row>
    <row r="1295" spans="2:38" ht="14.25" customHeight="1">
      <c r="C1295" s="245"/>
      <c r="D1295" s="26"/>
      <c r="E1295" s="26"/>
      <c r="F1295" s="26"/>
      <c r="G1295" s="26"/>
      <c r="H1295" s="5"/>
    </row>
    <row r="1296" spans="2:38" ht="14.25" customHeight="1">
      <c r="C1296" s="245"/>
      <c r="D1296" s="26"/>
      <c r="E1296" s="26"/>
      <c r="F1296" s="26"/>
      <c r="G1296" s="26"/>
      <c r="H1296" s="5"/>
    </row>
    <row r="1297" spans="3:8" ht="14.25" customHeight="1">
      <c r="C1297" s="245"/>
      <c r="D1297" s="26"/>
      <c r="E1297" s="26"/>
      <c r="F1297" s="26"/>
      <c r="G1297" s="26"/>
      <c r="H1297" s="5"/>
    </row>
    <row r="1298" spans="3:8" ht="14.25" customHeight="1">
      <c r="C1298" s="245"/>
      <c r="D1298" s="26"/>
      <c r="E1298" s="26"/>
      <c r="F1298" s="26"/>
      <c r="G1298" s="26"/>
      <c r="H1298" s="5"/>
    </row>
    <row r="1299" spans="3:8" ht="14.25" customHeight="1">
      <c r="C1299" s="245"/>
      <c r="D1299" s="26"/>
      <c r="E1299" s="26"/>
      <c r="F1299" s="26"/>
      <c r="G1299" s="26"/>
      <c r="H1299" s="5"/>
    </row>
    <row r="1300" spans="3:8" ht="14.25" customHeight="1">
      <c r="C1300" s="245"/>
      <c r="D1300" s="26"/>
      <c r="E1300" s="26"/>
      <c r="F1300" s="26"/>
      <c r="G1300" s="26"/>
      <c r="H1300" s="5"/>
    </row>
    <row r="1301" spans="3:8" ht="14.25" customHeight="1">
      <c r="C1301" s="245"/>
      <c r="D1301" s="26"/>
      <c r="E1301" s="26"/>
      <c r="F1301" s="26"/>
      <c r="G1301" s="26"/>
      <c r="H1301" s="5"/>
    </row>
    <row r="1302" spans="3:8" ht="14.25" customHeight="1">
      <c r="C1302" s="245"/>
      <c r="D1302" s="26"/>
      <c r="E1302" s="26"/>
      <c r="F1302" s="26"/>
      <c r="G1302" s="26"/>
      <c r="H1302" s="5"/>
    </row>
    <row r="1303" spans="3:8" ht="14.25" customHeight="1">
      <c r="C1303" s="245"/>
      <c r="D1303" s="26"/>
      <c r="E1303" s="26"/>
      <c r="F1303" s="26"/>
      <c r="G1303" s="26"/>
      <c r="H1303" s="5"/>
    </row>
    <row r="1304" spans="3:8" ht="14.25" customHeight="1">
      <c r="C1304" s="245"/>
      <c r="D1304" s="26"/>
      <c r="E1304" s="26"/>
      <c r="F1304" s="26"/>
      <c r="G1304" s="26"/>
      <c r="H1304" s="5"/>
    </row>
    <row r="1305" spans="3:8" ht="14.25" customHeight="1">
      <c r="C1305" s="245"/>
      <c r="D1305" s="26"/>
      <c r="E1305" s="26"/>
      <c r="F1305" s="26"/>
      <c r="G1305" s="26"/>
      <c r="H1305" s="5"/>
    </row>
    <row r="1306" spans="3:8" ht="14.25" customHeight="1">
      <c r="C1306" s="245"/>
      <c r="D1306" s="26"/>
      <c r="E1306" s="26"/>
      <c r="F1306" s="26"/>
      <c r="G1306" s="26"/>
      <c r="H1306" s="5"/>
    </row>
    <row r="1307" spans="3:8" ht="14.25" customHeight="1">
      <c r="C1307" s="245"/>
      <c r="D1307" s="26"/>
      <c r="E1307" s="26"/>
      <c r="F1307" s="26"/>
      <c r="G1307" s="26"/>
      <c r="H1307" s="5"/>
    </row>
    <row r="1308" spans="3:8" ht="14.25" customHeight="1">
      <c r="C1308" s="245"/>
      <c r="D1308" s="26"/>
      <c r="E1308" s="26"/>
      <c r="F1308" s="26"/>
      <c r="G1308" s="26"/>
      <c r="H1308" s="5"/>
    </row>
    <row r="1309" spans="3:8" ht="14.25" customHeight="1">
      <c r="C1309" s="245"/>
      <c r="D1309" s="26"/>
      <c r="E1309" s="26"/>
      <c r="F1309" s="26"/>
      <c r="G1309" s="26"/>
      <c r="H1309" s="5"/>
    </row>
    <row r="1310" spans="3:8" ht="14.25" customHeight="1">
      <c r="C1310" s="245"/>
      <c r="D1310" s="26"/>
      <c r="E1310" s="26"/>
      <c r="F1310" s="26"/>
      <c r="G1310" s="26"/>
      <c r="H1310" s="5"/>
    </row>
    <row r="1311" spans="3:8" ht="14.25" customHeight="1">
      <c r="C1311" s="245"/>
      <c r="D1311" s="26"/>
      <c r="E1311" s="26"/>
      <c r="F1311" s="26"/>
      <c r="G1311" s="26"/>
      <c r="H1311" s="5"/>
    </row>
    <row r="1312" spans="3:8" ht="14.25" customHeight="1">
      <c r="C1312" s="245"/>
      <c r="D1312" s="26"/>
      <c r="E1312" s="26"/>
      <c r="F1312" s="26"/>
      <c r="G1312" s="26"/>
      <c r="H1312" s="5"/>
    </row>
    <row r="1313" spans="3:34" ht="14.25" customHeight="1">
      <c r="C1313" s="245"/>
      <c r="D1313" s="26"/>
      <c r="E1313" s="26"/>
      <c r="F1313" s="26"/>
      <c r="G1313" s="26"/>
      <c r="H1313" s="5"/>
    </row>
    <row r="1314" spans="3:34" ht="14.25" customHeight="1">
      <c r="C1314" s="245"/>
      <c r="D1314" s="26"/>
      <c r="E1314" s="26"/>
      <c r="F1314" s="26"/>
      <c r="G1314" s="26"/>
      <c r="H1314" s="5"/>
    </row>
    <row r="1315" spans="3:34" ht="14.25" customHeight="1">
      <c r="C1315" s="245"/>
      <c r="D1315" s="26"/>
      <c r="E1315" s="26"/>
      <c r="F1315" s="26"/>
      <c r="G1315" s="26"/>
      <c r="H1315" s="5"/>
    </row>
    <row r="1316" spans="3:34" ht="14.25" customHeight="1">
      <c r="C1316" s="245"/>
      <c r="D1316" s="26"/>
      <c r="E1316" s="26"/>
      <c r="F1316" s="26"/>
      <c r="G1316" s="26"/>
      <c r="H1316" s="5"/>
    </row>
    <row r="1317" spans="3:34" ht="14.25" customHeight="1">
      <c r="C1317" s="245"/>
      <c r="D1317" s="26"/>
      <c r="E1317" s="26"/>
      <c r="F1317" s="26"/>
      <c r="G1317" s="26"/>
      <c r="H1317" s="5"/>
    </row>
    <row r="1318" spans="3:34" ht="14.25" customHeight="1">
      <c r="C1318" s="245"/>
      <c r="D1318" s="26"/>
      <c r="E1318" s="26"/>
      <c r="F1318" s="26"/>
      <c r="G1318" s="26"/>
      <c r="H1318" s="5"/>
    </row>
    <row r="1319" spans="3:34" ht="14.25" customHeight="1">
      <c r="C1319" s="245"/>
      <c r="D1319" s="26"/>
      <c r="E1319" s="26"/>
      <c r="F1319" s="26"/>
      <c r="G1319" s="26"/>
      <c r="H1319" s="5"/>
    </row>
    <row r="1320" spans="3:34" ht="14.25" customHeight="1">
      <c r="C1320" s="245"/>
      <c r="D1320" s="26"/>
      <c r="E1320" s="26"/>
      <c r="F1320" s="26"/>
      <c r="G1320" s="26"/>
      <c r="H1320" s="5"/>
    </row>
    <row r="1321" spans="3:34" ht="14.25" customHeight="1">
      <c r="C1321" s="245"/>
      <c r="D1321" s="26"/>
      <c r="E1321" s="26"/>
      <c r="F1321" s="26"/>
      <c r="G1321" s="26"/>
      <c r="H1321" s="5"/>
    </row>
    <row r="1322" spans="3:34" ht="14.25" customHeight="1">
      <c r="C1322" s="245"/>
      <c r="D1322" s="26"/>
      <c r="E1322" s="26"/>
      <c r="F1322" s="26"/>
      <c r="G1322" s="26"/>
      <c r="H1322" s="5"/>
    </row>
    <row r="1323" spans="3:34" ht="14.25" customHeight="1">
      <c r="C1323" s="245"/>
      <c r="D1323" s="26"/>
      <c r="E1323" s="26"/>
      <c r="F1323" s="26"/>
      <c r="G1323" s="26"/>
      <c r="H1323" s="5"/>
    </row>
    <row r="1324" spans="3:34" ht="14.25" customHeight="1">
      <c r="C1324" s="245"/>
      <c r="D1324" s="26"/>
      <c r="E1324" s="26"/>
      <c r="F1324" s="26"/>
      <c r="G1324" s="26"/>
      <c r="H1324" s="5"/>
    </row>
    <row r="1325" spans="3:34" ht="14.25" customHeight="1">
      <c r="C1325" s="245"/>
      <c r="D1325" s="26"/>
      <c r="E1325" s="26"/>
      <c r="F1325" s="26"/>
      <c r="G1325" s="26"/>
      <c r="H1325" s="5"/>
    </row>
    <row r="1326" spans="3:34" ht="14.25" customHeight="1">
      <c r="C1326" s="245"/>
      <c r="D1326" s="26"/>
      <c r="E1326" s="26"/>
      <c r="F1326" s="26"/>
      <c r="G1326" s="26"/>
      <c r="H1326" s="5"/>
    </row>
    <row r="1327" spans="3:34" ht="14.25" customHeight="1">
      <c r="C1327" s="245"/>
      <c r="D1327" s="26"/>
      <c r="E1327" s="26"/>
      <c r="F1327" s="26"/>
      <c r="G1327" s="26"/>
      <c r="H1327" s="5"/>
    </row>
    <row r="1328" spans="3:34" ht="14.25" customHeight="1">
      <c r="C1328" s="245"/>
      <c r="D1328" s="26"/>
      <c r="E1328" s="26"/>
      <c r="F1328" s="26"/>
      <c r="G1328" s="26"/>
      <c r="H1328" s="5"/>
      <c r="AG1328" s="289">
        <f>AB1328/100*12+AB1328</f>
        <v>0</v>
      </c>
      <c r="AH1328" s="289" t="e">
        <f>AG1328/AB1328-1</f>
        <v>#DIV/0!</v>
      </c>
    </row>
    <row r="1329" spans="1:46" ht="14.25" customHeight="1">
      <c r="C1329" s="245"/>
      <c r="D1329" s="26"/>
      <c r="E1329" s="26"/>
      <c r="F1329" s="26"/>
      <c r="G1329" s="26"/>
      <c r="H1329" s="5"/>
    </row>
    <row r="1330" spans="1:46" ht="14.25" customHeight="1">
      <c r="C1330" s="245"/>
      <c r="D1330" s="26"/>
      <c r="E1330" s="26"/>
      <c r="F1330" s="26"/>
      <c r="G1330" s="26"/>
      <c r="H1330" s="5"/>
    </row>
    <row r="1331" spans="1:46" ht="14.25" customHeight="1">
      <c r="C1331" s="245"/>
      <c r="D1331" s="26"/>
      <c r="E1331" s="26"/>
      <c r="F1331" s="26"/>
      <c r="G1331" s="26"/>
      <c r="H1331" s="5"/>
    </row>
    <row r="1332" spans="1:46" ht="14.25" customHeight="1">
      <c r="C1332" s="245"/>
      <c r="D1332" s="26"/>
      <c r="E1332" s="26"/>
      <c r="F1332" s="26"/>
      <c r="G1332" s="26"/>
      <c r="H1332" s="5"/>
    </row>
    <row r="1333" spans="1:46" s="8" customFormat="1">
      <c r="B1333" s="451" t="str">
        <f>TITLE!C26</f>
        <v>Полотна збірні: ЄВА</v>
      </c>
      <c r="C1333" s="451"/>
      <c r="D1333" s="118"/>
      <c r="E1333" s="118"/>
      <c r="F1333" s="118"/>
      <c r="G1333" s="118"/>
      <c r="H1333" s="455"/>
      <c r="I1333" s="455"/>
      <c r="J1333" s="121"/>
      <c r="K1333" s="121"/>
      <c r="L1333" s="121"/>
      <c r="M1333" s="121"/>
      <c r="N1333" s="121"/>
      <c r="O1333" s="121"/>
      <c r="P1333" s="121"/>
      <c r="Q1333" s="121"/>
      <c r="R1333" s="121"/>
      <c r="S1333" s="121"/>
      <c r="T1333" s="462" t="str">
        <f>IF($C$1="ENG",CONCATENATE("up to: ",B1260),CONCATENATE("вгору до: ",B1260))</f>
        <v>вгору до: Полотна збірні: ТІАНА</v>
      </c>
      <c r="U1333" s="462"/>
      <c r="V1333" s="462"/>
      <c r="W1333" s="462"/>
      <c r="AN1333" s="280"/>
      <c r="AO1333" s="280"/>
      <c r="AP1333" s="280"/>
      <c r="AQ1333" s="280"/>
      <c r="AR1333" s="280"/>
      <c r="AS1333" s="280"/>
      <c r="AT1333" s="280"/>
    </row>
    <row r="1334" spans="1:46" s="8" customFormat="1" ht="5.0999999999999996" customHeight="1">
      <c r="B1334" s="117"/>
      <c r="C1334" s="420"/>
      <c r="D1334" s="9"/>
      <c r="E1334" s="9"/>
      <c r="F1334" s="9"/>
      <c r="G1334" s="9"/>
      <c r="H1334" s="120"/>
      <c r="I1334" s="120"/>
      <c r="T1334" s="115"/>
      <c r="U1334" s="115"/>
      <c r="V1334" s="115"/>
      <c r="W1334" s="115"/>
      <c r="AN1334" s="280"/>
      <c r="AO1334" s="280"/>
      <c r="AP1334" s="280"/>
      <c r="AQ1334" s="280"/>
      <c r="AR1334" s="280"/>
      <c r="AS1334" s="280"/>
      <c r="AT1334" s="280"/>
    </row>
    <row r="1335" spans="1:46" s="8" customFormat="1" ht="12.75" customHeight="1">
      <c r="B1335" s="452" t="str">
        <f>IF($C$1="ENG","model","модель")</f>
        <v>модель</v>
      </c>
      <c r="C1335" s="122" t="str">
        <f>IF($C$1="ENG","cover:","покриття:")</f>
        <v>покриття:</v>
      </c>
      <c r="D1335" s="458" t="str">
        <f>IF($C$1="ENG","Verto-CELL","Verto-CELL")</f>
        <v>Verto-CELL</v>
      </c>
      <c r="E1335" s="459"/>
      <c r="F1335" s="458" t="str">
        <f>IF($C$1="ENG","UNI-MAT","UNI-MAT")</f>
        <v>UNI-MAT</v>
      </c>
      <c r="G1335" s="459"/>
      <c r="H1335" s="458" t="str">
        <f>IF($C$1="ENG","RESIST","RESIST")</f>
        <v>RESIST</v>
      </c>
      <c r="I1335" s="459"/>
      <c r="J1335" s="458" t="str">
        <f>IF($C$1="ENG","Verto LINE-3D","Verto LINE-3D")</f>
        <v>Verto LINE-3D</v>
      </c>
      <c r="K1335" s="459"/>
      <c r="L1335" s="458" t="str">
        <f>IF($C$1="ENG","ECO Shpon","ЕКО Шпон")</f>
        <v>ЕКО Шпон</v>
      </c>
      <c r="M1335" s="459"/>
      <c r="P1335" s="1"/>
      <c r="Q1335" s="1"/>
      <c r="T1335" s="115"/>
      <c r="U1335" s="115"/>
      <c r="V1335" s="115"/>
      <c r="W1335" s="115"/>
      <c r="AN1335" s="280"/>
      <c r="AO1335" s="280"/>
      <c r="AP1335" s="280"/>
      <c r="AQ1335" s="280"/>
      <c r="AR1335" s="280"/>
      <c r="AS1335" s="280"/>
      <c r="AT1335" s="280"/>
    </row>
    <row r="1336" spans="1:46" s="8" customFormat="1" ht="24" customHeight="1">
      <c r="B1336" s="453"/>
      <c r="C1336" s="123" t="str">
        <f>IF($C$1="ENG","filling:","заповнення:")</f>
        <v>заповнення:</v>
      </c>
      <c r="D1336" s="460" t="str">
        <f>IF($C$1="ENG","softwood","клеєний сосновий брус")</f>
        <v>клеєний сосновий брус</v>
      </c>
      <c r="E1336" s="461"/>
      <c r="F1336" s="460" t="str">
        <f>IF($C$1="ENG","softwood","клеєний сосновий брус")</f>
        <v>клеєний сосновий брус</v>
      </c>
      <c r="G1336" s="461"/>
      <c r="H1336" s="460" t="str">
        <f>IF($C$1="ENG","softwood","клеєний сосновий брус")</f>
        <v>клеєний сосновий брус</v>
      </c>
      <c r="I1336" s="461"/>
      <c r="J1336" s="460" t="str">
        <f>IF($C$1="ENG","softwood","клеєний сосновий брус")</f>
        <v>клеєний сосновий брус</v>
      </c>
      <c r="K1336" s="461"/>
      <c r="L1336" s="460" t="str">
        <f>IF($C$1="ENG","softwood","клеєний сосновий брус")</f>
        <v>клеєний сосновий брус</v>
      </c>
      <c r="M1336" s="461"/>
      <c r="P1336" s="1"/>
      <c r="Q1336" s="1"/>
      <c r="T1336" s="115"/>
      <c r="U1336" s="115"/>
      <c r="V1336" s="115"/>
      <c r="W1336" s="115"/>
      <c r="AD1336" s="383">
        <f>AD1338/AC1338-1</f>
        <v>0.13945578231292521</v>
      </c>
      <c r="AE1336" s="383">
        <f>AE1338/AD1338-1</f>
        <v>4.6268656716417889E-2</v>
      </c>
      <c r="AF1336" s="383">
        <f>AF1338/AE1338-1</f>
        <v>9.5577746077032844E-2</v>
      </c>
      <c r="AG1336" s="383">
        <f>AG1338/AF1338-1</f>
        <v>4.8177083333333259E-2</v>
      </c>
      <c r="AH1336" s="8">
        <v>5250</v>
      </c>
      <c r="AI1336" s="8">
        <v>6260</v>
      </c>
      <c r="AJ1336" s="8">
        <v>6860</v>
      </c>
      <c r="AK1336" s="8">
        <v>7190</v>
      </c>
      <c r="AN1336" s="280"/>
      <c r="AO1336" s="280"/>
      <c r="AP1336" s="280"/>
      <c r="AQ1336" s="280"/>
      <c r="AR1336" s="280"/>
      <c r="AS1336" s="280"/>
      <c r="AT1336" s="280"/>
    </row>
    <row r="1337" spans="1:46" ht="12.75" customHeight="1">
      <c r="A1337" s="8"/>
      <c r="B1337" s="454"/>
      <c r="C1337" s="124" t="str">
        <f>IF($C$1="ENG","glazing:","скління:")</f>
        <v>скління:</v>
      </c>
      <c r="D1337" s="449" t="str">
        <f>IF($C$1="ENG","Satin","Сатин")</f>
        <v>Сатин</v>
      </c>
      <c r="E1337" s="450"/>
      <c r="F1337" s="449" t="str">
        <f>IF($C$1="ENG","Satin","Сатин")</f>
        <v>Сатин</v>
      </c>
      <c r="G1337" s="450"/>
      <c r="H1337" s="449" t="str">
        <f>IF($C$1="ENG","Satin","Сатин")</f>
        <v>Сатин</v>
      </c>
      <c r="I1337" s="450"/>
      <c r="J1337" s="449" t="str">
        <f>IF($C$1="ENG","Satin","Сатин")</f>
        <v>Сатин</v>
      </c>
      <c r="K1337" s="450"/>
      <c r="L1337" s="449" t="str">
        <f>IF($C$1="ENG","Satin","Сатин")</f>
        <v>Сатин</v>
      </c>
      <c r="M1337" s="450"/>
    </row>
    <row r="1338" spans="1:46" ht="35.1" customHeight="1">
      <c r="A1338" s="8"/>
      <c r="B1338" s="16" t="s">
        <v>28</v>
      </c>
      <c r="C1338" s="17"/>
      <c r="D1338" s="18">
        <f>IF(AC1338="","",(1-$W$2)*(AC1338/1.2))</f>
        <v>4900</v>
      </c>
      <c r="E1338" s="66">
        <f>IF($W$5=0.2,D1338*1.2,D1338)/$W$4</f>
        <v>5880</v>
      </c>
      <c r="F1338" s="18">
        <f>IF(AD1338="","",(1-$W$2)*(AD1338/1.2))</f>
        <v>5583.3333333333339</v>
      </c>
      <c r="G1338" s="66">
        <f>IF($W$5=0.2,F1338*1.2,F1338)/$W$4</f>
        <v>6700.0000000000009</v>
      </c>
      <c r="H1338" s="18">
        <f>IF(AE1338="","",(1-$W$2)*(AE1338/1.2))</f>
        <v>5841.666666666667</v>
      </c>
      <c r="I1338" s="66">
        <f>IF($W$5=0.2,H1338*1.2,H1338)/$W$4</f>
        <v>7010</v>
      </c>
      <c r="J1338" s="18">
        <f>IF(AF1338="","",(1-$W$2)*(AF1338/1.2))</f>
        <v>6400</v>
      </c>
      <c r="K1338" s="66">
        <f>IF($W$5=0.2,J1338*1.2,J1338)/$W$4</f>
        <v>7680</v>
      </c>
      <c r="L1338" s="18">
        <f>IF(AG1338="","",(1-$W$2)*(AG1338/1.2))</f>
        <v>6708.3333333333339</v>
      </c>
      <c r="M1338" s="66">
        <f>IF($W$5=0.2,L1338*1.2,L1338)/$W$4</f>
        <v>8050</v>
      </c>
      <c r="N1338" s="104"/>
      <c r="R1338" s="104"/>
      <c r="T1338" s="104"/>
      <c r="U1338" s="20"/>
      <c r="V1338" s="104"/>
      <c r="W1338" s="20"/>
      <c r="X1338" s="104"/>
      <c r="Y1338" s="104"/>
      <c r="Z1338" s="104"/>
      <c r="AA1338" s="104"/>
      <c r="AB1338" s="104"/>
      <c r="AC1338" s="332">
        <v>5880</v>
      </c>
      <c r="AD1338" s="391">
        <v>6700</v>
      </c>
      <c r="AE1338" s="332">
        <v>7010</v>
      </c>
      <c r="AF1338" s="332">
        <v>7680</v>
      </c>
      <c r="AG1338" s="332">
        <v>8050</v>
      </c>
      <c r="AH1338" s="289">
        <v>5880</v>
      </c>
      <c r="AI1338" s="289">
        <f>AH1338/AC1338-1</f>
        <v>0</v>
      </c>
      <c r="AJ1338" s="289">
        <v>6700</v>
      </c>
      <c r="AK1338" s="289">
        <f>AJ1338/AD1338-1</f>
        <v>0</v>
      </c>
      <c r="AL1338" s="289">
        <v>7010</v>
      </c>
      <c r="AM1338" s="289">
        <f>AL1338/AE1338-1</f>
        <v>0</v>
      </c>
      <c r="AN1338" s="289">
        <v>7680</v>
      </c>
      <c r="AO1338" s="289">
        <f>AN1338/AF1338-1</f>
        <v>0</v>
      </c>
      <c r="AP1338" s="289">
        <v>8050</v>
      </c>
      <c r="AQ1338" s="289">
        <f>AP1338/AG1338-1</f>
        <v>0</v>
      </c>
    </row>
    <row r="1339" spans="1:46" ht="35.1" customHeight="1">
      <c r="A1339" s="8"/>
      <c r="B1339" s="107" t="s">
        <v>23</v>
      </c>
      <c r="C1339" s="322"/>
      <c r="D1339" s="18">
        <f>IF(AC1339="","",(1-$W$2)*(AC1339/1.2))</f>
        <v>4900</v>
      </c>
      <c r="E1339" s="66">
        <f>IF($W$5=0.2,D1339*1.2,D1339)/$W$4</f>
        <v>5880</v>
      </c>
      <c r="F1339" s="18">
        <f>IF(AD1339="","",(1-$W$2)*(AD1339/1.2))</f>
        <v>5583.3333333333339</v>
      </c>
      <c r="G1339" s="66">
        <f>IF($W$5=0.2,F1339*1.2,F1339)/$W$4</f>
        <v>6700.0000000000009</v>
      </c>
      <c r="H1339" s="18">
        <f>IF(AE1339="","",(1-$W$2)*(AE1339/1.2))</f>
        <v>5841.666666666667</v>
      </c>
      <c r="I1339" s="66">
        <f>IF($W$5=0.2,H1339*1.2,H1339)/$W$4</f>
        <v>7010</v>
      </c>
      <c r="J1339" s="18">
        <f>IF(AF1339="","",(1-$W$2)*(AF1339/1.2))</f>
        <v>6400</v>
      </c>
      <c r="K1339" s="66">
        <f>IF($W$5=0.2,J1339*1.2,J1339)/$W$4</f>
        <v>7680</v>
      </c>
      <c r="L1339" s="18">
        <f>IF(AG1339="","",(1-$W$2)*(AG1339/1.2))</f>
        <v>6708.3333333333339</v>
      </c>
      <c r="M1339" s="66">
        <f>IF($W$5=0.2,L1339*1.2,L1339)/$W$4</f>
        <v>8050</v>
      </c>
      <c r="N1339" s="104"/>
      <c r="R1339" s="104"/>
      <c r="T1339" s="104"/>
      <c r="U1339" s="20"/>
      <c r="V1339" s="104"/>
      <c r="W1339" s="20"/>
      <c r="X1339" s="104"/>
      <c r="Y1339" s="104"/>
      <c r="Z1339" s="104"/>
      <c r="AA1339" s="104"/>
      <c r="AB1339" s="104"/>
      <c r="AC1339" s="332">
        <v>5880</v>
      </c>
      <c r="AD1339" s="391">
        <v>6700</v>
      </c>
      <c r="AE1339" s="332">
        <v>7010</v>
      </c>
      <c r="AF1339" s="332">
        <v>7680</v>
      </c>
      <c r="AG1339" s="332">
        <v>8050</v>
      </c>
      <c r="AH1339" s="289">
        <v>5880</v>
      </c>
      <c r="AI1339" s="289">
        <f t="shared" ref="AI1339:AI1340" si="180">AH1339/AC1339-1</f>
        <v>0</v>
      </c>
      <c r="AJ1339" s="289">
        <v>6700</v>
      </c>
      <c r="AK1339" s="289">
        <f t="shared" ref="AK1339:AK1340" si="181">AJ1339/AD1339-1</f>
        <v>0</v>
      </c>
      <c r="AL1339" s="289">
        <v>7010</v>
      </c>
      <c r="AM1339" s="289">
        <f t="shared" ref="AM1339:AM1340" si="182">AL1339/AE1339-1</f>
        <v>0</v>
      </c>
      <c r="AN1339" s="289">
        <v>7680</v>
      </c>
      <c r="AO1339" s="289">
        <f t="shared" ref="AO1339:AO1340" si="183">AN1339/AF1339-1</f>
        <v>0</v>
      </c>
      <c r="AP1339" s="289">
        <v>8050</v>
      </c>
      <c r="AQ1339" s="289">
        <f t="shared" ref="AQ1339:AQ1340" si="184">AP1339/AG1339-1</f>
        <v>0</v>
      </c>
    </row>
    <row r="1340" spans="1:46" ht="35.1" customHeight="1">
      <c r="A1340" s="8"/>
      <c r="B1340" s="23" t="s">
        <v>52</v>
      </c>
      <c r="C1340" s="24"/>
      <c r="D1340" s="25">
        <f>IF(AC1340="","",(1-$W$2)*(AC1340/1.2))</f>
        <v>4900</v>
      </c>
      <c r="E1340" s="69">
        <f>IF($W$5=0.2,D1340*1.2,D1340)/$W$4</f>
        <v>5880</v>
      </c>
      <c r="F1340" s="25">
        <f>IF(AD1340="","",(1-$W$2)*(AD1340/1.2))</f>
        <v>5583.3333333333339</v>
      </c>
      <c r="G1340" s="69">
        <f>IF($W$5=0.2,F1340*1.2,F1340)/$W$4</f>
        <v>6700.0000000000009</v>
      </c>
      <c r="H1340" s="25">
        <f>IF(AE1340="","",(1-$W$2)*(AE1340/1.2))</f>
        <v>5841.666666666667</v>
      </c>
      <c r="I1340" s="69">
        <f>IF($W$5=0.2,H1340*1.2,H1340)/$W$4</f>
        <v>7010</v>
      </c>
      <c r="J1340" s="25">
        <f>IF(AF1340="","",(1-$W$2)*(AF1340/1.2))</f>
        <v>6400</v>
      </c>
      <c r="K1340" s="69">
        <f>IF($W$5=0.2,J1340*1.2,J1340)/$W$4</f>
        <v>7680</v>
      </c>
      <c r="L1340" s="25">
        <f>IF(AG1340="","",(1-$W$2)*(AG1340/1.2))</f>
        <v>6708.3333333333339</v>
      </c>
      <c r="M1340" s="69">
        <f>IF($W$5=0.2,L1340*1.2,L1340)/$W$4</f>
        <v>8050</v>
      </c>
      <c r="N1340" s="104"/>
      <c r="R1340" s="104"/>
      <c r="T1340" s="104"/>
      <c r="U1340" s="20"/>
      <c r="V1340" s="104"/>
      <c r="W1340" s="20"/>
      <c r="X1340" s="104"/>
      <c r="Y1340" s="104"/>
      <c r="Z1340" s="104"/>
      <c r="AA1340" s="104"/>
      <c r="AB1340" s="104"/>
      <c r="AC1340" s="332">
        <v>5880</v>
      </c>
      <c r="AD1340" s="391">
        <v>6700</v>
      </c>
      <c r="AE1340" s="332">
        <v>7010</v>
      </c>
      <c r="AF1340" s="332">
        <v>7680</v>
      </c>
      <c r="AG1340" s="332">
        <v>8050</v>
      </c>
      <c r="AH1340" s="289">
        <v>5880</v>
      </c>
      <c r="AI1340" s="289">
        <f t="shared" si="180"/>
        <v>0</v>
      </c>
      <c r="AJ1340" s="289">
        <v>6700</v>
      </c>
      <c r="AK1340" s="289">
        <f t="shared" si="181"/>
        <v>0</v>
      </c>
      <c r="AL1340" s="289">
        <v>7010</v>
      </c>
      <c r="AM1340" s="289">
        <f t="shared" si="182"/>
        <v>0</v>
      </c>
      <c r="AN1340" s="289">
        <v>7680</v>
      </c>
      <c r="AO1340" s="289">
        <f t="shared" si="183"/>
        <v>0</v>
      </c>
      <c r="AP1340" s="289">
        <v>8050</v>
      </c>
      <c r="AQ1340" s="289">
        <f t="shared" si="184"/>
        <v>0</v>
      </c>
    </row>
    <row r="1341" spans="1:46">
      <c r="C1341" s="245"/>
      <c r="D1341" s="26"/>
      <c r="E1341" s="57"/>
      <c r="F1341" s="26"/>
      <c r="G1341" s="57"/>
      <c r="H1341" s="10"/>
      <c r="I1341" s="8"/>
      <c r="J1341" s="8"/>
      <c r="K1341" s="8"/>
    </row>
    <row r="1342" spans="1:46">
      <c r="B1342" s="212" t="str">
        <f>IF($C$1="ENG","For additonal charge:","Послуги за додаткову плату:")</f>
        <v>Послуги за додаткову плату:</v>
      </c>
      <c r="C1342" s="421"/>
      <c r="D1342" s="213"/>
      <c r="E1342" s="214"/>
      <c r="F1342" s="26"/>
      <c r="G1342" s="57"/>
      <c r="H1342" s="10"/>
      <c r="I1342" s="8"/>
      <c r="J1342" s="8"/>
      <c r="K1342" s="8"/>
    </row>
    <row r="1343" spans="1:46" ht="5.0999999999999996" customHeight="1">
      <c r="B1343" s="27"/>
      <c r="C1343" s="245"/>
      <c r="D1343" s="26"/>
      <c r="E1343" s="57"/>
      <c r="F1343" s="26"/>
      <c r="G1343" s="57"/>
      <c r="H1343" s="10"/>
      <c r="I1343" s="8"/>
      <c r="J1343" s="8"/>
      <c r="K1343" s="8"/>
    </row>
    <row r="1344" spans="1:46">
      <c r="B1344" s="447" t="str">
        <f>IF($C$1="ENG","door leaf with width 100","полотно розміром 100")</f>
        <v>полотно розміром 100</v>
      </c>
      <c r="C1344" s="448"/>
      <c r="D1344" s="132">
        <f t="shared" ref="D1344:D1356" si="185">IF(AC1344="","",(1-$W$2)*(AC1344/1.2))</f>
        <v>600</v>
      </c>
      <c r="E1344" s="92">
        <f t="shared" ref="E1344:E1355" si="186">IF($W$5=0.2,D1344*1.2,D1344)/$W$4</f>
        <v>720</v>
      </c>
      <c r="F1344" s="26"/>
      <c r="G1344" s="26"/>
      <c r="H1344" s="10"/>
      <c r="I1344" s="8"/>
      <c r="J1344" s="8"/>
      <c r="K1344" s="8"/>
      <c r="AC1344" s="289">
        <v>720</v>
      </c>
      <c r="AD1344" s="289">
        <v>720</v>
      </c>
      <c r="AE1344" s="289"/>
      <c r="AF1344" s="289"/>
      <c r="AG1344" s="289"/>
      <c r="AH1344" s="289"/>
      <c r="AI1344" s="289"/>
      <c r="AJ1344" s="289"/>
      <c r="AK1344" s="289"/>
      <c r="AL1344" s="289"/>
    </row>
    <row r="1345" spans="2:38">
      <c r="B1345" s="447" t="str">
        <f>IF($C$1="ENG","Ventilation cut","вентиляційний підріз")</f>
        <v>вентиляційний підріз</v>
      </c>
      <c r="C1345" s="448"/>
      <c r="D1345" s="133">
        <f t="shared" si="185"/>
        <v>141.66666666666669</v>
      </c>
      <c r="E1345" s="66">
        <f t="shared" si="186"/>
        <v>170.00000000000003</v>
      </c>
      <c r="F1345" s="26"/>
      <c r="G1345" s="26"/>
      <c r="I1345" s="59"/>
      <c r="J1345" s="28"/>
      <c r="AC1345" s="289">
        <v>170</v>
      </c>
      <c r="AD1345" s="289">
        <v>170</v>
      </c>
      <c r="AE1345" s="289"/>
      <c r="AF1345" s="289"/>
      <c r="AG1345" s="289"/>
      <c r="AH1345" s="289"/>
      <c r="AI1345" s="289"/>
      <c r="AJ1345" s="289"/>
      <c r="AK1345" s="289"/>
      <c r="AL1345" s="289"/>
    </row>
    <row r="1346" spans="2:38">
      <c r="B1346" s="445" t="str">
        <f>IF($C$1="ENG","glazing Graphite / Bronze","скло Графіт / Бронза")</f>
        <v>скло Графіт / Бронза</v>
      </c>
      <c r="C1346" s="446"/>
      <c r="D1346" s="102">
        <f t="shared" si="185"/>
        <v>458.33333333333337</v>
      </c>
      <c r="E1346" s="93">
        <f t="shared" si="186"/>
        <v>550</v>
      </c>
      <c r="F1346" s="26"/>
      <c r="G1346" s="26"/>
      <c r="H1346" s="5"/>
      <c r="AC1346" s="289">
        <v>550</v>
      </c>
      <c r="AD1346" s="289">
        <v>550</v>
      </c>
      <c r="AE1346" s="289"/>
      <c r="AF1346" s="289"/>
      <c r="AG1346" s="289"/>
      <c r="AH1346" s="289"/>
      <c r="AI1346" s="289"/>
      <c r="AJ1346" s="289"/>
      <c r="AK1346" s="289"/>
      <c r="AL1346" s="289"/>
    </row>
    <row r="1347" spans="2:38">
      <c r="B1347" s="445" t="str">
        <f>IF($C$1="ENG","glazing Lacobel black ","скло Lacobel чорне")</f>
        <v>скло Lacobel чорне</v>
      </c>
      <c r="C1347" s="446"/>
      <c r="D1347" s="407">
        <f t="shared" si="185"/>
        <v>458.33333333333337</v>
      </c>
      <c r="E1347" s="93">
        <f>IF($W$5=0.2,D1347*1.2,D1347)/$W$4</f>
        <v>550</v>
      </c>
      <c r="F1347" s="26"/>
      <c r="G1347" s="26"/>
      <c r="H1347" s="5"/>
      <c r="AC1347" s="298">
        <v>550</v>
      </c>
      <c r="AD1347" s="298">
        <v>550</v>
      </c>
      <c r="AE1347" s="289"/>
      <c r="AF1347" s="289"/>
      <c r="AG1347" s="289"/>
      <c r="AH1347" s="289"/>
      <c r="AI1347" s="289"/>
      <c r="AJ1347" s="289"/>
      <c r="AK1347" s="289"/>
      <c r="AL1347" s="289"/>
    </row>
    <row r="1348" spans="2:38">
      <c r="B1348" s="445" t="str">
        <f>IF($C$1="ENG","door lock Soft","замок Soft")</f>
        <v>замок Soft</v>
      </c>
      <c r="C1348" s="446"/>
      <c r="D1348" s="102">
        <f t="shared" si="185"/>
        <v>458.33333333333337</v>
      </c>
      <c r="E1348" s="93">
        <f t="shared" si="186"/>
        <v>550</v>
      </c>
      <c r="F1348" s="26"/>
      <c r="G1348" s="26"/>
      <c r="H1348" s="5"/>
      <c r="AC1348" s="289">
        <v>550</v>
      </c>
      <c r="AD1348" s="289">
        <v>550</v>
      </c>
      <c r="AE1348" s="289"/>
      <c r="AF1348" s="289"/>
      <c r="AG1348" s="289"/>
      <c r="AH1348" s="289"/>
      <c r="AI1348" s="289"/>
      <c r="AJ1348" s="289"/>
      <c r="AK1348" s="289"/>
      <c r="AL1348" s="289"/>
    </row>
    <row r="1349" spans="2:38">
      <c r="B1349" s="445" t="str">
        <f>IF($C$1="ENG","door lock Soft black","замок Soft чорн.")</f>
        <v>замок Soft чорн.</v>
      </c>
      <c r="C1349" s="446"/>
      <c r="D1349" s="102">
        <f t="shared" ref="D1349" si="187">IF(AC1349="","",(1-$W$2)*(AC1349/1.2))</f>
        <v>566.66666666666674</v>
      </c>
      <c r="E1349" s="93">
        <f t="shared" ref="E1349" si="188">IF($W$5=0.2,D1349*1.2,D1349)/$W$4</f>
        <v>680.00000000000011</v>
      </c>
      <c r="F1349" s="26"/>
      <c r="G1349" s="26"/>
      <c r="H1349" s="5"/>
      <c r="AC1349" s="289">
        <v>680</v>
      </c>
      <c r="AD1349" s="289"/>
      <c r="AE1349" s="289"/>
      <c r="AF1349" s="289"/>
      <c r="AG1349" s="289"/>
      <c r="AH1349" s="289"/>
      <c r="AI1349" s="289"/>
      <c r="AJ1349" s="289"/>
      <c r="AK1349" s="289"/>
      <c r="AL1349" s="289"/>
    </row>
    <row r="1350" spans="2:38">
      <c r="B1350" s="445" t="str">
        <f>IF($C$1="ENG","door lock Magnet","замок Magnet")</f>
        <v>замок Magnet</v>
      </c>
      <c r="C1350" s="446"/>
      <c r="D1350" s="102">
        <f t="shared" si="185"/>
        <v>666.66666666666674</v>
      </c>
      <c r="E1350" s="93">
        <f t="shared" si="186"/>
        <v>800.00000000000011</v>
      </c>
      <c r="F1350" s="26"/>
      <c r="G1350" s="26"/>
      <c r="H1350" s="5"/>
      <c r="AC1350" s="289">
        <v>800</v>
      </c>
      <c r="AD1350" s="289">
        <v>800</v>
      </c>
      <c r="AE1350" s="289"/>
      <c r="AF1350" s="289"/>
      <c r="AG1350" s="289"/>
      <c r="AH1350" s="289"/>
      <c r="AI1350" s="289"/>
      <c r="AJ1350" s="289"/>
      <c r="AK1350" s="289"/>
      <c r="AL1350" s="289"/>
    </row>
    <row r="1351" spans="2:38">
      <c r="B1351" s="445" t="s">
        <v>76</v>
      </c>
      <c r="C1351" s="446"/>
      <c r="D1351" s="102">
        <f t="shared" ref="D1351" si="189">IF(AC1351="","",(1-$W$2)*(AC1351/1.2))</f>
        <v>833.33333333333337</v>
      </c>
      <c r="E1351" s="93">
        <f t="shared" ref="E1351" si="190">IF($W$5=0.2,D1351*1.2,D1351)/$W$4</f>
        <v>1000</v>
      </c>
      <c r="F1351" s="26"/>
      <c r="G1351" s="26"/>
      <c r="H1351" s="5"/>
      <c r="AC1351" s="289">
        <v>1000</v>
      </c>
      <c r="AD1351" s="289"/>
      <c r="AE1351" s="289"/>
      <c r="AF1351" s="289"/>
      <c r="AG1351" s="289"/>
      <c r="AH1351" s="289"/>
      <c r="AI1351" s="289"/>
      <c r="AJ1351" s="289"/>
      <c r="AK1351" s="289"/>
      <c r="AL1351" s="289"/>
    </row>
    <row r="1352" spans="2:38">
      <c r="B1352" s="445" t="str">
        <f>IF($C$1="ENG","door handle-lock (for sliding doors)","ручка-замок (для дверей купе)")</f>
        <v>ручка-замок (для дверей купе)</v>
      </c>
      <c r="C1352" s="446"/>
      <c r="D1352" s="133">
        <f t="shared" si="185"/>
        <v>466.66666666666669</v>
      </c>
      <c r="E1352" s="93">
        <f t="shared" si="186"/>
        <v>560</v>
      </c>
      <c r="F1352" s="26"/>
      <c r="G1352" s="26"/>
      <c r="I1352" s="11"/>
      <c r="J1352" s="11"/>
      <c r="K1352" s="19"/>
      <c r="AC1352" s="289">
        <v>560</v>
      </c>
      <c r="AD1352" s="289">
        <v>560</v>
      </c>
      <c r="AE1352" s="289"/>
      <c r="AF1352" s="289"/>
      <c r="AG1352" s="289"/>
      <c r="AH1352" s="289"/>
      <c r="AI1352" s="289"/>
      <c r="AJ1352" s="289"/>
      <c r="AK1352" s="289"/>
      <c r="AL1352" s="289"/>
    </row>
    <row r="1353" spans="2:38">
      <c r="B1353" s="445" t="str">
        <f>IF($C$1="ENG","cylinder incert","циліндр несиметричний")</f>
        <v>циліндр несиметричний</v>
      </c>
      <c r="C1353" s="446"/>
      <c r="D1353" s="133">
        <f t="shared" si="185"/>
        <v>316.66666666666669</v>
      </c>
      <c r="E1353" s="93">
        <f t="shared" si="186"/>
        <v>380</v>
      </c>
      <c r="F1353" s="26"/>
      <c r="G1353" s="26"/>
      <c r="AC1353" s="289">
        <v>380</v>
      </c>
      <c r="AD1353" s="289">
        <v>380</v>
      </c>
      <c r="AE1353" s="289"/>
      <c r="AF1353" s="289"/>
      <c r="AG1353" s="289"/>
      <c r="AH1353" s="289"/>
      <c r="AI1353" s="289"/>
      <c r="AJ1353" s="289"/>
      <c r="AK1353" s="289"/>
      <c r="AL1353" s="289"/>
    </row>
    <row r="1354" spans="2:38">
      <c r="B1354" s="445" t="str">
        <f>IF($C$1="ENG","door hindge Prestige (1 unit)","завіса Prestige (1 шт)")</f>
        <v>завіса Prestige (1 шт)</v>
      </c>
      <c r="C1354" s="446"/>
      <c r="D1354" s="135">
        <f t="shared" si="185"/>
        <v>216.66666666666669</v>
      </c>
      <c r="E1354" s="93">
        <f t="shared" si="186"/>
        <v>260</v>
      </c>
      <c r="F1354" s="26"/>
      <c r="G1354" s="26"/>
      <c r="AC1354" s="289">
        <v>260</v>
      </c>
      <c r="AD1354" s="289">
        <v>260</v>
      </c>
      <c r="AE1354" s="289"/>
      <c r="AF1354" s="289"/>
      <c r="AG1354" s="289"/>
      <c r="AH1354" s="289"/>
      <c r="AI1354" s="289"/>
      <c r="AJ1354" s="289"/>
      <c r="AK1354" s="289"/>
      <c r="AL1354" s="289"/>
    </row>
    <row r="1355" spans="2:38">
      <c r="B1355" s="445" t="str">
        <f>IF($C$1="ENG","door hinge caps (1 set)","накладка на завіси (1 к-т)")</f>
        <v>накладка на завіси (1 к-т)</v>
      </c>
      <c r="C1355" s="446"/>
      <c r="D1355" s="135">
        <f t="shared" si="185"/>
        <v>66.666666666666671</v>
      </c>
      <c r="E1355" s="93">
        <f t="shared" si="186"/>
        <v>80</v>
      </c>
      <c r="F1355" s="26"/>
      <c r="G1355" s="26"/>
      <c r="AC1355" s="289">
        <v>80</v>
      </c>
      <c r="AD1355" s="289">
        <v>80</v>
      </c>
      <c r="AE1355" s="289"/>
      <c r="AF1355" s="289"/>
      <c r="AG1355" s="289"/>
      <c r="AH1355" s="289"/>
      <c r="AI1355" s="289"/>
      <c r="AJ1355" s="289"/>
      <c r="AK1355" s="289"/>
      <c r="AL1355" s="289"/>
    </row>
    <row r="1356" spans="2:38">
      <c r="B1356" s="445" t="str">
        <f>IF($C$1="ENG","door handle","дверна ручка")</f>
        <v>дверна ручка</v>
      </c>
      <c r="C1356" s="446"/>
      <c r="D1356" s="134" t="str">
        <f t="shared" si="185"/>
        <v/>
      </c>
      <c r="E1356" s="247" t="str">
        <f>IF($C$1="ENG","see Handles Price","див. Таблицю Ручки")</f>
        <v>див. Таблицю Ручки</v>
      </c>
      <c r="F1356" s="26"/>
      <c r="G1356" s="26"/>
      <c r="AC1356" s="289"/>
      <c r="AD1356" s="289"/>
      <c r="AE1356" s="289"/>
      <c r="AF1356" s="289"/>
      <c r="AG1356" s="289"/>
      <c r="AH1356" s="289"/>
      <c r="AI1356" s="289"/>
      <c r="AJ1356" s="289"/>
      <c r="AK1356" s="289"/>
      <c r="AL1356" s="289"/>
    </row>
    <row r="1357" spans="2:38" ht="14.25" customHeight="1">
      <c r="C1357" s="245"/>
      <c r="D1357" s="26"/>
      <c r="E1357" s="26"/>
      <c r="F1357" s="26"/>
      <c r="G1357" s="26"/>
      <c r="H1357" s="5"/>
      <c r="U1357" s="465" t="str">
        <f>IF($C$1="ENG",CONCATENATE("down to: ",B1407),CONCATENATE("вниз до: ",B1407))</f>
        <v>вниз до: Полотна збірні: ТРЕНД</v>
      </c>
      <c r="V1357" s="465"/>
      <c r="W1357" s="465"/>
      <c r="X1357" s="323"/>
      <c r="Y1357" s="323"/>
      <c r="Z1357" s="323"/>
      <c r="AA1357" s="323"/>
      <c r="AB1357" s="323"/>
    </row>
    <row r="1358" spans="2:38" ht="14.25" customHeight="1">
      <c r="C1358" s="245"/>
      <c r="D1358" s="26"/>
      <c r="E1358" s="26"/>
      <c r="F1358" s="26"/>
      <c r="G1358" s="26"/>
      <c r="H1358" s="5"/>
    </row>
    <row r="1359" spans="2:38" ht="14.25" customHeight="1">
      <c r="C1359" s="245"/>
      <c r="D1359" s="26"/>
      <c r="E1359" s="26"/>
      <c r="F1359" s="26"/>
      <c r="G1359" s="26"/>
      <c r="H1359" s="5"/>
    </row>
    <row r="1360" spans="2:38" ht="14.25" customHeight="1">
      <c r="C1360" s="245"/>
      <c r="D1360" s="26"/>
      <c r="E1360" s="26"/>
      <c r="F1360" s="26"/>
      <c r="G1360" s="26"/>
      <c r="H1360" s="5"/>
    </row>
    <row r="1361" spans="3:8" ht="14.25" customHeight="1">
      <c r="C1361" s="245"/>
      <c r="D1361" s="26"/>
      <c r="E1361" s="26"/>
      <c r="F1361" s="26"/>
      <c r="G1361" s="26"/>
      <c r="H1361" s="5"/>
    </row>
    <row r="1362" spans="3:8" ht="14.25" customHeight="1">
      <c r="C1362" s="245"/>
      <c r="D1362" s="26"/>
      <c r="E1362" s="26"/>
      <c r="F1362" s="26"/>
      <c r="G1362" s="26"/>
      <c r="H1362" s="5"/>
    </row>
    <row r="1363" spans="3:8" ht="14.25" customHeight="1">
      <c r="C1363" s="245"/>
      <c r="D1363" s="26"/>
      <c r="E1363" s="26"/>
      <c r="F1363" s="26"/>
      <c r="G1363" s="26"/>
      <c r="H1363" s="5"/>
    </row>
    <row r="1364" spans="3:8" ht="14.25" customHeight="1">
      <c r="C1364" s="245"/>
      <c r="D1364" s="26"/>
      <c r="E1364" s="26"/>
      <c r="F1364" s="26"/>
      <c r="G1364" s="26"/>
      <c r="H1364" s="5"/>
    </row>
    <row r="1365" spans="3:8" ht="14.25" customHeight="1">
      <c r="C1365" s="245"/>
      <c r="D1365" s="26"/>
      <c r="E1365" s="26"/>
      <c r="F1365" s="26"/>
      <c r="G1365" s="26"/>
      <c r="H1365" s="5"/>
    </row>
    <row r="1366" spans="3:8" ht="14.25" customHeight="1">
      <c r="C1366" s="245"/>
      <c r="D1366" s="26"/>
      <c r="E1366" s="26"/>
      <c r="F1366" s="26"/>
      <c r="G1366" s="26"/>
      <c r="H1366" s="5"/>
    </row>
    <row r="1367" spans="3:8" ht="14.25" customHeight="1">
      <c r="C1367" s="245"/>
      <c r="D1367" s="26"/>
      <c r="E1367" s="26"/>
      <c r="F1367" s="26"/>
      <c r="G1367" s="26"/>
      <c r="H1367" s="5"/>
    </row>
    <row r="1368" spans="3:8" ht="14.25" customHeight="1">
      <c r="C1368" s="245"/>
      <c r="D1368" s="26"/>
      <c r="E1368" s="26"/>
      <c r="F1368" s="26"/>
      <c r="G1368" s="26"/>
      <c r="H1368" s="5"/>
    </row>
    <row r="1369" spans="3:8" ht="14.25" customHeight="1">
      <c r="C1369" s="245"/>
      <c r="D1369" s="26"/>
      <c r="E1369" s="26"/>
      <c r="F1369" s="26"/>
      <c r="G1369" s="26"/>
      <c r="H1369" s="5"/>
    </row>
    <row r="1370" spans="3:8" ht="14.25" customHeight="1">
      <c r="C1370" s="245"/>
      <c r="D1370" s="26"/>
      <c r="E1370" s="26"/>
      <c r="F1370" s="26"/>
      <c r="G1370" s="26"/>
      <c r="H1370" s="5"/>
    </row>
    <row r="1371" spans="3:8" ht="14.25" customHeight="1">
      <c r="C1371" s="245"/>
      <c r="D1371" s="26"/>
      <c r="E1371" s="26"/>
      <c r="F1371" s="26"/>
      <c r="G1371" s="26"/>
      <c r="H1371" s="5"/>
    </row>
    <row r="1372" spans="3:8" ht="14.25" customHeight="1">
      <c r="C1372" s="245"/>
      <c r="D1372" s="26"/>
      <c r="E1372" s="26"/>
      <c r="F1372" s="26"/>
      <c r="G1372" s="26"/>
      <c r="H1372" s="5"/>
    </row>
    <row r="1373" spans="3:8" ht="14.25" customHeight="1">
      <c r="C1373" s="245"/>
      <c r="D1373" s="26"/>
      <c r="E1373" s="26"/>
      <c r="F1373" s="26"/>
      <c r="G1373" s="26"/>
      <c r="H1373" s="5"/>
    </row>
    <row r="1374" spans="3:8" ht="14.25" customHeight="1">
      <c r="C1374" s="245"/>
      <c r="D1374" s="26"/>
      <c r="E1374" s="26"/>
      <c r="F1374" s="26"/>
      <c r="G1374" s="26"/>
      <c r="H1374" s="5"/>
    </row>
    <row r="1375" spans="3:8" ht="14.25" customHeight="1">
      <c r="C1375" s="245"/>
      <c r="D1375" s="26"/>
      <c r="E1375" s="26"/>
      <c r="F1375" s="26"/>
      <c r="G1375" s="26"/>
      <c r="H1375" s="5"/>
    </row>
    <row r="1376" spans="3:8" ht="14.25" customHeight="1">
      <c r="C1376" s="245"/>
      <c r="D1376" s="26"/>
      <c r="E1376" s="26"/>
      <c r="F1376" s="26"/>
      <c r="G1376" s="26"/>
      <c r="H1376" s="5"/>
    </row>
    <row r="1377" spans="3:8" ht="14.25" customHeight="1">
      <c r="C1377" s="245"/>
      <c r="D1377" s="26"/>
      <c r="E1377" s="26"/>
      <c r="F1377" s="26"/>
      <c r="G1377" s="26"/>
      <c r="H1377" s="5"/>
    </row>
    <row r="1378" spans="3:8" ht="14.25" customHeight="1">
      <c r="C1378" s="245"/>
      <c r="D1378" s="26"/>
      <c r="E1378" s="26"/>
      <c r="F1378" s="26"/>
      <c r="G1378" s="26"/>
      <c r="H1378" s="5"/>
    </row>
    <row r="1379" spans="3:8" ht="14.25" customHeight="1">
      <c r="C1379" s="245"/>
      <c r="D1379" s="26"/>
      <c r="E1379" s="26"/>
      <c r="F1379" s="26"/>
      <c r="G1379" s="26"/>
      <c r="H1379" s="5"/>
    </row>
    <row r="1380" spans="3:8" ht="14.25" customHeight="1">
      <c r="C1380" s="245"/>
      <c r="D1380" s="26"/>
      <c r="E1380" s="26"/>
      <c r="F1380" s="26"/>
      <c r="G1380" s="26"/>
      <c r="H1380" s="5"/>
    </row>
    <row r="1381" spans="3:8" ht="14.25" customHeight="1">
      <c r="C1381" s="245"/>
      <c r="D1381" s="26"/>
      <c r="E1381" s="26"/>
      <c r="F1381" s="26"/>
      <c r="G1381" s="26"/>
      <c r="H1381" s="5"/>
    </row>
    <row r="1382" spans="3:8" ht="14.25" customHeight="1">
      <c r="C1382" s="245"/>
      <c r="D1382" s="26"/>
      <c r="E1382" s="26"/>
      <c r="F1382" s="26"/>
      <c r="G1382" s="26"/>
      <c r="H1382" s="5"/>
    </row>
    <row r="1383" spans="3:8" ht="14.25" customHeight="1">
      <c r="C1383" s="245"/>
      <c r="D1383" s="26"/>
      <c r="E1383" s="26"/>
      <c r="F1383" s="26"/>
      <c r="G1383" s="26"/>
      <c r="H1383" s="5"/>
    </row>
    <row r="1384" spans="3:8" ht="14.25" customHeight="1">
      <c r="C1384" s="245"/>
      <c r="D1384" s="26"/>
      <c r="E1384" s="26"/>
      <c r="F1384" s="26"/>
      <c r="G1384" s="26"/>
      <c r="H1384" s="5"/>
    </row>
    <row r="1385" spans="3:8" ht="14.25" customHeight="1">
      <c r="C1385" s="245"/>
      <c r="D1385" s="26"/>
      <c r="E1385" s="26"/>
      <c r="F1385" s="26"/>
      <c r="G1385" s="26"/>
      <c r="H1385" s="5"/>
    </row>
    <row r="1386" spans="3:8" ht="14.25" customHeight="1">
      <c r="C1386" s="245"/>
      <c r="D1386" s="26"/>
      <c r="E1386" s="26"/>
      <c r="F1386" s="26"/>
      <c r="G1386" s="26"/>
      <c r="H1386" s="5"/>
    </row>
    <row r="1387" spans="3:8" ht="14.25" customHeight="1">
      <c r="C1387" s="245"/>
      <c r="D1387" s="26"/>
      <c r="E1387" s="26"/>
      <c r="F1387" s="26"/>
      <c r="G1387" s="26"/>
      <c r="H1387" s="5"/>
    </row>
    <row r="1388" spans="3:8" ht="14.25" customHeight="1">
      <c r="C1388" s="245"/>
      <c r="D1388" s="26"/>
      <c r="E1388" s="26"/>
      <c r="F1388" s="26"/>
      <c r="G1388" s="26"/>
      <c r="H1388" s="5"/>
    </row>
    <row r="1389" spans="3:8" ht="14.25" customHeight="1">
      <c r="C1389" s="245"/>
      <c r="D1389" s="26"/>
      <c r="E1389" s="26"/>
      <c r="F1389" s="26"/>
      <c r="G1389" s="26"/>
      <c r="H1389" s="5"/>
    </row>
    <row r="1390" spans="3:8" ht="14.25" customHeight="1">
      <c r="C1390" s="245"/>
      <c r="D1390" s="26"/>
      <c r="E1390" s="26"/>
      <c r="F1390" s="26"/>
      <c r="G1390" s="26"/>
      <c r="H1390" s="5"/>
    </row>
    <row r="1391" spans="3:8" ht="14.25" customHeight="1">
      <c r="C1391" s="245"/>
      <c r="D1391" s="26"/>
      <c r="E1391" s="26"/>
      <c r="F1391" s="26"/>
      <c r="G1391" s="26"/>
      <c r="H1391" s="5"/>
    </row>
    <row r="1392" spans="3:8" ht="14.25" customHeight="1">
      <c r="C1392" s="245"/>
      <c r="D1392" s="26"/>
      <c r="E1392" s="26"/>
      <c r="F1392" s="26"/>
      <c r="G1392" s="26"/>
      <c r="H1392" s="5"/>
    </row>
    <row r="1393" spans="2:38" ht="14.25" customHeight="1">
      <c r="C1393" s="245"/>
      <c r="D1393" s="26"/>
      <c r="E1393" s="26"/>
      <c r="F1393" s="26"/>
      <c r="G1393" s="26"/>
      <c r="H1393" s="5"/>
    </row>
    <row r="1394" spans="2:38" ht="14.25" customHeight="1">
      <c r="C1394" s="245"/>
      <c r="D1394" s="26"/>
      <c r="E1394" s="26"/>
      <c r="F1394" s="26"/>
      <c r="G1394" s="26"/>
      <c r="H1394" s="5"/>
    </row>
    <row r="1395" spans="2:38" ht="14.25" customHeight="1">
      <c r="C1395" s="245"/>
      <c r="D1395" s="26"/>
      <c r="E1395" s="26"/>
      <c r="F1395" s="26"/>
      <c r="G1395" s="26"/>
      <c r="H1395" s="5"/>
    </row>
    <row r="1396" spans="2:38" ht="14.25" customHeight="1">
      <c r="C1396" s="245"/>
      <c r="D1396" s="26"/>
      <c r="E1396" s="26"/>
      <c r="F1396" s="26"/>
      <c r="G1396" s="26"/>
      <c r="H1396" s="5"/>
    </row>
    <row r="1397" spans="2:38" ht="14.25" customHeight="1">
      <c r="C1397" s="245"/>
      <c r="D1397" s="26"/>
      <c r="E1397" s="26"/>
      <c r="F1397" s="26"/>
      <c r="G1397" s="26"/>
      <c r="H1397" s="5"/>
    </row>
    <row r="1398" spans="2:38" ht="14.25" customHeight="1">
      <c r="C1398" s="245"/>
      <c r="D1398" s="26"/>
      <c r="E1398" s="26"/>
      <c r="F1398" s="26"/>
      <c r="G1398" s="26"/>
      <c r="H1398" s="5"/>
    </row>
    <row r="1399" spans="2:38" ht="14.25" customHeight="1">
      <c r="C1399" s="245"/>
      <c r="D1399" s="26"/>
      <c r="E1399" s="26"/>
      <c r="F1399" s="26"/>
      <c r="G1399" s="26"/>
      <c r="H1399" s="5"/>
    </row>
    <row r="1400" spans="2:38" ht="14.25" customHeight="1">
      <c r="C1400" s="245"/>
      <c r="D1400" s="26"/>
      <c r="E1400" s="26"/>
      <c r="F1400" s="26"/>
      <c r="G1400" s="26"/>
      <c r="H1400" s="5"/>
    </row>
    <row r="1401" spans="2:38" ht="14.25" customHeight="1">
      <c r="C1401" s="245"/>
      <c r="D1401" s="26"/>
      <c r="E1401" s="26"/>
      <c r="F1401" s="26"/>
      <c r="G1401" s="26"/>
      <c r="H1401" s="5"/>
    </row>
    <row r="1402" spans="2:38" ht="14.25" customHeight="1">
      <c r="C1402" s="245"/>
      <c r="D1402" s="26"/>
      <c r="E1402" s="26"/>
      <c r="F1402" s="26"/>
      <c r="G1402" s="26"/>
      <c r="H1402" s="5"/>
    </row>
    <row r="1403" spans="2:38" ht="14.25" customHeight="1">
      <c r="C1403" s="245"/>
      <c r="D1403" s="26"/>
      <c r="E1403" s="26"/>
      <c r="F1403" s="26"/>
      <c r="G1403" s="26"/>
      <c r="H1403" s="5"/>
    </row>
    <row r="1404" spans="2:38" ht="14.25" customHeight="1">
      <c r="C1404" s="245"/>
      <c r="D1404" s="26"/>
      <c r="E1404" s="26"/>
      <c r="F1404" s="26"/>
      <c r="G1404" s="26"/>
      <c r="H1404" s="5"/>
    </row>
    <row r="1405" spans="2:38" ht="14.25" customHeight="1">
      <c r="C1405" s="245"/>
      <c r="D1405" s="26"/>
      <c r="E1405" s="26"/>
      <c r="F1405" s="26"/>
      <c r="G1405" s="26"/>
      <c r="H1405" s="5"/>
    </row>
    <row r="1406" spans="2:38" ht="14.25" customHeight="1">
      <c r="C1406" s="245"/>
      <c r="D1406" s="26"/>
      <c r="E1406" s="26"/>
      <c r="F1406" s="26"/>
      <c r="G1406" s="26"/>
      <c r="H1406" s="5"/>
    </row>
    <row r="1407" spans="2:38" ht="14.25" customHeight="1">
      <c r="B1407" s="451" t="str">
        <f>TITLE!C27</f>
        <v>Полотна збірні: ТРЕНД</v>
      </c>
      <c r="C1407" s="451"/>
      <c r="D1407" s="118"/>
      <c r="E1407" s="118"/>
      <c r="F1407" s="118"/>
      <c r="G1407" s="118"/>
      <c r="H1407" s="455"/>
      <c r="I1407" s="455"/>
      <c r="J1407" s="121"/>
      <c r="K1407" s="121"/>
      <c r="L1407" s="121"/>
      <c r="M1407" s="121"/>
      <c r="N1407" s="121"/>
      <c r="O1407" s="121"/>
      <c r="P1407" s="121"/>
      <c r="Q1407" s="121"/>
      <c r="R1407" s="121"/>
      <c r="S1407" s="121"/>
      <c r="T1407" s="462" t="str">
        <f>IF($C$1="ENG",CONCATENATE("up to: ",B1333),CONCATENATE("вгору до: ",B1333))</f>
        <v>вгору до: Полотна збірні: ЄВА</v>
      </c>
      <c r="U1407" s="462"/>
      <c r="V1407" s="462"/>
      <c r="W1407" s="462"/>
      <c r="X1407" s="8"/>
      <c r="Y1407" s="8"/>
      <c r="Z1407" s="8"/>
      <c r="AA1407" s="8"/>
      <c r="AB1407" s="8"/>
      <c r="AC1407" s="8"/>
      <c r="AD1407" s="8"/>
      <c r="AE1407" s="8"/>
      <c r="AF1407" s="8"/>
      <c r="AG1407" s="289">
        <f>AB1407/100*12+AB1407</f>
        <v>0</v>
      </c>
      <c r="AH1407" s="289" t="e">
        <f>AG1407/AB1407-1</f>
        <v>#DIV/0!</v>
      </c>
      <c r="AI1407" s="8"/>
      <c r="AJ1407" s="8"/>
      <c r="AK1407" s="8"/>
      <c r="AL1407" s="8"/>
    </row>
    <row r="1408" spans="2:38" ht="4.5" customHeight="1">
      <c r="B1408" s="117"/>
      <c r="C1408" s="420"/>
      <c r="D1408" s="9"/>
      <c r="E1408" s="9"/>
      <c r="F1408" s="9"/>
      <c r="G1408" s="9"/>
      <c r="H1408" s="120"/>
      <c r="I1408" s="120"/>
      <c r="L1408" s="8"/>
      <c r="M1408" s="8"/>
      <c r="N1408" s="8"/>
      <c r="O1408" s="8"/>
      <c r="P1408" s="8"/>
      <c r="Q1408" s="8"/>
      <c r="R1408" s="8"/>
      <c r="S1408" s="8"/>
      <c r="T1408" s="115"/>
      <c r="U1408" s="115"/>
      <c r="V1408" s="115"/>
      <c r="W1408" s="115"/>
      <c r="X1408" s="8"/>
      <c r="Y1408" s="8"/>
      <c r="Z1408" s="8"/>
      <c r="AA1408" s="8"/>
      <c r="AB1408" s="8"/>
      <c r="AC1408" s="8"/>
      <c r="AD1408" s="8"/>
      <c r="AE1408" s="8"/>
      <c r="AF1408" s="8"/>
      <c r="AG1408" s="8"/>
      <c r="AH1408" s="8"/>
      <c r="AI1408" s="8"/>
      <c r="AJ1408" s="8"/>
      <c r="AK1408" s="8"/>
      <c r="AL1408" s="8"/>
    </row>
    <row r="1409" spans="2:43" ht="14.25" customHeight="1">
      <c r="B1409" s="452" t="str">
        <f>IF($C$1="ENG","model","модель")</f>
        <v>модель</v>
      </c>
      <c r="C1409" s="122" t="str">
        <f>IF($C$1="ENG","cover:","покриття:")</f>
        <v>покриття:</v>
      </c>
      <c r="D1409" s="458" t="str">
        <f>IF($C$1="ENG","Verto-CELL","Verto-CELL")</f>
        <v>Verto-CELL</v>
      </c>
      <c r="E1409" s="459"/>
      <c r="F1409" s="458" t="str">
        <f>IF($C$1="ENG","UNI-MAT","UNI-MAT")</f>
        <v>UNI-MAT</v>
      </c>
      <c r="G1409" s="459"/>
      <c r="H1409" s="458" t="str">
        <f>IF($C$1="ENG","RESIST","RESIST")</f>
        <v>RESIST</v>
      </c>
      <c r="I1409" s="459"/>
      <c r="J1409" s="458" t="str">
        <f>IF($C$1="ENG","Verto LINE-3D","Verto LINE-3D")</f>
        <v>Verto LINE-3D</v>
      </c>
      <c r="K1409" s="459"/>
      <c r="L1409" s="458" t="str">
        <f>IF($C$1="ENG","ECO Shpon","ЕКО Шпон")</f>
        <v>ЕКО Шпон</v>
      </c>
      <c r="M1409" s="459"/>
      <c r="N1409" s="8"/>
      <c r="O1409" s="8"/>
      <c r="P1409" s="20"/>
      <c r="Q1409" s="20"/>
      <c r="R1409" s="8"/>
      <c r="S1409" s="8"/>
      <c r="T1409" s="115"/>
      <c r="U1409" s="115"/>
      <c r="V1409" s="115"/>
      <c r="W1409" s="115"/>
      <c r="X1409" s="8"/>
      <c r="Y1409" s="8"/>
      <c r="Z1409" s="8"/>
      <c r="AA1409" s="8"/>
      <c r="AB1409" s="8"/>
      <c r="AC1409" s="8"/>
      <c r="AD1409" s="8"/>
      <c r="AE1409" s="8"/>
      <c r="AF1409" s="8"/>
      <c r="AG1409" s="8"/>
      <c r="AH1409" s="8"/>
      <c r="AI1409" s="8"/>
      <c r="AJ1409" s="8"/>
      <c r="AK1409" s="8"/>
      <c r="AL1409" s="8"/>
    </row>
    <row r="1410" spans="2:43" ht="27.75" customHeight="1">
      <c r="B1410" s="453"/>
      <c r="C1410" s="123" t="str">
        <f>IF($C$1="ENG","filling:","заповнення:")</f>
        <v>заповнення:</v>
      </c>
      <c r="D1410" s="460" t="str">
        <f>IF($C$1="ENG","softwood","клеєний сосновий брус")</f>
        <v>клеєний сосновий брус</v>
      </c>
      <c r="E1410" s="461"/>
      <c r="F1410" s="460" t="str">
        <f>IF($C$1="ENG","softwood","клеєний сосновий брус")</f>
        <v>клеєний сосновий брус</v>
      </c>
      <c r="G1410" s="461"/>
      <c r="H1410" s="460" t="str">
        <f>IF($C$1="ENG","softwood","клеєний сосновий брус")</f>
        <v>клеєний сосновий брус</v>
      </c>
      <c r="I1410" s="461"/>
      <c r="J1410" s="460" t="str">
        <f>IF($C$1="ENG","softwood","клеєний сосновий брус")</f>
        <v>клеєний сосновий брус</v>
      </c>
      <c r="K1410" s="461"/>
      <c r="L1410" s="460" t="str">
        <f>IF($C$1="ENG","softwood","клеєний сосновий брус")</f>
        <v>клеєний сосновий брус</v>
      </c>
      <c r="M1410" s="461"/>
      <c r="N1410" s="8"/>
      <c r="O1410" s="8"/>
      <c r="P1410" s="20"/>
      <c r="Q1410" s="20"/>
      <c r="R1410" s="8"/>
      <c r="S1410" s="8"/>
      <c r="T1410" s="115"/>
      <c r="U1410" s="115"/>
      <c r="V1410" s="115"/>
      <c r="W1410" s="115"/>
      <c r="X1410" s="8"/>
      <c r="Y1410" s="8"/>
      <c r="Z1410" s="8"/>
      <c r="AA1410" s="8"/>
      <c r="AB1410" s="8"/>
      <c r="AC1410" s="8"/>
      <c r="AD1410" s="383">
        <f>AD1412/AC1412-1</f>
        <v>0.1102257636122177</v>
      </c>
      <c r="AE1410" s="383">
        <f>AE1412/AD1412-1</f>
        <v>3.3492822966507241E-2</v>
      </c>
      <c r="AF1410" s="383">
        <f>AF1412/AE1412-1</f>
        <v>4.513888888888884E-2</v>
      </c>
      <c r="AG1410" s="383">
        <f>AG1412/AF1412-1</f>
        <v>4.6511627906976827E-2</v>
      </c>
      <c r="AH1410" s="8"/>
      <c r="AI1410" s="8"/>
      <c r="AJ1410" s="8"/>
      <c r="AK1410" s="8"/>
      <c r="AL1410" s="8"/>
    </row>
    <row r="1411" spans="2:43" ht="14.25" customHeight="1">
      <c r="B1411" s="454"/>
      <c r="C1411" s="124" t="str">
        <f>IF($C$1="ENG","glazing:","скління:")</f>
        <v>скління:</v>
      </c>
      <c r="D1411" s="449" t="str">
        <f>IF($C$1="ENG","Satin","Сатин")</f>
        <v>Сатин</v>
      </c>
      <c r="E1411" s="450"/>
      <c r="F1411" s="449" t="str">
        <f>IF($C$1="ENG","Satin","Сатин")</f>
        <v>Сатин</v>
      </c>
      <c r="G1411" s="450"/>
      <c r="H1411" s="449" t="str">
        <f>IF($C$1="ENG","Satin","Сатин")</f>
        <v>Сатин</v>
      </c>
      <c r="I1411" s="450"/>
      <c r="J1411" s="449" t="str">
        <f>IF($C$1="ENG","Satin","Сатин")</f>
        <v>Сатин</v>
      </c>
      <c r="K1411" s="450"/>
      <c r="L1411" s="449" t="str">
        <f>IF($C$1="ENG","Satin","Сатин")</f>
        <v>Сатин</v>
      </c>
      <c r="M1411" s="450"/>
      <c r="N1411" s="11"/>
      <c r="O1411" s="11"/>
      <c r="P1411" s="20"/>
      <c r="Q1411" s="20"/>
      <c r="R1411" s="11"/>
      <c r="S1411" s="11"/>
      <c r="T1411" s="11"/>
    </row>
    <row r="1412" spans="2:43" ht="34.5" customHeight="1">
      <c r="B1412" s="13" t="s">
        <v>24</v>
      </c>
      <c r="C1412" s="14"/>
      <c r="D1412" s="15">
        <f>IF(AC1412="","",(1-$W$2)*(AC1412/1.2))</f>
        <v>6275</v>
      </c>
      <c r="E1412" s="64">
        <f>IF($W$5=0.2,D1412*1.2,D1412)/$W$4</f>
        <v>7530</v>
      </c>
      <c r="F1412" s="15">
        <f>IF(AD1412="","",(1-$W$2)*(AD1412/1.2))</f>
        <v>6966.666666666667</v>
      </c>
      <c r="G1412" s="64">
        <f>IF($W$5=0.2,F1412*1.2,F1412)/$W$4</f>
        <v>8360</v>
      </c>
      <c r="H1412" s="15">
        <f>IF(AE1412="","",(1-$W$2)*(AE1412/1.2))</f>
        <v>7200</v>
      </c>
      <c r="I1412" s="64">
        <f>IF($W$5=0.2,H1412*1.2,H1412)/$W$4</f>
        <v>8640</v>
      </c>
      <c r="J1412" s="15">
        <f>IF(AF1412="","",(1-$W$2)*(AF1412/1.2))</f>
        <v>7525</v>
      </c>
      <c r="K1412" s="64">
        <f>IF($W$5=0.2,J1412*1.2,J1412)/$W$4</f>
        <v>9030</v>
      </c>
      <c r="L1412" s="15">
        <f>IF(AG1412="","",(1-$W$2)*(AG1412/1.2))</f>
        <v>7875</v>
      </c>
      <c r="M1412" s="64">
        <f>IF($W$5=0.2,L1412*1.2,L1412)/$W$4</f>
        <v>9450</v>
      </c>
      <c r="N1412" s="104"/>
      <c r="O1412" s="20"/>
      <c r="P1412" s="20"/>
      <c r="Q1412" s="20"/>
      <c r="R1412" s="104"/>
      <c r="S1412" s="20"/>
      <c r="T1412" s="104"/>
      <c r="U1412" s="20"/>
      <c r="V1412" s="104"/>
      <c r="W1412" s="20"/>
      <c r="X1412" s="22"/>
      <c r="Y1412" s="22"/>
      <c r="Z1412" s="22"/>
      <c r="AA1412" s="22"/>
      <c r="AB1412" s="22"/>
      <c r="AC1412" s="332">
        <v>7530</v>
      </c>
      <c r="AD1412" s="391">
        <v>8360</v>
      </c>
      <c r="AE1412" s="332">
        <v>8640</v>
      </c>
      <c r="AF1412" s="332">
        <v>9030</v>
      </c>
      <c r="AG1412" s="332">
        <v>9450</v>
      </c>
      <c r="AH1412" s="289">
        <v>7530</v>
      </c>
      <c r="AI1412" s="289">
        <f>AH1412/AC1412-1</f>
        <v>0</v>
      </c>
      <c r="AJ1412" s="289">
        <v>8360</v>
      </c>
      <c r="AK1412" s="289">
        <f>AJ1412/AD1412-1</f>
        <v>0</v>
      </c>
      <c r="AL1412" s="289">
        <v>8640</v>
      </c>
      <c r="AM1412" s="289">
        <f>AL1412/AE1412-1</f>
        <v>0</v>
      </c>
      <c r="AN1412" s="289">
        <v>9030</v>
      </c>
      <c r="AO1412" s="289">
        <f>AN1412/AF1412-1</f>
        <v>0</v>
      </c>
      <c r="AP1412" s="289">
        <v>9450</v>
      </c>
      <c r="AQ1412" s="289">
        <f>AP1412/AG1412-1</f>
        <v>0</v>
      </c>
    </row>
    <row r="1413" spans="2:43" ht="34.5" customHeight="1">
      <c r="B1413" s="16" t="s">
        <v>36</v>
      </c>
      <c r="C1413" s="17"/>
      <c r="D1413" s="18">
        <f>IF(AC1413="","",(1-$W$2)*(AC1413/1.2))</f>
        <v>6275</v>
      </c>
      <c r="E1413" s="66">
        <f>IF($W$5=0.2,D1413*1.2,D1413)/$W$4</f>
        <v>7530</v>
      </c>
      <c r="F1413" s="18">
        <f>IF(AD1413="","",(1-$W$2)*(AD1413/1.2))</f>
        <v>6966.666666666667</v>
      </c>
      <c r="G1413" s="66">
        <f>IF($W$5=0.2,F1413*1.2,F1413)/$W$4</f>
        <v>8360</v>
      </c>
      <c r="H1413" s="18">
        <f>IF(AE1413="","",(1-$W$2)*(AE1413/1.2))</f>
        <v>7200</v>
      </c>
      <c r="I1413" s="66">
        <f>IF($W$5=0.2,H1413*1.2,H1413)/$W$4</f>
        <v>8640</v>
      </c>
      <c r="J1413" s="18">
        <f>IF(AF1413="","",(1-$W$2)*(AF1413/1.2))</f>
        <v>7525</v>
      </c>
      <c r="K1413" s="66">
        <f>IF($W$5=0.2,J1413*1.2,J1413)/$W$4</f>
        <v>9030</v>
      </c>
      <c r="L1413" s="18">
        <f>IF(AG1413="","",(1-$W$2)*(AG1413/1.2))</f>
        <v>7875</v>
      </c>
      <c r="M1413" s="66">
        <f>IF($W$5=0.2,L1413*1.2,L1413)/$W$4</f>
        <v>9450</v>
      </c>
      <c r="N1413" s="104"/>
      <c r="O1413" s="20"/>
      <c r="P1413" s="20"/>
      <c r="Q1413" s="20"/>
      <c r="R1413" s="104"/>
      <c r="S1413" s="20"/>
      <c r="T1413" s="104"/>
      <c r="U1413" s="20"/>
      <c r="V1413" s="104"/>
      <c r="W1413" s="20"/>
      <c r="X1413" s="22"/>
      <c r="Y1413" s="22"/>
      <c r="Z1413" s="22"/>
      <c r="AA1413" s="22"/>
      <c r="AB1413" s="22"/>
      <c r="AC1413" s="332">
        <v>7530</v>
      </c>
      <c r="AD1413" s="391">
        <v>8360</v>
      </c>
      <c r="AE1413" s="332">
        <v>8640</v>
      </c>
      <c r="AF1413" s="332">
        <v>9030</v>
      </c>
      <c r="AG1413" s="332">
        <v>9450</v>
      </c>
      <c r="AH1413" s="289">
        <v>7530</v>
      </c>
      <c r="AI1413" s="289">
        <f t="shared" ref="AI1413:AI1414" si="191">AH1413/AC1413-1</f>
        <v>0</v>
      </c>
      <c r="AJ1413" s="289">
        <v>8360</v>
      </c>
      <c r="AK1413" s="289">
        <f t="shared" ref="AK1413:AK1414" si="192">AJ1413/AD1413-1</f>
        <v>0</v>
      </c>
      <c r="AL1413" s="289">
        <v>8640</v>
      </c>
      <c r="AM1413" s="289">
        <f t="shared" ref="AM1413:AM1414" si="193">AL1413/AE1413-1</f>
        <v>0</v>
      </c>
      <c r="AN1413" s="289">
        <v>9030</v>
      </c>
      <c r="AO1413" s="289">
        <f t="shared" ref="AO1413:AO1414" si="194">AN1413/AF1413-1</f>
        <v>0</v>
      </c>
      <c r="AP1413" s="289">
        <v>9450</v>
      </c>
      <c r="AQ1413" s="289">
        <f t="shared" ref="AQ1413:AQ1414" si="195">AP1413/AG1413-1</f>
        <v>0</v>
      </c>
    </row>
    <row r="1414" spans="2:43" ht="34.5" customHeight="1">
      <c r="B1414" s="23" t="s">
        <v>37</v>
      </c>
      <c r="C1414" s="24"/>
      <c r="D1414" s="25">
        <f>IF(AC1414="","",(1-$W$2)*(AC1414/1.2))</f>
        <v>6275</v>
      </c>
      <c r="E1414" s="69">
        <f>IF($W$5=0.2,D1414*1.2,D1414)/$W$4</f>
        <v>7530</v>
      </c>
      <c r="F1414" s="25">
        <f>IF(AD1414="","",(1-$W$2)*(AD1414/1.2))</f>
        <v>6966.666666666667</v>
      </c>
      <c r="G1414" s="69">
        <f>IF($W$5=0.2,F1414*1.2,F1414)/$W$4</f>
        <v>8360</v>
      </c>
      <c r="H1414" s="25">
        <f>IF(AE1414="","",(1-$W$2)*(AE1414/1.2))</f>
        <v>7200</v>
      </c>
      <c r="I1414" s="69">
        <f>IF($W$5=0.2,H1414*1.2,H1414)/$W$4</f>
        <v>8640</v>
      </c>
      <c r="J1414" s="25">
        <f>IF(AF1414="","",(1-$W$2)*(AF1414/1.2))</f>
        <v>7525</v>
      </c>
      <c r="K1414" s="69">
        <f>IF($W$5=0.2,J1414*1.2,J1414)/$W$4</f>
        <v>9030</v>
      </c>
      <c r="L1414" s="25">
        <f>IF(AG1414="","",(1-$W$2)*(AG1414/1.2))</f>
        <v>7875</v>
      </c>
      <c r="M1414" s="69">
        <f>IF($W$5=0.2,L1414*1.2,L1414)/$W$4</f>
        <v>9450</v>
      </c>
      <c r="N1414" s="104"/>
      <c r="O1414" s="20"/>
      <c r="P1414" s="20"/>
      <c r="Q1414" s="20"/>
      <c r="R1414" s="104"/>
      <c r="S1414" s="20"/>
      <c r="T1414" s="104"/>
      <c r="U1414" s="20"/>
      <c r="V1414" s="104"/>
      <c r="W1414" s="20"/>
      <c r="X1414" s="22"/>
      <c r="Y1414" s="22"/>
      <c r="Z1414" s="22"/>
      <c r="AA1414" s="22"/>
      <c r="AB1414" s="22"/>
      <c r="AC1414" s="332">
        <v>7530</v>
      </c>
      <c r="AD1414" s="391">
        <v>8360</v>
      </c>
      <c r="AE1414" s="332">
        <v>8640</v>
      </c>
      <c r="AF1414" s="332">
        <v>9030</v>
      </c>
      <c r="AG1414" s="332">
        <v>9450</v>
      </c>
      <c r="AH1414" s="289">
        <v>7530</v>
      </c>
      <c r="AI1414" s="289">
        <f t="shared" si="191"/>
        <v>0</v>
      </c>
      <c r="AJ1414" s="289">
        <v>8360</v>
      </c>
      <c r="AK1414" s="289">
        <f t="shared" si="192"/>
        <v>0</v>
      </c>
      <c r="AL1414" s="289">
        <v>8640</v>
      </c>
      <c r="AM1414" s="289">
        <f t="shared" si="193"/>
        <v>0</v>
      </c>
      <c r="AN1414" s="289">
        <v>9030</v>
      </c>
      <c r="AO1414" s="289">
        <f t="shared" si="194"/>
        <v>0</v>
      </c>
      <c r="AP1414" s="289">
        <v>9450</v>
      </c>
      <c r="AQ1414" s="289">
        <f t="shared" si="195"/>
        <v>0</v>
      </c>
    </row>
    <row r="1415" spans="2:43" ht="12.75" customHeight="1">
      <c r="C1415" s="245"/>
      <c r="D1415" s="26"/>
      <c r="E1415" s="57"/>
      <c r="F1415" s="26"/>
      <c r="G1415" s="57"/>
      <c r="H1415" s="5"/>
      <c r="P1415" s="20"/>
      <c r="Q1415" s="20"/>
    </row>
    <row r="1416" spans="2:43" ht="12.75" customHeight="1">
      <c r="B1416" s="212" t="str">
        <f>IF($C$1="ENG","For additonal charge:","Послуги за додаткову плату:")</f>
        <v>Послуги за додаткову плату:</v>
      </c>
      <c r="C1416" s="421"/>
      <c r="D1416" s="213"/>
      <c r="E1416" s="214"/>
      <c r="F1416" s="26"/>
      <c r="G1416" s="57"/>
      <c r="H1416" s="10"/>
      <c r="I1416" s="8"/>
      <c r="J1416" s="8"/>
      <c r="K1416" s="8"/>
    </row>
    <row r="1417" spans="2:43" ht="4.5" customHeight="1">
      <c r="B1417" s="27"/>
      <c r="C1417" s="245"/>
      <c r="D1417" s="26"/>
      <c r="E1417" s="57"/>
      <c r="F1417" s="26"/>
      <c r="G1417" s="26"/>
      <c r="H1417" s="10"/>
      <c r="I1417" s="8"/>
      <c r="J1417" s="8"/>
      <c r="K1417" s="8"/>
    </row>
    <row r="1418" spans="2:43" ht="12.75" customHeight="1">
      <c r="B1418" s="447" t="str">
        <f>IF($C$1="ENG","door leaf with width 100","полотно розміром 100")</f>
        <v>полотно розміром 100</v>
      </c>
      <c r="C1418" s="448"/>
      <c r="D1418" s="132">
        <f t="shared" ref="D1418:D1430" si="196">IF(AC1418="","",(1-$W$2)*(AC1418/1.2))</f>
        <v>600</v>
      </c>
      <c r="E1418" s="92">
        <f t="shared" ref="E1418:E1429" si="197">IF($W$5=0.2,D1418*1.2,D1418)/$W$4</f>
        <v>720</v>
      </c>
      <c r="F1418" s="26"/>
      <c r="G1418" s="26"/>
      <c r="H1418" s="10"/>
      <c r="I1418" s="8"/>
      <c r="J1418" s="8"/>
      <c r="K1418" s="8"/>
      <c r="AC1418" s="289">
        <v>720</v>
      </c>
      <c r="AD1418" s="289">
        <v>720</v>
      </c>
      <c r="AE1418" s="289"/>
      <c r="AF1418" s="289"/>
      <c r="AG1418" s="289"/>
      <c r="AH1418" s="289"/>
      <c r="AI1418" s="289"/>
      <c r="AJ1418" s="289"/>
      <c r="AK1418" s="289"/>
      <c r="AL1418" s="289"/>
    </row>
    <row r="1419" spans="2:43" ht="12.75" customHeight="1">
      <c r="B1419" s="445" t="str">
        <f>IF($C$1="ENG","Ventilation sleeves (1 row)","вентиляційні віддушини (1ряд)")</f>
        <v>вентиляційні віддушини (1ряд)</v>
      </c>
      <c r="C1419" s="446"/>
      <c r="D1419" s="133">
        <f t="shared" si="196"/>
        <v>208.33333333333334</v>
      </c>
      <c r="E1419" s="93">
        <f t="shared" si="197"/>
        <v>250</v>
      </c>
      <c r="F1419" s="26"/>
      <c r="G1419" s="26"/>
      <c r="I1419" s="11"/>
      <c r="J1419" s="11"/>
      <c r="K1419" s="11"/>
      <c r="AC1419" s="289">
        <v>250</v>
      </c>
      <c r="AD1419" s="289">
        <v>250</v>
      </c>
      <c r="AE1419" s="289"/>
      <c r="AF1419" s="289"/>
      <c r="AG1419" s="289"/>
      <c r="AH1419" s="289"/>
      <c r="AI1419" s="289"/>
      <c r="AJ1419" s="289"/>
      <c r="AK1419" s="289"/>
      <c r="AL1419" s="289"/>
    </row>
    <row r="1420" spans="2:43" ht="12.75" customHeight="1">
      <c r="B1420" s="447" t="str">
        <f>IF($C$1="ENG","Ventilation cut","вентиляційний підріз")</f>
        <v>вентиляційний підріз</v>
      </c>
      <c r="C1420" s="448"/>
      <c r="D1420" s="133">
        <f t="shared" si="196"/>
        <v>141.66666666666669</v>
      </c>
      <c r="E1420" s="66">
        <f t="shared" si="197"/>
        <v>170.00000000000003</v>
      </c>
      <c r="F1420" s="26"/>
      <c r="G1420" s="26"/>
      <c r="I1420" s="59"/>
      <c r="J1420" s="28"/>
      <c r="AC1420" s="289">
        <v>170</v>
      </c>
      <c r="AD1420" s="289">
        <v>170</v>
      </c>
      <c r="AE1420" s="289"/>
      <c r="AF1420" s="289"/>
      <c r="AG1420" s="289"/>
      <c r="AH1420" s="289"/>
      <c r="AI1420" s="289"/>
      <c r="AJ1420" s="289"/>
      <c r="AK1420" s="289"/>
      <c r="AL1420" s="289"/>
    </row>
    <row r="1421" spans="2:43" ht="12.75" customHeight="1">
      <c r="B1421" s="445" t="str">
        <f>IF($C$1="ENG","glazing Graphite / Bronze","скло Графіт / Бронза")</f>
        <v>скло Графіт / Бронза</v>
      </c>
      <c r="C1421" s="446"/>
      <c r="D1421" s="102">
        <f t="shared" si="196"/>
        <v>458.33333333333337</v>
      </c>
      <c r="E1421" s="93">
        <f t="shared" si="197"/>
        <v>550</v>
      </c>
      <c r="F1421" s="26"/>
      <c r="G1421" s="26"/>
      <c r="H1421" s="5"/>
      <c r="AC1421" s="289">
        <v>550</v>
      </c>
      <c r="AD1421" s="289">
        <v>550</v>
      </c>
      <c r="AE1421" s="289"/>
      <c r="AF1421" s="289"/>
      <c r="AG1421" s="289"/>
      <c r="AH1421" s="289"/>
      <c r="AI1421" s="289"/>
      <c r="AJ1421" s="289"/>
      <c r="AK1421" s="289"/>
      <c r="AL1421" s="289"/>
    </row>
    <row r="1422" spans="2:43" ht="12.75" customHeight="1">
      <c r="B1422" s="445" t="str">
        <f>IF($C$1="ENG","door lock Soft","замок Soft")</f>
        <v>замок Soft</v>
      </c>
      <c r="C1422" s="446"/>
      <c r="D1422" s="102">
        <f t="shared" si="196"/>
        <v>458.33333333333337</v>
      </c>
      <c r="E1422" s="93">
        <f t="shared" si="197"/>
        <v>550</v>
      </c>
      <c r="F1422" s="26"/>
      <c r="G1422" s="26"/>
      <c r="H1422" s="5"/>
      <c r="AC1422" s="289">
        <v>550</v>
      </c>
      <c r="AD1422" s="289">
        <v>550</v>
      </c>
      <c r="AE1422" s="289"/>
      <c r="AF1422" s="289"/>
      <c r="AG1422" s="289"/>
      <c r="AH1422" s="289"/>
      <c r="AI1422" s="289"/>
      <c r="AJ1422" s="289"/>
      <c r="AK1422" s="289"/>
      <c r="AL1422" s="289"/>
    </row>
    <row r="1423" spans="2:43" ht="12.75" customHeight="1">
      <c r="B1423" s="445" t="str">
        <f>IF($C$1="ENG","door lock Soft black","замок Soft чорн.")</f>
        <v>замок Soft чорн.</v>
      </c>
      <c r="C1423" s="446"/>
      <c r="D1423" s="102">
        <f t="shared" ref="D1423" si="198">IF(AC1423="","",(1-$W$2)*(AC1423/1.2))</f>
        <v>566.66666666666674</v>
      </c>
      <c r="E1423" s="93">
        <f t="shared" ref="E1423" si="199">IF($W$5=0.2,D1423*1.2,D1423)/$W$4</f>
        <v>680.00000000000011</v>
      </c>
      <c r="F1423" s="26"/>
      <c r="G1423" s="26"/>
      <c r="H1423" s="5"/>
      <c r="AC1423" s="289">
        <v>680</v>
      </c>
      <c r="AD1423" s="289"/>
      <c r="AE1423" s="289"/>
      <c r="AF1423" s="289"/>
      <c r="AG1423" s="289"/>
      <c r="AH1423" s="289"/>
      <c r="AI1423" s="289"/>
      <c r="AJ1423" s="289"/>
      <c r="AK1423" s="289"/>
      <c r="AL1423" s="289"/>
    </row>
    <row r="1424" spans="2:43" ht="12.75" customHeight="1">
      <c r="B1424" s="445" t="str">
        <f>IF($C$1="ENG","door lock Magnet","замок Magnet")</f>
        <v>замок Magnet</v>
      </c>
      <c r="C1424" s="446"/>
      <c r="D1424" s="102">
        <f t="shared" si="196"/>
        <v>666.66666666666674</v>
      </c>
      <c r="E1424" s="93">
        <f t="shared" si="197"/>
        <v>800.00000000000011</v>
      </c>
      <c r="F1424" s="26"/>
      <c r="G1424" s="26"/>
      <c r="H1424" s="5"/>
      <c r="AC1424" s="289">
        <v>800</v>
      </c>
      <c r="AD1424" s="289">
        <v>800</v>
      </c>
      <c r="AE1424" s="289"/>
      <c r="AF1424" s="289"/>
      <c r="AG1424" s="289"/>
      <c r="AH1424" s="289"/>
      <c r="AI1424" s="289"/>
      <c r="AJ1424" s="289"/>
      <c r="AK1424" s="289"/>
      <c r="AL1424" s="289"/>
    </row>
    <row r="1425" spans="2:38" ht="12.75" customHeight="1">
      <c r="B1425" s="445" t="s">
        <v>76</v>
      </c>
      <c r="C1425" s="446"/>
      <c r="D1425" s="102">
        <f t="shared" si="196"/>
        <v>833.33333333333337</v>
      </c>
      <c r="E1425" s="93">
        <f t="shared" si="197"/>
        <v>1000</v>
      </c>
      <c r="F1425" s="26"/>
      <c r="G1425" s="26"/>
      <c r="H1425" s="5"/>
      <c r="AC1425" s="289">
        <v>1000</v>
      </c>
      <c r="AD1425" s="289"/>
      <c r="AE1425" s="289"/>
      <c r="AF1425" s="289"/>
      <c r="AG1425" s="289"/>
      <c r="AH1425" s="289"/>
      <c r="AI1425" s="289"/>
      <c r="AJ1425" s="289"/>
      <c r="AK1425" s="289"/>
      <c r="AL1425" s="289"/>
    </row>
    <row r="1426" spans="2:38" ht="12.75" customHeight="1">
      <c r="B1426" s="445" t="str">
        <f>IF($C$1="ENG","door handle-lock (for sliding doors)","ручка-замок (для дверей купе)")</f>
        <v>ручка-замок (для дверей купе)</v>
      </c>
      <c r="C1426" s="446"/>
      <c r="D1426" s="133">
        <f t="shared" si="196"/>
        <v>466.66666666666669</v>
      </c>
      <c r="E1426" s="93">
        <f t="shared" si="197"/>
        <v>560</v>
      </c>
      <c r="F1426" s="26"/>
      <c r="G1426" s="26"/>
      <c r="I1426" s="11"/>
      <c r="J1426" s="11"/>
      <c r="K1426" s="19"/>
      <c r="AC1426" s="289">
        <v>560</v>
      </c>
      <c r="AD1426" s="289">
        <v>560</v>
      </c>
      <c r="AE1426" s="289"/>
      <c r="AF1426" s="289"/>
      <c r="AG1426" s="289"/>
      <c r="AH1426" s="289"/>
      <c r="AI1426" s="289"/>
      <c r="AJ1426" s="289"/>
      <c r="AK1426" s="289"/>
      <c r="AL1426" s="289"/>
    </row>
    <row r="1427" spans="2:38" ht="12.75" customHeight="1">
      <c r="B1427" s="445" t="str">
        <f>IF($C$1="ENG","cylinder incert","циліндр несиметричний")</f>
        <v>циліндр несиметричний</v>
      </c>
      <c r="C1427" s="446"/>
      <c r="D1427" s="133">
        <f t="shared" si="196"/>
        <v>316.66666666666669</v>
      </c>
      <c r="E1427" s="93">
        <f t="shared" si="197"/>
        <v>380</v>
      </c>
      <c r="F1427" s="26"/>
      <c r="G1427" s="26"/>
      <c r="I1427" s="20"/>
      <c r="AC1427" s="289">
        <v>380</v>
      </c>
      <c r="AD1427" s="289">
        <v>380</v>
      </c>
      <c r="AE1427" s="289"/>
      <c r="AF1427" s="289"/>
      <c r="AG1427" s="289"/>
      <c r="AH1427" s="289"/>
      <c r="AI1427" s="289"/>
      <c r="AJ1427" s="289"/>
      <c r="AK1427" s="289"/>
      <c r="AL1427" s="289"/>
    </row>
    <row r="1428" spans="2:38" ht="12.75" customHeight="1">
      <c r="B1428" s="445" t="str">
        <f>IF($C$1="ENG","door hindge Prestige (1 unit)","завіса Prestige (1 шт)")</f>
        <v>завіса Prestige (1 шт)</v>
      </c>
      <c r="C1428" s="446"/>
      <c r="D1428" s="135">
        <f t="shared" si="196"/>
        <v>216.66666666666669</v>
      </c>
      <c r="E1428" s="93">
        <f t="shared" si="197"/>
        <v>260</v>
      </c>
      <c r="F1428" s="26"/>
      <c r="G1428" s="26"/>
      <c r="AC1428" s="289">
        <v>260</v>
      </c>
      <c r="AD1428" s="289">
        <v>260</v>
      </c>
      <c r="AE1428" s="289"/>
      <c r="AF1428" s="289"/>
      <c r="AG1428" s="289"/>
      <c r="AH1428" s="289"/>
      <c r="AI1428" s="289"/>
      <c r="AJ1428" s="289"/>
      <c r="AK1428" s="289"/>
      <c r="AL1428" s="289"/>
    </row>
    <row r="1429" spans="2:38" ht="12.75" customHeight="1">
      <c r="B1429" s="445" t="str">
        <f>IF($C$1="ENG","door hinge caps (1 set)","накладка на завіси (1 к-т)")</f>
        <v>накладка на завіси (1 к-т)</v>
      </c>
      <c r="C1429" s="446"/>
      <c r="D1429" s="135">
        <f t="shared" si="196"/>
        <v>66.666666666666671</v>
      </c>
      <c r="E1429" s="93">
        <f t="shared" si="197"/>
        <v>80</v>
      </c>
      <c r="F1429" s="26"/>
      <c r="G1429" s="26"/>
      <c r="AC1429" s="289">
        <v>80</v>
      </c>
      <c r="AD1429" s="289">
        <v>80</v>
      </c>
      <c r="AE1429" s="289"/>
      <c r="AF1429" s="289"/>
      <c r="AG1429" s="289"/>
      <c r="AH1429" s="289"/>
      <c r="AI1429" s="289"/>
      <c r="AJ1429" s="289"/>
      <c r="AK1429" s="289"/>
      <c r="AL1429" s="289"/>
    </row>
    <row r="1430" spans="2:38" ht="12.75" customHeight="1">
      <c r="B1430" s="445" t="str">
        <f>IF($C$1="ENG","door handle","дверна ручка")</f>
        <v>дверна ручка</v>
      </c>
      <c r="C1430" s="446"/>
      <c r="D1430" s="134" t="str">
        <f t="shared" si="196"/>
        <v/>
      </c>
      <c r="E1430" s="247" t="str">
        <f>IF($C$1="ENG","see Handles Price","див. Таблицю Ручки")</f>
        <v>див. Таблицю Ручки</v>
      </c>
      <c r="F1430" s="26"/>
      <c r="G1430" s="26"/>
      <c r="AC1430" s="289"/>
      <c r="AD1430" s="289"/>
      <c r="AE1430" s="289"/>
      <c r="AF1430" s="289"/>
      <c r="AG1430" s="289"/>
      <c r="AH1430" s="289"/>
      <c r="AI1430" s="289"/>
      <c r="AJ1430" s="289"/>
      <c r="AK1430" s="289"/>
      <c r="AL1430" s="289"/>
    </row>
    <row r="1431" spans="2:38" ht="14.25" customHeight="1">
      <c r="C1431" s="245"/>
      <c r="D1431" s="26"/>
      <c r="E1431" s="26"/>
      <c r="F1431" s="26"/>
      <c r="G1431" s="26"/>
      <c r="H1431" s="5"/>
      <c r="T1431" s="465" t="str">
        <f>IF($C$1="ENG",CONCATENATE("down to: ",B1481),CONCATENATE("вниз до: ",B1481))</f>
        <v>вниз до: Полотна збірні: МОДЕРН</v>
      </c>
      <c r="U1431" s="465"/>
      <c r="V1431" s="465"/>
      <c r="W1431" s="465"/>
    </row>
    <row r="1432" spans="2:38" ht="14.25" customHeight="1">
      <c r="C1432" s="245"/>
      <c r="D1432" s="26"/>
      <c r="E1432" s="26"/>
      <c r="F1432" s="26"/>
      <c r="G1432" s="26"/>
      <c r="H1432" s="5"/>
      <c r="T1432" s="115"/>
      <c r="U1432" s="115"/>
      <c r="V1432" s="115"/>
      <c r="W1432" s="115"/>
    </row>
    <row r="1433" spans="2:38" ht="14.25" customHeight="1">
      <c r="C1433" s="245"/>
      <c r="D1433" s="26"/>
      <c r="E1433" s="26"/>
      <c r="F1433" s="26"/>
      <c r="G1433" s="26"/>
      <c r="H1433" s="5"/>
      <c r="T1433" s="115"/>
      <c r="U1433" s="115"/>
      <c r="V1433" s="115"/>
      <c r="W1433" s="115"/>
    </row>
    <row r="1434" spans="2:38" ht="14.25" customHeight="1">
      <c r="C1434" s="245"/>
      <c r="D1434" s="26"/>
      <c r="E1434" s="26"/>
      <c r="F1434" s="26"/>
      <c r="G1434" s="26"/>
      <c r="H1434" s="5"/>
      <c r="T1434" s="115"/>
      <c r="U1434" s="115"/>
      <c r="V1434" s="115"/>
      <c r="W1434" s="115"/>
    </row>
    <row r="1435" spans="2:38" ht="14.25" customHeight="1">
      <c r="C1435" s="245"/>
      <c r="D1435" s="26"/>
      <c r="E1435" s="26"/>
      <c r="F1435" s="26"/>
      <c r="G1435" s="26"/>
      <c r="H1435" s="5"/>
      <c r="T1435" s="115"/>
      <c r="U1435" s="115"/>
      <c r="V1435" s="115"/>
      <c r="W1435" s="115"/>
    </row>
    <row r="1436" spans="2:38" ht="14.25" customHeight="1">
      <c r="C1436" s="245"/>
      <c r="D1436" s="26"/>
      <c r="E1436" s="26"/>
      <c r="F1436" s="26"/>
      <c r="G1436" s="26"/>
      <c r="H1436" s="5"/>
      <c r="T1436" s="115"/>
      <c r="U1436" s="115"/>
      <c r="V1436" s="115"/>
      <c r="W1436" s="115"/>
    </row>
    <row r="1437" spans="2:38" ht="14.25" customHeight="1">
      <c r="C1437" s="245"/>
      <c r="D1437" s="26"/>
      <c r="E1437" s="26"/>
      <c r="F1437" s="26"/>
      <c r="G1437" s="26"/>
      <c r="H1437" s="5"/>
      <c r="T1437" s="115"/>
      <c r="U1437" s="115"/>
      <c r="V1437" s="115"/>
      <c r="W1437" s="115"/>
    </row>
    <row r="1438" spans="2:38" ht="14.25" customHeight="1">
      <c r="C1438" s="245"/>
      <c r="D1438" s="26"/>
      <c r="E1438" s="26"/>
      <c r="F1438" s="26"/>
      <c r="G1438" s="26"/>
      <c r="H1438" s="5"/>
      <c r="T1438" s="115"/>
      <c r="U1438" s="115"/>
      <c r="V1438" s="115"/>
      <c r="W1438" s="115"/>
    </row>
    <row r="1439" spans="2:38" ht="14.25" customHeight="1">
      <c r="C1439" s="245"/>
      <c r="D1439" s="26"/>
      <c r="E1439" s="26"/>
      <c r="F1439" s="26"/>
      <c r="G1439" s="26"/>
      <c r="H1439" s="5"/>
      <c r="T1439" s="115"/>
      <c r="U1439" s="115"/>
      <c r="V1439" s="115"/>
      <c r="W1439" s="115"/>
    </row>
    <row r="1440" spans="2:38" ht="14.25" customHeight="1">
      <c r="C1440" s="245"/>
      <c r="D1440" s="26"/>
      <c r="E1440" s="26"/>
      <c r="F1440" s="26"/>
      <c r="G1440" s="26"/>
      <c r="H1440" s="5"/>
      <c r="T1440" s="115"/>
      <c r="U1440" s="115"/>
      <c r="V1440" s="115"/>
      <c r="W1440" s="115"/>
    </row>
    <row r="1441" spans="3:23" ht="14.25" customHeight="1">
      <c r="C1441" s="245"/>
      <c r="D1441" s="26"/>
      <c r="E1441" s="26"/>
      <c r="F1441" s="26"/>
      <c r="G1441" s="26"/>
      <c r="H1441" s="5"/>
      <c r="T1441" s="115"/>
      <c r="U1441" s="115"/>
      <c r="V1441" s="115"/>
      <c r="W1441" s="115"/>
    </row>
    <row r="1442" spans="3:23" ht="14.25" customHeight="1">
      <c r="C1442" s="245"/>
      <c r="D1442" s="26"/>
      <c r="E1442" s="26"/>
      <c r="F1442" s="26"/>
      <c r="G1442" s="26"/>
      <c r="H1442" s="5"/>
      <c r="T1442" s="115"/>
      <c r="U1442" s="115"/>
      <c r="V1442" s="115"/>
      <c r="W1442" s="115"/>
    </row>
    <row r="1443" spans="3:23" ht="14.25" customHeight="1">
      <c r="C1443" s="245"/>
      <c r="D1443" s="26"/>
      <c r="E1443" s="26"/>
      <c r="F1443" s="26"/>
      <c r="G1443" s="26"/>
      <c r="H1443" s="5"/>
      <c r="T1443" s="115"/>
      <c r="U1443" s="115"/>
      <c r="V1443" s="115"/>
      <c r="W1443" s="115"/>
    </row>
    <row r="1444" spans="3:23" ht="14.25" customHeight="1">
      <c r="C1444" s="245"/>
      <c r="D1444" s="26"/>
      <c r="E1444" s="26"/>
      <c r="F1444" s="26"/>
      <c r="G1444" s="26"/>
      <c r="H1444" s="5"/>
      <c r="T1444" s="115"/>
      <c r="U1444" s="115"/>
      <c r="V1444" s="115"/>
      <c r="W1444" s="115"/>
    </row>
    <row r="1445" spans="3:23" ht="14.25" customHeight="1">
      <c r="C1445" s="245"/>
      <c r="D1445" s="26"/>
      <c r="E1445" s="26"/>
      <c r="F1445" s="26"/>
      <c r="G1445" s="26"/>
      <c r="H1445" s="5"/>
      <c r="T1445" s="115"/>
      <c r="U1445" s="115"/>
      <c r="V1445" s="115"/>
      <c r="W1445" s="115"/>
    </row>
    <row r="1446" spans="3:23" ht="14.25" customHeight="1">
      <c r="C1446" s="245"/>
      <c r="D1446" s="26"/>
      <c r="E1446" s="26"/>
      <c r="F1446" s="26"/>
      <c r="G1446" s="26"/>
      <c r="H1446" s="5"/>
      <c r="T1446" s="115"/>
      <c r="U1446" s="115"/>
      <c r="V1446" s="115"/>
      <c r="W1446" s="115"/>
    </row>
    <row r="1447" spans="3:23" ht="14.25" customHeight="1">
      <c r="C1447" s="245"/>
      <c r="D1447" s="26"/>
      <c r="E1447" s="26"/>
      <c r="F1447" s="26"/>
      <c r="G1447" s="26"/>
      <c r="H1447" s="5"/>
      <c r="T1447" s="115"/>
      <c r="U1447" s="115"/>
      <c r="V1447" s="115"/>
      <c r="W1447" s="115"/>
    </row>
    <row r="1448" spans="3:23" ht="14.25" customHeight="1">
      <c r="C1448" s="245"/>
      <c r="D1448" s="26"/>
      <c r="E1448" s="26"/>
      <c r="F1448" s="26"/>
      <c r="G1448" s="26"/>
      <c r="H1448" s="5"/>
      <c r="T1448" s="115"/>
      <c r="U1448" s="115"/>
      <c r="V1448" s="115"/>
      <c r="W1448" s="115"/>
    </row>
    <row r="1449" spans="3:23" ht="14.25" customHeight="1">
      <c r="C1449" s="245"/>
      <c r="D1449" s="26"/>
      <c r="E1449" s="26"/>
      <c r="F1449" s="26"/>
      <c r="G1449" s="26"/>
      <c r="H1449" s="5"/>
      <c r="T1449" s="115"/>
      <c r="U1449" s="115"/>
      <c r="V1449" s="115"/>
      <c r="W1449" s="115"/>
    </row>
    <row r="1450" spans="3:23" ht="14.25" customHeight="1">
      <c r="C1450" s="245"/>
      <c r="D1450" s="26"/>
      <c r="E1450" s="26"/>
      <c r="F1450" s="26"/>
      <c r="G1450" s="26"/>
      <c r="H1450" s="5"/>
      <c r="T1450" s="115"/>
      <c r="U1450" s="115"/>
      <c r="V1450" s="115"/>
      <c r="W1450" s="115"/>
    </row>
    <row r="1451" spans="3:23" ht="14.25" customHeight="1">
      <c r="C1451" s="245"/>
      <c r="D1451" s="26"/>
      <c r="E1451" s="26"/>
      <c r="F1451" s="26"/>
      <c r="G1451" s="26"/>
      <c r="H1451" s="5"/>
      <c r="T1451" s="115"/>
      <c r="U1451" s="115"/>
      <c r="V1451" s="115"/>
      <c r="W1451" s="115"/>
    </row>
    <row r="1452" spans="3:23" ht="14.25" customHeight="1">
      <c r="C1452" s="245"/>
      <c r="D1452" s="26"/>
      <c r="E1452" s="26"/>
      <c r="F1452" s="26"/>
      <c r="G1452" s="26"/>
      <c r="H1452" s="5"/>
      <c r="T1452" s="115"/>
      <c r="U1452" s="115"/>
      <c r="V1452" s="115"/>
      <c r="W1452" s="115"/>
    </row>
    <row r="1453" spans="3:23" ht="14.25" customHeight="1">
      <c r="C1453" s="245"/>
      <c r="D1453" s="26"/>
      <c r="E1453" s="26"/>
      <c r="F1453" s="26"/>
      <c r="G1453" s="26"/>
      <c r="H1453" s="5"/>
      <c r="T1453" s="115"/>
      <c r="U1453" s="115"/>
      <c r="V1453" s="115"/>
      <c r="W1453" s="115"/>
    </row>
    <row r="1454" spans="3:23" ht="14.25" customHeight="1">
      <c r="C1454" s="245"/>
      <c r="D1454" s="26"/>
      <c r="E1454" s="26"/>
      <c r="F1454" s="26"/>
      <c r="G1454" s="26"/>
      <c r="H1454" s="5"/>
      <c r="T1454" s="115"/>
      <c r="U1454" s="115"/>
      <c r="V1454" s="115"/>
      <c r="W1454" s="115"/>
    </row>
    <row r="1455" spans="3:23" ht="14.25" customHeight="1">
      <c r="C1455" s="245"/>
      <c r="D1455" s="26"/>
      <c r="E1455" s="26"/>
      <c r="F1455" s="26"/>
      <c r="G1455" s="26"/>
      <c r="H1455" s="5"/>
      <c r="T1455" s="115"/>
      <c r="U1455" s="115"/>
      <c r="V1455" s="115"/>
      <c r="W1455" s="115"/>
    </row>
    <row r="1456" spans="3:23" ht="14.25" customHeight="1">
      <c r="C1456" s="245"/>
      <c r="D1456" s="26"/>
      <c r="E1456" s="26"/>
      <c r="F1456" s="26"/>
      <c r="G1456" s="26"/>
      <c r="H1456" s="5"/>
      <c r="T1456" s="115"/>
      <c r="U1456" s="115"/>
      <c r="V1456" s="115"/>
      <c r="W1456" s="115"/>
    </row>
    <row r="1457" spans="3:23" ht="14.25" customHeight="1">
      <c r="C1457" s="245"/>
      <c r="D1457" s="26"/>
      <c r="E1457" s="26"/>
      <c r="F1457" s="26"/>
      <c r="G1457" s="26"/>
      <c r="H1457" s="5"/>
      <c r="T1457" s="115"/>
      <c r="U1457" s="115"/>
      <c r="V1457" s="115"/>
      <c r="W1457" s="115"/>
    </row>
    <row r="1458" spans="3:23" ht="14.25" customHeight="1">
      <c r="C1458" s="245"/>
      <c r="D1458" s="26"/>
      <c r="E1458" s="26"/>
      <c r="F1458" s="26"/>
      <c r="G1458" s="26"/>
      <c r="H1458" s="5"/>
      <c r="T1458" s="115"/>
      <c r="U1458" s="115"/>
      <c r="V1458" s="115"/>
      <c r="W1458" s="115"/>
    </row>
    <row r="1459" spans="3:23" ht="14.25" customHeight="1">
      <c r="C1459" s="245"/>
      <c r="D1459" s="26"/>
      <c r="E1459" s="26"/>
      <c r="F1459" s="26"/>
      <c r="G1459" s="26"/>
      <c r="H1459" s="5"/>
      <c r="T1459" s="115"/>
      <c r="U1459" s="115"/>
      <c r="V1459" s="115"/>
      <c r="W1459" s="115"/>
    </row>
    <row r="1460" spans="3:23" ht="14.25" customHeight="1">
      <c r="C1460" s="245"/>
      <c r="D1460" s="26"/>
      <c r="E1460" s="26"/>
      <c r="F1460" s="26"/>
      <c r="G1460" s="26"/>
      <c r="H1460" s="5"/>
      <c r="T1460" s="115"/>
      <c r="U1460" s="115"/>
      <c r="V1460" s="115"/>
      <c r="W1460" s="115"/>
    </row>
    <row r="1461" spans="3:23" ht="14.25" customHeight="1">
      <c r="C1461" s="245"/>
      <c r="D1461" s="26"/>
      <c r="E1461" s="26"/>
      <c r="F1461" s="26"/>
      <c r="G1461" s="26"/>
      <c r="H1461" s="5"/>
      <c r="T1461" s="115"/>
      <c r="U1461" s="115"/>
      <c r="V1461" s="115"/>
      <c r="W1461" s="115"/>
    </row>
    <row r="1462" spans="3:23" ht="14.25" customHeight="1">
      <c r="C1462" s="245"/>
      <c r="D1462" s="26"/>
      <c r="E1462" s="26"/>
      <c r="F1462" s="26"/>
      <c r="G1462" s="26"/>
      <c r="H1462" s="5"/>
      <c r="T1462" s="115"/>
      <c r="U1462" s="115"/>
      <c r="V1462" s="115"/>
      <c r="W1462" s="115"/>
    </row>
    <row r="1463" spans="3:23" ht="14.25" customHeight="1">
      <c r="C1463" s="245"/>
      <c r="D1463" s="26"/>
      <c r="E1463" s="26"/>
      <c r="F1463" s="26"/>
      <c r="G1463" s="26"/>
      <c r="H1463" s="5"/>
      <c r="T1463" s="115"/>
      <c r="U1463" s="115"/>
      <c r="V1463" s="115"/>
      <c r="W1463" s="115"/>
    </row>
    <row r="1464" spans="3:23" ht="14.25" customHeight="1">
      <c r="C1464" s="245"/>
      <c r="D1464" s="26"/>
      <c r="E1464" s="26"/>
      <c r="F1464" s="26"/>
      <c r="G1464" s="26"/>
      <c r="H1464" s="5"/>
      <c r="T1464" s="115"/>
      <c r="U1464" s="115"/>
      <c r="V1464" s="115"/>
      <c r="W1464" s="115"/>
    </row>
    <row r="1465" spans="3:23" ht="14.25" customHeight="1">
      <c r="C1465" s="245"/>
      <c r="D1465" s="26"/>
      <c r="E1465" s="26"/>
      <c r="F1465" s="26"/>
      <c r="G1465" s="26"/>
      <c r="H1465" s="5"/>
      <c r="T1465" s="115"/>
      <c r="U1465" s="115"/>
      <c r="V1465" s="115"/>
      <c r="W1465" s="115"/>
    </row>
    <row r="1466" spans="3:23" ht="14.25" customHeight="1">
      <c r="C1466" s="245"/>
      <c r="D1466" s="26"/>
      <c r="E1466" s="26"/>
      <c r="F1466" s="26"/>
      <c r="G1466" s="26"/>
      <c r="H1466" s="5"/>
      <c r="T1466" s="115"/>
      <c r="U1466" s="115"/>
      <c r="V1466" s="115"/>
      <c r="W1466" s="115"/>
    </row>
    <row r="1467" spans="3:23" ht="14.25" customHeight="1">
      <c r="C1467" s="245"/>
      <c r="D1467" s="26"/>
      <c r="E1467" s="26"/>
      <c r="F1467" s="26"/>
      <c r="G1467" s="26"/>
      <c r="H1467" s="5"/>
      <c r="T1467" s="115"/>
      <c r="U1467" s="115"/>
      <c r="V1467" s="115"/>
      <c r="W1467" s="115"/>
    </row>
    <row r="1468" spans="3:23" ht="14.25" customHeight="1">
      <c r="C1468" s="245"/>
      <c r="D1468" s="26"/>
      <c r="E1468" s="26"/>
      <c r="F1468" s="26"/>
      <c r="G1468" s="26"/>
      <c r="H1468" s="5"/>
      <c r="T1468" s="115"/>
      <c r="U1468" s="115"/>
      <c r="V1468" s="115"/>
      <c r="W1468" s="115"/>
    </row>
    <row r="1469" spans="3:23" ht="14.25" customHeight="1">
      <c r="C1469" s="245"/>
      <c r="D1469" s="26"/>
      <c r="E1469" s="26"/>
      <c r="F1469" s="26"/>
      <c r="G1469" s="26"/>
      <c r="H1469" s="5"/>
      <c r="T1469" s="115"/>
      <c r="U1469" s="115"/>
      <c r="V1469" s="115"/>
      <c r="W1469" s="115"/>
    </row>
    <row r="1470" spans="3:23" ht="14.25" customHeight="1">
      <c r="C1470" s="245"/>
      <c r="D1470" s="26"/>
      <c r="E1470" s="26"/>
      <c r="F1470" s="26"/>
      <c r="G1470" s="26"/>
      <c r="H1470" s="5"/>
      <c r="T1470" s="115"/>
      <c r="U1470" s="115"/>
      <c r="V1470" s="115"/>
      <c r="W1470" s="115"/>
    </row>
    <row r="1471" spans="3:23" ht="14.25" customHeight="1">
      <c r="C1471" s="245"/>
      <c r="D1471" s="26"/>
      <c r="E1471" s="26"/>
      <c r="F1471" s="26"/>
      <c r="G1471" s="26"/>
      <c r="H1471" s="5"/>
      <c r="T1471" s="115"/>
      <c r="U1471" s="115"/>
      <c r="V1471" s="115"/>
      <c r="W1471" s="115"/>
    </row>
    <row r="1472" spans="3:23" ht="14.25" customHeight="1">
      <c r="C1472" s="245"/>
      <c r="D1472" s="26"/>
      <c r="E1472" s="26"/>
      <c r="F1472" s="26"/>
      <c r="G1472" s="26"/>
      <c r="H1472" s="5"/>
      <c r="T1472" s="115"/>
      <c r="U1472" s="115"/>
      <c r="V1472" s="115"/>
      <c r="W1472" s="115"/>
    </row>
    <row r="1473" spans="2:43" ht="14.25" customHeight="1">
      <c r="C1473" s="245"/>
      <c r="D1473" s="26"/>
      <c r="E1473" s="26"/>
      <c r="F1473" s="26"/>
      <c r="G1473" s="26"/>
      <c r="H1473" s="5"/>
      <c r="T1473" s="115"/>
      <c r="U1473" s="115"/>
      <c r="V1473" s="115"/>
      <c r="W1473" s="115"/>
    </row>
    <row r="1474" spans="2:43" ht="14.25" customHeight="1">
      <c r="C1474" s="245"/>
      <c r="D1474" s="26"/>
      <c r="E1474" s="26"/>
      <c r="F1474" s="26"/>
      <c r="G1474" s="26"/>
      <c r="H1474" s="5"/>
      <c r="T1474" s="115"/>
      <c r="U1474" s="115"/>
      <c r="V1474" s="115"/>
      <c r="W1474" s="115"/>
    </row>
    <row r="1475" spans="2:43" ht="14.25" customHeight="1">
      <c r="C1475" s="245"/>
      <c r="D1475" s="26"/>
      <c r="E1475" s="26"/>
      <c r="F1475" s="26"/>
      <c r="G1475" s="26"/>
      <c r="H1475" s="5"/>
      <c r="T1475" s="115"/>
      <c r="U1475" s="115"/>
      <c r="V1475" s="115"/>
      <c r="W1475" s="115"/>
    </row>
    <row r="1476" spans="2:43" ht="14.25" customHeight="1">
      <c r="C1476" s="245"/>
      <c r="D1476" s="26"/>
      <c r="E1476" s="26"/>
      <c r="F1476" s="26"/>
      <c r="G1476" s="26"/>
      <c r="H1476" s="5"/>
      <c r="T1476" s="115"/>
      <c r="U1476" s="115"/>
      <c r="V1476" s="115"/>
      <c r="W1476" s="115"/>
    </row>
    <row r="1477" spans="2:43" ht="14.25" customHeight="1">
      <c r="C1477" s="245"/>
      <c r="D1477" s="26"/>
      <c r="E1477" s="26"/>
      <c r="F1477" s="26"/>
      <c r="G1477" s="26"/>
      <c r="H1477" s="5"/>
      <c r="T1477" s="115"/>
      <c r="U1477" s="115"/>
      <c r="V1477" s="115"/>
      <c r="W1477" s="115"/>
    </row>
    <row r="1478" spans="2:43" ht="14.25" customHeight="1">
      <c r="C1478" s="245"/>
      <c r="D1478" s="26"/>
      <c r="E1478" s="26"/>
      <c r="F1478" s="26"/>
      <c r="G1478" s="26"/>
      <c r="H1478" s="5"/>
      <c r="T1478" s="115"/>
      <c r="U1478" s="115"/>
      <c r="V1478" s="115"/>
      <c r="W1478" s="115"/>
    </row>
    <row r="1479" spans="2:43" ht="14.25" customHeight="1">
      <c r="C1479" s="245"/>
      <c r="D1479" s="26"/>
      <c r="E1479" s="26"/>
      <c r="F1479" s="26"/>
      <c r="G1479" s="26"/>
      <c r="H1479" s="5"/>
      <c r="T1479" s="115"/>
      <c r="U1479" s="115"/>
      <c r="V1479" s="115"/>
      <c r="W1479" s="115"/>
    </row>
    <row r="1480" spans="2:43" ht="14.25" customHeight="1">
      <c r="C1480" s="245"/>
      <c r="D1480" s="26"/>
      <c r="E1480" s="26"/>
      <c r="F1480" s="26"/>
      <c r="G1480" s="26"/>
      <c r="H1480" s="5"/>
      <c r="T1480" s="115"/>
      <c r="U1480" s="115"/>
      <c r="V1480" s="115"/>
      <c r="W1480" s="115"/>
    </row>
    <row r="1481" spans="2:43" ht="14.25" customHeight="1">
      <c r="B1481" s="451" t="str">
        <f>TITLE!C28</f>
        <v>Полотна збірні: МОДЕРН</v>
      </c>
      <c r="C1481" s="451"/>
      <c r="D1481" s="118"/>
      <c r="E1481" s="118"/>
      <c r="F1481" s="118"/>
      <c r="G1481" s="118"/>
      <c r="H1481" s="455"/>
      <c r="I1481" s="455"/>
      <c r="J1481" s="121"/>
      <c r="K1481" s="121"/>
      <c r="L1481" s="121"/>
      <c r="M1481" s="121"/>
      <c r="N1481" s="121"/>
      <c r="O1481" s="121"/>
      <c r="P1481" s="121"/>
      <c r="Q1481" s="121"/>
      <c r="R1481" s="121"/>
      <c r="S1481" s="121"/>
      <c r="T1481" s="462" t="str">
        <f>IF($C$1="ENG",CONCATENATE("up to: ",B1407),CONCATENATE("вгору до: ",B1407))</f>
        <v>вгору до: Полотна збірні: ТРЕНД</v>
      </c>
      <c r="U1481" s="462"/>
      <c r="V1481" s="462"/>
      <c r="W1481" s="462"/>
      <c r="X1481" s="8"/>
      <c r="Y1481" s="8"/>
      <c r="Z1481" s="8"/>
      <c r="AA1481" s="8"/>
      <c r="AB1481" s="8"/>
      <c r="AC1481" s="8"/>
      <c r="AD1481" s="8"/>
      <c r="AE1481" s="8"/>
      <c r="AF1481" s="8"/>
      <c r="AG1481" s="8"/>
      <c r="AH1481" s="8"/>
      <c r="AI1481" s="8"/>
      <c r="AJ1481" s="8"/>
      <c r="AK1481" s="8"/>
      <c r="AL1481" s="8"/>
    </row>
    <row r="1482" spans="2:43" ht="4.5" customHeight="1">
      <c r="B1482" s="117"/>
      <c r="C1482" s="420"/>
      <c r="D1482" s="9"/>
      <c r="E1482" s="9"/>
      <c r="F1482" s="9"/>
      <c r="G1482" s="9"/>
      <c r="H1482" s="120"/>
      <c r="I1482" s="120"/>
      <c r="L1482" s="8"/>
      <c r="M1482" s="8"/>
      <c r="N1482" s="8"/>
      <c r="O1482" s="8"/>
      <c r="P1482" s="8"/>
      <c r="Q1482" s="8"/>
      <c r="R1482" s="8"/>
      <c r="S1482" s="8"/>
      <c r="T1482" s="115"/>
      <c r="U1482" s="115"/>
      <c r="V1482" s="115"/>
      <c r="W1482" s="115"/>
      <c r="X1482" s="8"/>
      <c r="Y1482" s="8"/>
      <c r="Z1482" s="8"/>
      <c r="AA1482" s="8"/>
      <c r="AB1482" s="8"/>
      <c r="AC1482" s="8"/>
      <c r="AD1482" s="8"/>
      <c r="AE1482" s="8"/>
      <c r="AF1482" s="8"/>
      <c r="AG1482" s="8"/>
      <c r="AH1482" s="8"/>
      <c r="AI1482" s="8"/>
      <c r="AJ1482" s="8"/>
      <c r="AK1482" s="8"/>
      <c r="AL1482" s="8"/>
    </row>
    <row r="1483" spans="2:43" ht="13.5" customHeight="1">
      <c r="B1483" s="452" t="str">
        <f>IF($C$1="ENG","model","модель")</f>
        <v>модель</v>
      </c>
      <c r="C1483" s="122" t="str">
        <f>IF($C$1="ENG","cover:","покриття:")</f>
        <v>покриття:</v>
      </c>
      <c r="D1483" s="458" t="str">
        <f>IF($C$1="ENG","VERTO-CELL","VERTO-CELL")</f>
        <v>VERTO-CELL</v>
      </c>
      <c r="E1483" s="459"/>
      <c r="F1483" s="458" t="str">
        <f>IF($C$1="ENG","UNI-MAT","UNI-MAT")</f>
        <v>UNI-MAT</v>
      </c>
      <c r="G1483" s="459"/>
      <c r="H1483" s="458" t="str">
        <f>IF($C$1="ENG","RESIST","RESIST")</f>
        <v>RESIST</v>
      </c>
      <c r="I1483" s="459"/>
      <c r="J1483" s="458" t="str">
        <f>IF($C$1="ENG","Verto LINE-3D","Verto LINE-3D")</f>
        <v>Verto LINE-3D</v>
      </c>
      <c r="K1483" s="459"/>
      <c r="L1483" s="458" t="str">
        <f>IF($C$1="ENG","ECO Shpon","ЕКО Шпон")</f>
        <v>ЕКО Шпон</v>
      </c>
      <c r="M1483" s="459"/>
      <c r="N1483" s="8"/>
      <c r="O1483" s="8"/>
      <c r="P1483" s="20"/>
      <c r="Q1483" s="20"/>
      <c r="R1483" s="8"/>
      <c r="S1483" s="8"/>
      <c r="T1483" s="115"/>
      <c r="U1483" s="115"/>
      <c r="V1483" s="115"/>
      <c r="W1483" s="115"/>
      <c r="X1483" s="8"/>
      <c r="Y1483" s="8"/>
      <c r="Z1483" s="8"/>
      <c r="AA1483" s="8"/>
      <c r="AB1483" s="8"/>
      <c r="AC1483" s="8"/>
      <c r="AD1483" s="8"/>
      <c r="AE1483" s="8"/>
      <c r="AF1483" s="8"/>
      <c r="AG1483" s="8"/>
      <c r="AH1483" s="8"/>
      <c r="AI1483" s="8"/>
      <c r="AJ1483" s="8"/>
      <c r="AK1483" s="8"/>
      <c r="AL1483" s="8"/>
    </row>
    <row r="1484" spans="2:43" ht="24.75" customHeight="1">
      <c r="B1484" s="453"/>
      <c r="C1484" s="123" t="str">
        <f>IF($C$1="ENG","filling:","заповнення:")</f>
        <v>заповнення:</v>
      </c>
      <c r="D1484" s="460" t="str">
        <f>IF($C$1="ENG","softwood","клеєний сосновий брус")</f>
        <v>клеєний сосновий брус</v>
      </c>
      <c r="E1484" s="461"/>
      <c r="F1484" s="460" t="str">
        <f>IF($C$1="ENG","softwood","клеєний сосновий брус")</f>
        <v>клеєний сосновий брус</v>
      </c>
      <c r="G1484" s="461"/>
      <c r="H1484" s="460" t="str">
        <f>IF($C$1="ENG","softwood","клеєний сосновий брус")</f>
        <v>клеєний сосновий брус</v>
      </c>
      <c r="I1484" s="461"/>
      <c r="J1484" s="460" t="str">
        <f>IF($C$1="ENG","softwood","клеєний сосновий брус")</f>
        <v>клеєний сосновий брус</v>
      </c>
      <c r="K1484" s="461"/>
      <c r="L1484" s="460" t="str">
        <f>IF($C$1="ENG","softwood","клеєний сосновий брус")</f>
        <v>клеєний сосновий брус</v>
      </c>
      <c r="M1484" s="461"/>
      <c r="N1484" s="8"/>
      <c r="O1484" s="8"/>
      <c r="P1484" s="20"/>
      <c r="Q1484" s="20"/>
      <c r="R1484" s="8"/>
      <c r="S1484" s="8"/>
      <c r="T1484" s="115"/>
      <c r="U1484" s="115"/>
      <c r="V1484" s="115"/>
      <c r="W1484" s="115"/>
      <c r="X1484" s="8"/>
      <c r="Y1484" s="8"/>
      <c r="Z1484" s="8"/>
      <c r="AA1484" s="8"/>
      <c r="AB1484" s="8"/>
      <c r="AC1484" s="8"/>
      <c r="AD1484" s="383">
        <f>AD1486/AC1486-1</f>
        <v>0.120253164556962</v>
      </c>
      <c r="AE1484" s="383">
        <f>AE1486/AD1486-1</f>
        <v>4.2372881355932313E-2</v>
      </c>
      <c r="AF1484" s="383">
        <f>AF1486/AE1486-1</f>
        <v>7.3170731707317138E-2</v>
      </c>
      <c r="AG1484" s="383">
        <f>AG1486/AF1486-1</f>
        <v>4.7979797979798011E-2</v>
      </c>
      <c r="AH1484" s="8"/>
      <c r="AI1484" s="8"/>
      <c r="AJ1484" s="8"/>
      <c r="AK1484" s="8"/>
      <c r="AL1484" s="8"/>
    </row>
    <row r="1485" spans="2:43" ht="13.5" customHeight="1">
      <c r="B1485" s="454"/>
      <c r="C1485" s="124" t="str">
        <f>IF($C$1="ENG","glazing:","скління:")</f>
        <v>скління:</v>
      </c>
      <c r="D1485" s="449" t="str">
        <f>IF($C$1="ENG","Satin","Сатин")</f>
        <v>Сатин</v>
      </c>
      <c r="E1485" s="450"/>
      <c r="F1485" s="449" t="str">
        <f>IF($C$1="ENG","Satin","Сатин")</f>
        <v>Сатин</v>
      </c>
      <c r="G1485" s="450"/>
      <c r="H1485" s="449" t="str">
        <f>IF($C$1="ENG","Satin","Сатин")</f>
        <v>Сатин</v>
      </c>
      <c r="I1485" s="450"/>
      <c r="J1485" s="449" t="str">
        <f>IF($C$1="ENG","Satin","Сатин")</f>
        <v>Сатин</v>
      </c>
      <c r="K1485" s="450"/>
      <c r="L1485" s="449" t="str">
        <f>IF($C$1="ENG","Satin","Сатин")</f>
        <v>Сатин</v>
      </c>
      <c r="M1485" s="450"/>
      <c r="N1485" s="11"/>
      <c r="O1485" s="11"/>
      <c r="P1485" s="20"/>
      <c r="Q1485" s="20"/>
      <c r="R1485" s="11"/>
      <c r="S1485" s="11"/>
      <c r="T1485" s="11"/>
    </row>
    <row r="1486" spans="2:43" ht="34.5" customHeight="1">
      <c r="B1486" s="13" t="s">
        <v>19</v>
      </c>
      <c r="C1486" s="14"/>
      <c r="D1486" s="15">
        <f>IF(AC1486="","",(1-$W$2)*(AC1486/1.2))</f>
        <v>5266.666666666667</v>
      </c>
      <c r="E1486" s="64">
        <f>IF($W$5=0.2,D1486*1.2,D1486)/$W$4</f>
        <v>6320</v>
      </c>
      <c r="F1486" s="15">
        <f>IF(AD1486="","",(1-$W$2)*(AD1486/1.2))</f>
        <v>5900</v>
      </c>
      <c r="G1486" s="64">
        <f>IF($W$5=0.2,F1486*1.2,F1486)/$W$4</f>
        <v>7080</v>
      </c>
      <c r="H1486" s="15">
        <f>IF(AE1486="","",(1-$W$2)*(AE1486/1.2))</f>
        <v>6150</v>
      </c>
      <c r="I1486" s="64">
        <f>IF($W$5=0.2,H1486*1.2,H1486)/$W$4</f>
        <v>7380</v>
      </c>
      <c r="J1486" s="15">
        <f>IF(AF1486="","",(1-$W$2)*(AF1486/1.2))</f>
        <v>6600</v>
      </c>
      <c r="K1486" s="64">
        <f>IF($W$5=0.2,J1486*1.2,J1486)/$W$4</f>
        <v>7920</v>
      </c>
      <c r="L1486" s="15">
        <f>IF(AG1486="","",(1-$W$2)*(AG1486/1.2))</f>
        <v>6916.666666666667</v>
      </c>
      <c r="M1486" s="64">
        <f>IF($W$5=0.2,L1486*1.2,L1486)/$W$4</f>
        <v>8300</v>
      </c>
      <c r="N1486" s="104"/>
      <c r="O1486" s="20"/>
      <c r="P1486" s="20"/>
      <c r="Q1486" s="20"/>
      <c r="R1486" s="104"/>
      <c r="S1486" s="20"/>
      <c r="T1486" s="104"/>
      <c r="U1486" s="20"/>
      <c r="V1486" s="104"/>
      <c r="W1486" s="20"/>
      <c r="X1486" s="22"/>
      <c r="Y1486" s="22"/>
      <c r="Z1486" s="22"/>
      <c r="AA1486" s="22"/>
      <c r="AB1486" s="22"/>
      <c r="AC1486" s="332">
        <v>6320</v>
      </c>
      <c r="AD1486" s="391">
        <v>7080</v>
      </c>
      <c r="AE1486" s="332">
        <v>7380</v>
      </c>
      <c r="AF1486" s="332">
        <v>7920</v>
      </c>
      <c r="AG1486" s="332">
        <v>8300</v>
      </c>
      <c r="AH1486" s="289">
        <v>6320</v>
      </c>
      <c r="AI1486" s="289">
        <f>AH1486/AC1486-1</f>
        <v>0</v>
      </c>
      <c r="AJ1486" s="289">
        <v>7080</v>
      </c>
      <c r="AK1486" s="289">
        <f>AJ1486/AD1486-1</f>
        <v>0</v>
      </c>
      <c r="AL1486" s="289">
        <v>7380</v>
      </c>
      <c r="AM1486" s="289">
        <f>AL1486/AE1486-1</f>
        <v>0</v>
      </c>
      <c r="AN1486" s="289">
        <v>7920</v>
      </c>
      <c r="AO1486" s="289">
        <f>AN1486/AF1486-1</f>
        <v>0</v>
      </c>
      <c r="AP1486" s="289">
        <v>8300</v>
      </c>
      <c r="AQ1486" s="289">
        <f>AP1486/AG1486-1</f>
        <v>0</v>
      </c>
    </row>
    <row r="1487" spans="2:43" ht="34.5" customHeight="1">
      <c r="B1487" s="16" t="s">
        <v>22</v>
      </c>
      <c r="C1487" s="17"/>
      <c r="D1487" s="18">
        <f>IF(AC1487="","",(1-$W$2)*(AC1487/1.2))</f>
        <v>6200</v>
      </c>
      <c r="E1487" s="66">
        <f>IF($W$5=0.2,D1487*1.2,D1487)/$W$4</f>
        <v>7440</v>
      </c>
      <c r="F1487" s="18">
        <f>IF(AD1487="","",(1-$W$2)*(AD1487/1.2))</f>
        <v>6950</v>
      </c>
      <c r="G1487" s="66">
        <f>IF($W$5=0.2,F1487*1.2,F1487)/$W$4</f>
        <v>8340</v>
      </c>
      <c r="H1487" s="18">
        <f>IF(AE1487="","",(1-$W$2)*(AE1487/1.2))</f>
        <v>7250</v>
      </c>
      <c r="I1487" s="66">
        <f>IF($W$5=0.2,H1487*1.2,H1487)/$W$4</f>
        <v>8700</v>
      </c>
      <c r="J1487" s="18">
        <f>IF(AF1487="","",(1-$W$2)*(AF1487/1.2))</f>
        <v>7708.3333333333339</v>
      </c>
      <c r="K1487" s="66">
        <f>IF($W$5=0.2,J1487*1.2,J1487)/$W$4</f>
        <v>9250</v>
      </c>
      <c r="L1487" s="18">
        <f>IF(AG1487="","",(1-$W$2)*(AG1487/1.2))</f>
        <v>8075</v>
      </c>
      <c r="M1487" s="66">
        <f>IF($W$5=0.2,L1487*1.2,L1487)/$W$4</f>
        <v>9690</v>
      </c>
      <c r="N1487" s="104"/>
      <c r="O1487" s="20"/>
      <c r="P1487" s="20"/>
      <c r="Q1487" s="20"/>
      <c r="R1487" s="104"/>
      <c r="S1487" s="20"/>
      <c r="T1487" s="104"/>
      <c r="U1487" s="20"/>
      <c r="V1487" s="104"/>
      <c r="W1487" s="20"/>
      <c r="X1487" s="22"/>
      <c r="Y1487" s="22"/>
      <c r="Z1487" s="22"/>
      <c r="AA1487" s="22"/>
      <c r="AB1487" s="22"/>
      <c r="AC1487" s="332">
        <v>7440</v>
      </c>
      <c r="AD1487" s="391">
        <v>8340</v>
      </c>
      <c r="AE1487" s="332">
        <v>8700</v>
      </c>
      <c r="AF1487" s="332">
        <v>9250</v>
      </c>
      <c r="AG1487" s="332">
        <v>9690</v>
      </c>
      <c r="AH1487" s="289">
        <v>7440</v>
      </c>
      <c r="AI1487" s="289">
        <f t="shared" ref="AI1487:AI1488" si="200">AH1487/AC1487-1</f>
        <v>0</v>
      </c>
      <c r="AJ1487" s="289">
        <v>8340</v>
      </c>
      <c r="AK1487" s="289">
        <f t="shared" ref="AK1487:AK1488" si="201">AJ1487/AD1487-1</f>
        <v>0</v>
      </c>
      <c r="AL1487" s="289">
        <v>8700</v>
      </c>
      <c r="AM1487" s="289">
        <f t="shared" ref="AM1487:AM1488" si="202">AL1487/AE1487-1</f>
        <v>0</v>
      </c>
      <c r="AN1487" s="289">
        <v>9250</v>
      </c>
      <c r="AO1487" s="289">
        <f t="shared" ref="AO1487:AO1488" si="203">AN1487/AF1487-1</f>
        <v>0</v>
      </c>
      <c r="AP1487" s="289">
        <v>9690</v>
      </c>
      <c r="AQ1487" s="289">
        <f t="shared" ref="AQ1487:AQ1488" si="204">AP1487/AG1487-1</f>
        <v>0</v>
      </c>
    </row>
    <row r="1488" spans="2:43" ht="34.5" customHeight="1">
      <c r="B1488" s="23" t="s">
        <v>38</v>
      </c>
      <c r="C1488" s="24"/>
      <c r="D1488" s="25">
        <f>IF(AC1488="","",(1-$W$2)*(AC1488/1.2))</f>
        <v>6200</v>
      </c>
      <c r="E1488" s="69">
        <f>IF($W$5=0.2,D1488*1.2,D1488)/$W$4</f>
        <v>7440</v>
      </c>
      <c r="F1488" s="25">
        <f>IF(AD1488="","",(1-$W$2)*(AD1488/1.2))</f>
        <v>6950</v>
      </c>
      <c r="G1488" s="69">
        <f>IF($W$5=0.2,F1488*1.2,F1488)/$W$4</f>
        <v>8340</v>
      </c>
      <c r="H1488" s="25">
        <f>IF(AE1488="","",(1-$W$2)*(AE1488/1.2))</f>
        <v>7250</v>
      </c>
      <c r="I1488" s="69">
        <f>IF($W$5=0.2,H1488*1.2,H1488)/$W$4</f>
        <v>8700</v>
      </c>
      <c r="J1488" s="25">
        <f>IF(AF1488="","",(1-$W$2)*(AF1488/1.2))</f>
        <v>7708.3333333333339</v>
      </c>
      <c r="K1488" s="69">
        <f>IF($W$5=0.2,J1488*1.2,J1488)/$W$4</f>
        <v>9250</v>
      </c>
      <c r="L1488" s="25">
        <f>IF(AG1488="","",(1-$W$2)*(AG1488/1.2))</f>
        <v>8075</v>
      </c>
      <c r="M1488" s="69">
        <f>IF($W$5=0.2,L1488*1.2,L1488)/$W$4</f>
        <v>9690</v>
      </c>
      <c r="P1488" s="20"/>
      <c r="Q1488" s="20"/>
      <c r="AC1488" s="332">
        <v>7440</v>
      </c>
      <c r="AD1488" s="391">
        <v>8340</v>
      </c>
      <c r="AE1488" s="332">
        <v>8700</v>
      </c>
      <c r="AF1488" s="332">
        <v>9250</v>
      </c>
      <c r="AG1488" s="332">
        <v>9690</v>
      </c>
      <c r="AH1488" s="289">
        <v>7440</v>
      </c>
      <c r="AI1488" s="289">
        <f t="shared" si="200"/>
        <v>0</v>
      </c>
      <c r="AJ1488" s="289">
        <v>8340</v>
      </c>
      <c r="AK1488" s="289">
        <f t="shared" si="201"/>
        <v>0</v>
      </c>
      <c r="AL1488" s="289">
        <v>8700</v>
      </c>
      <c r="AM1488" s="289">
        <f t="shared" si="202"/>
        <v>0</v>
      </c>
      <c r="AN1488" s="289">
        <v>9250</v>
      </c>
      <c r="AO1488" s="289">
        <f t="shared" si="203"/>
        <v>0</v>
      </c>
      <c r="AP1488" s="289">
        <v>9690</v>
      </c>
      <c r="AQ1488" s="289">
        <f t="shared" si="204"/>
        <v>0</v>
      </c>
    </row>
    <row r="1489" spans="2:38" ht="12.75" customHeight="1">
      <c r="C1489" s="245"/>
      <c r="D1489" s="26"/>
      <c r="E1489" s="57"/>
      <c r="F1489" s="26"/>
      <c r="G1489" s="57"/>
      <c r="H1489" s="5"/>
    </row>
    <row r="1490" spans="2:38" ht="12.75" customHeight="1">
      <c r="B1490" s="212" t="str">
        <f>IF($C$1="ENG","For additonal charge:","Послуги за додаткову плату:")</f>
        <v>Послуги за додаткову плату:</v>
      </c>
      <c r="C1490" s="421"/>
      <c r="D1490" s="213"/>
      <c r="E1490" s="214"/>
      <c r="F1490" s="26"/>
      <c r="G1490" s="57"/>
      <c r="H1490" s="10"/>
      <c r="I1490" s="8"/>
      <c r="J1490" s="8"/>
      <c r="K1490" s="8"/>
    </row>
    <row r="1491" spans="2:38" ht="4.5" customHeight="1">
      <c r="B1491" s="27"/>
      <c r="C1491" s="245"/>
      <c r="D1491" s="26"/>
      <c r="E1491" s="57"/>
      <c r="F1491" s="26"/>
      <c r="G1491" s="26"/>
      <c r="H1491" s="10"/>
      <c r="I1491" s="8"/>
      <c r="J1491" s="8"/>
      <c r="K1491" s="8"/>
    </row>
    <row r="1492" spans="2:38" ht="12.75" customHeight="1">
      <c r="B1492" s="447" t="str">
        <f>IF($C$1="ENG","door leaf with width 100","полотно розміром 100")</f>
        <v>полотно розміром 100</v>
      </c>
      <c r="C1492" s="448"/>
      <c r="D1492" s="132">
        <f t="shared" ref="D1492:D1504" si="205">IF(AC1492="","",(1-$W$2)*(AC1492/1.2))</f>
        <v>600</v>
      </c>
      <c r="E1492" s="92">
        <f t="shared" ref="E1492:E1503" si="206">IF($W$5=0.2,D1492*1.2,D1492)/$W$4</f>
        <v>720</v>
      </c>
      <c r="F1492" s="26"/>
      <c r="G1492" s="26"/>
      <c r="H1492" s="10"/>
      <c r="I1492" s="8"/>
      <c r="J1492" s="8"/>
      <c r="K1492" s="8"/>
      <c r="AC1492" s="289">
        <v>720</v>
      </c>
      <c r="AD1492" s="289">
        <v>720</v>
      </c>
      <c r="AE1492" s="289"/>
      <c r="AF1492" s="289"/>
      <c r="AG1492" s="289"/>
      <c r="AH1492" s="289"/>
      <c r="AI1492" s="289"/>
      <c r="AJ1492" s="289"/>
      <c r="AK1492" s="289"/>
      <c r="AL1492" s="289"/>
    </row>
    <row r="1493" spans="2:38" ht="12.75" customHeight="1">
      <c r="B1493" s="445" t="str">
        <f>IF($C$1="ENG","Ventilation sleeves (1 row)","вентиляційні віддушини (1ряд)")</f>
        <v>вентиляційні віддушини (1ряд)</v>
      </c>
      <c r="C1493" s="446"/>
      <c r="D1493" s="133">
        <f t="shared" si="205"/>
        <v>208.33333333333334</v>
      </c>
      <c r="E1493" s="93">
        <f t="shared" si="206"/>
        <v>250</v>
      </c>
      <c r="F1493" s="26"/>
      <c r="G1493" s="26"/>
      <c r="I1493" s="11"/>
      <c r="J1493" s="11"/>
      <c r="K1493" s="11"/>
      <c r="AC1493" s="289">
        <v>250</v>
      </c>
      <c r="AD1493" s="289">
        <v>250</v>
      </c>
      <c r="AE1493" s="289"/>
      <c r="AF1493" s="289"/>
      <c r="AG1493" s="289"/>
      <c r="AH1493" s="289"/>
      <c r="AI1493" s="289"/>
      <c r="AJ1493" s="289"/>
      <c r="AK1493" s="289"/>
      <c r="AL1493" s="289"/>
    </row>
    <row r="1494" spans="2:38" ht="12.75" customHeight="1">
      <c r="B1494" s="447" t="str">
        <f>IF($C$1="ENG","Ventilation cut","вентиляційний підріз")</f>
        <v>вентиляційний підріз</v>
      </c>
      <c r="C1494" s="448"/>
      <c r="D1494" s="133">
        <f t="shared" si="205"/>
        <v>141.66666666666669</v>
      </c>
      <c r="E1494" s="66">
        <f t="shared" si="206"/>
        <v>170.00000000000003</v>
      </c>
      <c r="F1494" s="26"/>
      <c r="G1494" s="26"/>
      <c r="I1494" s="59"/>
      <c r="J1494" s="28"/>
      <c r="AC1494" s="289">
        <v>170</v>
      </c>
      <c r="AD1494" s="289">
        <v>170</v>
      </c>
      <c r="AE1494" s="289"/>
      <c r="AF1494" s="289"/>
      <c r="AG1494" s="289"/>
      <c r="AH1494" s="289"/>
      <c r="AI1494" s="289"/>
      <c r="AJ1494" s="289"/>
      <c r="AK1494" s="289"/>
      <c r="AL1494" s="289"/>
    </row>
    <row r="1495" spans="2:38" ht="12.75" customHeight="1">
      <c r="B1495" s="445" t="str">
        <f>IF($C$1="ENG","glazing Graphite / Bronze","скло Графіт / Бронза")</f>
        <v>скло Графіт / Бронза</v>
      </c>
      <c r="C1495" s="446"/>
      <c r="D1495" s="102">
        <f t="shared" si="205"/>
        <v>458.33333333333337</v>
      </c>
      <c r="E1495" s="93">
        <f t="shared" si="206"/>
        <v>550</v>
      </c>
      <c r="F1495" s="26"/>
      <c r="G1495" s="26"/>
      <c r="H1495" s="5"/>
      <c r="AC1495" s="289">
        <v>550</v>
      </c>
      <c r="AD1495" s="289">
        <v>550</v>
      </c>
      <c r="AE1495" s="289"/>
      <c r="AF1495" s="289"/>
      <c r="AG1495" s="289"/>
      <c r="AH1495" s="289"/>
      <c r="AI1495" s="289"/>
      <c r="AJ1495" s="289"/>
      <c r="AK1495" s="289"/>
      <c r="AL1495" s="289"/>
    </row>
    <row r="1496" spans="2:38" ht="12.75" customHeight="1">
      <c r="B1496" s="445" t="str">
        <f>IF($C$1="ENG","door lock Soft","замок Soft")</f>
        <v>замок Soft</v>
      </c>
      <c r="C1496" s="446"/>
      <c r="D1496" s="102">
        <f t="shared" si="205"/>
        <v>458.33333333333337</v>
      </c>
      <c r="E1496" s="93">
        <f t="shared" si="206"/>
        <v>550</v>
      </c>
      <c r="F1496" s="26"/>
      <c r="G1496" s="26"/>
      <c r="H1496" s="5"/>
      <c r="AC1496" s="289">
        <v>550</v>
      </c>
      <c r="AD1496" s="289">
        <v>550</v>
      </c>
      <c r="AE1496" s="289"/>
      <c r="AF1496" s="289"/>
      <c r="AG1496" s="289"/>
      <c r="AH1496" s="289"/>
      <c r="AI1496" s="289"/>
      <c r="AJ1496" s="289"/>
      <c r="AK1496" s="289"/>
      <c r="AL1496" s="289"/>
    </row>
    <row r="1497" spans="2:38" ht="12.75" customHeight="1">
      <c r="B1497" s="445" t="str">
        <f>IF($C$1="ENG","door lock Soft black","замок Soft чорн.")</f>
        <v>замок Soft чорн.</v>
      </c>
      <c r="C1497" s="446"/>
      <c r="D1497" s="102">
        <f t="shared" ref="D1497" si="207">IF(AC1497="","",(1-$W$2)*(AC1497/1.2))</f>
        <v>566.66666666666674</v>
      </c>
      <c r="E1497" s="93">
        <f t="shared" ref="E1497" si="208">IF($W$5=0.2,D1497*1.2,D1497)/$W$4</f>
        <v>680.00000000000011</v>
      </c>
      <c r="F1497" s="26"/>
      <c r="G1497" s="26"/>
      <c r="H1497" s="5"/>
      <c r="AC1497" s="289">
        <v>680</v>
      </c>
      <c r="AD1497" s="289"/>
      <c r="AE1497" s="289"/>
      <c r="AF1497" s="289"/>
      <c r="AG1497" s="289"/>
      <c r="AH1497" s="289"/>
      <c r="AI1497" s="289"/>
      <c r="AJ1497" s="289"/>
      <c r="AK1497" s="289"/>
      <c r="AL1497" s="289"/>
    </row>
    <row r="1498" spans="2:38" ht="12.75" customHeight="1">
      <c r="B1498" s="445" t="str">
        <f>IF($C$1="ENG","door lock Magnet","замок Magnet")</f>
        <v>замок Magnet</v>
      </c>
      <c r="C1498" s="446"/>
      <c r="D1498" s="102">
        <f t="shared" si="205"/>
        <v>666.66666666666674</v>
      </c>
      <c r="E1498" s="93">
        <f t="shared" si="206"/>
        <v>800.00000000000011</v>
      </c>
      <c r="F1498" s="26"/>
      <c r="G1498" s="26"/>
      <c r="H1498" s="5"/>
      <c r="AC1498" s="289">
        <v>800</v>
      </c>
      <c r="AD1498" s="289">
        <v>800</v>
      </c>
      <c r="AE1498" s="289"/>
      <c r="AF1498" s="289"/>
      <c r="AG1498" s="289"/>
      <c r="AH1498" s="289"/>
      <c r="AI1498" s="289"/>
      <c r="AJ1498" s="289"/>
      <c r="AK1498" s="289"/>
      <c r="AL1498" s="289"/>
    </row>
    <row r="1499" spans="2:38" ht="12.75" customHeight="1">
      <c r="B1499" s="445" t="s">
        <v>76</v>
      </c>
      <c r="C1499" s="446"/>
      <c r="D1499" s="102">
        <f t="shared" ref="D1499" si="209">IF(AC1499="","",(1-$W$2)*(AC1499/1.2))</f>
        <v>833.33333333333337</v>
      </c>
      <c r="E1499" s="93">
        <f t="shared" ref="E1499" si="210">IF($W$5=0.2,D1499*1.2,D1499)/$W$4</f>
        <v>1000</v>
      </c>
      <c r="F1499" s="26"/>
      <c r="G1499" s="26"/>
      <c r="H1499" s="5"/>
      <c r="AC1499" s="289">
        <v>1000</v>
      </c>
      <c r="AD1499" s="289"/>
      <c r="AE1499" s="289"/>
      <c r="AF1499" s="289"/>
      <c r="AG1499" s="289"/>
      <c r="AH1499" s="289"/>
      <c r="AI1499" s="289"/>
      <c r="AJ1499" s="289"/>
      <c r="AK1499" s="289"/>
      <c r="AL1499" s="289"/>
    </row>
    <row r="1500" spans="2:38" ht="12.75" customHeight="1">
      <c r="B1500" s="445" t="str">
        <f>IF($C$1="ENG","door handle-lock (for sliding doors)","ручка-замок (для дверей купе)")</f>
        <v>ручка-замок (для дверей купе)</v>
      </c>
      <c r="C1500" s="446"/>
      <c r="D1500" s="133">
        <f t="shared" si="205"/>
        <v>466.66666666666669</v>
      </c>
      <c r="E1500" s="93">
        <f t="shared" si="206"/>
        <v>560</v>
      </c>
      <c r="F1500" s="26"/>
      <c r="G1500" s="26"/>
      <c r="I1500" s="11"/>
      <c r="J1500" s="11"/>
      <c r="K1500" s="19"/>
      <c r="AC1500" s="289">
        <v>560</v>
      </c>
      <c r="AD1500" s="289">
        <v>560</v>
      </c>
      <c r="AE1500" s="289"/>
      <c r="AF1500" s="289"/>
      <c r="AG1500" s="289"/>
      <c r="AH1500" s="289"/>
      <c r="AI1500" s="289"/>
      <c r="AJ1500" s="289"/>
      <c r="AK1500" s="289"/>
      <c r="AL1500" s="289"/>
    </row>
    <row r="1501" spans="2:38" ht="12.75" customHeight="1">
      <c r="B1501" s="445" t="str">
        <f>IF($C$1="ENG","cylinder incert","циліндр несиметричний")</f>
        <v>циліндр несиметричний</v>
      </c>
      <c r="C1501" s="446"/>
      <c r="D1501" s="133">
        <f t="shared" si="205"/>
        <v>316.66666666666669</v>
      </c>
      <c r="E1501" s="93">
        <f t="shared" si="206"/>
        <v>380</v>
      </c>
      <c r="F1501" s="26"/>
      <c r="G1501" s="26"/>
      <c r="I1501" s="20"/>
      <c r="AC1501" s="289">
        <v>380</v>
      </c>
      <c r="AD1501" s="289">
        <v>380</v>
      </c>
      <c r="AE1501" s="289"/>
      <c r="AF1501" s="289"/>
      <c r="AG1501" s="289"/>
      <c r="AH1501" s="289"/>
      <c r="AI1501" s="289"/>
      <c r="AJ1501" s="289"/>
      <c r="AK1501" s="289"/>
      <c r="AL1501" s="289"/>
    </row>
    <row r="1502" spans="2:38" ht="12.75" customHeight="1">
      <c r="B1502" s="445" t="str">
        <f>IF($C$1="ENG","door hindge Prestige (1 unit)","завіса Prestige (1 шт)")</f>
        <v>завіса Prestige (1 шт)</v>
      </c>
      <c r="C1502" s="446"/>
      <c r="D1502" s="135">
        <f t="shared" si="205"/>
        <v>216.66666666666669</v>
      </c>
      <c r="E1502" s="93">
        <f t="shared" si="206"/>
        <v>260</v>
      </c>
      <c r="F1502" s="26"/>
      <c r="G1502" s="26"/>
      <c r="AC1502" s="289">
        <v>260</v>
      </c>
      <c r="AD1502" s="289">
        <v>260</v>
      </c>
      <c r="AE1502" s="289"/>
      <c r="AF1502" s="289"/>
      <c r="AG1502" s="289"/>
      <c r="AH1502" s="289"/>
      <c r="AI1502" s="289"/>
      <c r="AJ1502" s="289"/>
      <c r="AK1502" s="289"/>
      <c r="AL1502" s="289"/>
    </row>
    <row r="1503" spans="2:38" ht="12.75" customHeight="1">
      <c r="B1503" s="445" t="str">
        <f>IF($C$1="ENG","door hinge caps (1 set)","накладка на завіси (1 к-т)")</f>
        <v>накладка на завіси (1 к-т)</v>
      </c>
      <c r="C1503" s="446"/>
      <c r="D1503" s="135">
        <f t="shared" si="205"/>
        <v>66.666666666666671</v>
      </c>
      <c r="E1503" s="93">
        <f t="shared" si="206"/>
        <v>80</v>
      </c>
      <c r="F1503" s="26"/>
      <c r="G1503" s="26"/>
      <c r="AC1503" s="289">
        <v>80</v>
      </c>
      <c r="AD1503" s="289">
        <v>80</v>
      </c>
      <c r="AE1503" s="289"/>
      <c r="AF1503" s="289"/>
      <c r="AG1503" s="289"/>
      <c r="AH1503" s="289"/>
      <c r="AI1503" s="289"/>
      <c r="AJ1503" s="289"/>
      <c r="AK1503" s="289"/>
      <c r="AL1503" s="289"/>
    </row>
    <row r="1504" spans="2:38" ht="14.25" customHeight="1">
      <c r="B1504" s="445" t="str">
        <f>IF($C$1="ENG","door handle","дверна ручка")</f>
        <v>дверна ручка</v>
      </c>
      <c r="C1504" s="446"/>
      <c r="D1504" s="134" t="str">
        <f t="shared" si="205"/>
        <v/>
      </c>
      <c r="E1504" s="247" t="str">
        <f>IF($C$1="ENG","see Handles Price","див. Таблицю Ручки")</f>
        <v>див. Таблицю Ручки</v>
      </c>
      <c r="F1504" s="26"/>
      <c r="G1504" s="26"/>
      <c r="AC1504" s="298"/>
      <c r="AD1504" s="289"/>
      <c r="AE1504" s="289"/>
      <c r="AF1504" s="289"/>
      <c r="AG1504" s="289"/>
      <c r="AH1504" s="289"/>
      <c r="AI1504" s="289"/>
      <c r="AJ1504" s="289"/>
      <c r="AK1504" s="289"/>
      <c r="AL1504" s="289"/>
    </row>
    <row r="1505" spans="3:28" ht="14.25" customHeight="1">
      <c r="C1505" s="245"/>
      <c r="D1505" s="26"/>
      <c r="E1505" s="26"/>
      <c r="F1505" s="26"/>
      <c r="G1505" s="26"/>
      <c r="H1505" s="5"/>
      <c r="T1505" s="115"/>
      <c r="U1505" s="465" t="str">
        <f>IF($C$1="ENG",CONCATENATE("down to: ",B1555),CONCATENATE("вниз до: ",B1555))</f>
        <v>вниз до: Полотна збірні: ПОЛО</v>
      </c>
      <c r="V1505" s="465"/>
      <c r="W1505" s="465"/>
      <c r="X1505" s="304"/>
      <c r="Y1505" s="304"/>
      <c r="Z1505" s="304"/>
      <c r="AA1505" s="304"/>
      <c r="AB1505" s="304"/>
    </row>
    <row r="1506" spans="3:28" ht="14.25" customHeight="1">
      <c r="C1506" s="245"/>
      <c r="D1506" s="26"/>
      <c r="E1506" s="26"/>
      <c r="F1506" s="26"/>
      <c r="G1506" s="26"/>
      <c r="H1506" s="5"/>
      <c r="T1506" s="115"/>
      <c r="U1506" s="115"/>
      <c r="V1506" s="115"/>
      <c r="W1506" s="115"/>
      <c r="X1506" s="304"/>
      <c r="Y1506" s="304"/>
      <c r="Z1506" s="304"/>
      <c r="AA1506" s="304"/>
      <c r="AB1506" s="304"/>
    </row>
    <row r="1507" spans="3:28" ht="14.25" customHeight="1">
      <c r="C1507" s="245"/>
      <c r="D1507" s="26"/>
      <c r="E1507" s="26"/>
      <c r="F1507" s="26"/>
      <c r="G1507" s="26"/>
      <c r="H1507" s="5"/>
      <c r="T1507" s="115"/>
      <c r="U1507" s="115"/>
      <c r="V1507" s="115"/>
      <c r="W1507" s="115"/>
      <c r="X1507" s="304"/>
      <c r="Y1507" s="304"/>
      <c r="Z1507" s="304"/>
      <c r="AA1507" s="304"/>
      <c r="AB1507" s="304"/>
    </row>
    <row r="1508" spans="3:28" ht="14.25" customHeight="1">
      <c r="C1508" s="245"/>
      <c r="D1508" s="26"/>
      <c r="E1508" s="26"/>
      <c r="F1508" s="26"/>
      <c r="G1508" s="26"/>
      <c r="H1508" s="5"/>
      <c r="T1508" s="115"/>
      <c r="U1508" s="115"/>
      <c r="V1508" s="115"/>
      <c r="W1508" s="115"/>
      <c r="X1508" s="304"/>
      <c r="Y1508" s="304"/>
      <c r="Z1508" s="304"/>
      <c r="AA1508" s="304"/>
      <c r="AB1508" s="304"/>
    </row>
    <row r="1509" spans="3:28" ht="14.25" customHeight="1">
      <c r="C1509" s="245"/>
      <c r="D1509" s="26"/>
      <c r="E1509" s="26"/>
      <c r="F1509" s="26"/>
      <c r="G1509" s="26"/>
      <c r="H1509" s="5"/>
      <c r="T1509" s="115"/>
      <c r="U1509" s="115"/>
      <c r="V1509" s="115"/>
      <c r="W1509" s="115"/>
      <c r="X1509" s="304"/>
      <c r="Y1509" s="304"/>
      <c r="Z1509" s="304"/>
      <c r="AA1509" s="304"/>
      <c r="AB1509" s="304"/>
    </row>
    <row r="1510" spans="3:28" ht="14.25" customHeight="1">
      <c r="C1510" s="245"/>
      <c r="D1510" s="26"/>
      <c r="E1510" s="26"/>
      <c r="F1510" s="26"/>
      <c r="G1510" s="26"/>
      <c r="H1510" s="5"/>
      <c r="T1510" s="115"/>
      <c r="U1510" s="115"/>
      <c r="V1510" s="115"/>
      <c r="W1510" s="115"/>
      <c r="X1510" s="304"/>
      <c r="Y1510" s="304"/>
      <c r="Z1510" s="304"/>
      <c r="AA1510" s="304"/>
      <c r="AB1510" s="304"/>
    </row>
    <row r="1511" spans="3:28" ht="14.25" customHeight="1">
      <c r="C1511" s="245"/>
      <c r="D1511" s="26"/>
      <c r="E1511" s="26"/>
      <c r="F1511" s="26"/>
      <c r="G1511" s="26"/>
      <c r="H1511" s="5"/>
      <c r="T1511" s="115"/>
      <c r="U1511" s="115"/>
      <c r="V1511" s="115"/>
      <c r="W1511" s="115"/>
      <c r="X1511" s="304"/>
      <c r="Y1511" s="304"/>
      <c r="Z1511" s="304"/>
      <c r="AA1511" s="304"/>
      <c r="AB1511" s="304"/>
    </row>
    <row r="1512" spans="3:28" ht="14.25" customHeight="1">
      <c r="C1512" s="245"/>
      <c r="D1512" s="26"/>
      <c r="E1512" s="26"/>
      <c r="F1512" s="26"/>
      <c r="G1512" s="26"/>
      <c r="H1512" s="5"/>
      <c r="T1512" s="115"/>
      <c r="U1512" s="115"/>
      <c r="V1512" s="115"/>
      <c r="W1512" s="115"/>
      <c r="X1512" s="304"/>
      <c r="Y1512" s="304"/>
      <c r="Z1512" s="304"/>
      <c r="AA1512" s="304"/>
      <c r="AB1512" s="304"/>
    </row>
    <row r="1513" spans="3:28" ht="14.25" customHeight="1">
      <c r="C1513" s="245"/>
      <c r="D1513" s="26"/>
      <c r="E1513" s="26"/>
      <c r="F1513" s="26"/>
      <c r="G1513" s="26"/>
      <c r="H1513" s="5"/>
      <c r="T1513" s="115"/>
      <c r="U1513" s="115"/>
      <c r="V1513" s="115"/>
      <c r="W1513" s="115"/>
      <c r="X1513" s="304"/>
      <c r="Y1513" s="304"/>
      <c r="Z1513" s="304"/>
      <c r="AA1513" s="304"/>
      <c r="AB1513" s="304"/>
    </row>
    <row r="1514" spans="3:28" ht="14.25" customHeight="1">
      <c r="C1514" s="245"/>
      <c r="D1514" s="26"/>
      <c r="E1514" s="26"/>
      <c r="F1514" s="26"/>
      <c r="G1514" s="26"/>
      <c r="H1514" s="5"/>
      <c r="T1514" s="115"/>
      <c r="U1514" s="115"/>
      <c r="V1514" s="115"/>
      <c r="W1514" s="115"/>
      <c r="X1514" s="304"/>
      <c r="Y1514" s="304"/>
      <c r="Z1514" s="304"/>
      <c r="AA1514" s="304"/>
      <c r="AB1514" s="304"/>
    </row>
    <row r="1515" spans="3:28" ht="14.25" customHeight="1">
      <c r="C1515" s="245"/>
      <c r="D1515" s="26"/>
      <c r="E1515" s="26"/>
      <c r="F1515" s="26"/>
      <c r="G1515" s="26"/>
      <c r="H1515" s="5"/>
      <c r="T1515" s="115"/>
      <c r="U1515" s="115"/>
      <c r="V1515" s="115"/>
      <c r="W1515" s="115"/>
      <c r="X1515" s="304"/>
      <c r="Y1515" s="304"/>
      <c r="Z1515" s="304"/>
      <c r="AA1515" s="304"/>
      <c r="AB1515" s="304"/>
    </row>
    <row r="1516" spans="3:28" ht="14.25" customHeight="1">
      <c r="C1516" s="245"/>
      <c r="D1516" s="26"/>
      <c r="E1516" s="26"/>
      <c r="F1516" s="26"/>
      <c r="G1516" s="26"/>
      <c r="H1516" s="5"/>
      <c r="T1516" s="115"/>
      <c r="U1516" s="115"/>
      <c r="V1516" s="115"/>
      <c r="W1516" s="115"/>
      <c r="X1516" s="304"/>
      <c r="Y1516" s="304"/>
      <c r="Z1516" s="304"/>
      <c r="AA1516" s="304"/>
      <c r="AB1516" s="304"/>
    </row>
    <row r="1517" spans="3:28" ht="14.25" customHeight="1">
      <c r="C1517" s="245"/>
      <c r="D1517" s="26"/>
      <c r="E1517" s="26"/>
      <c r="F1517" s="26"/>
      <c r="G1517" s="26"/>
      <c r="H1517" s="5"/>
      <c r="T1517" s="115"/>
      <c r="U1517" s="115"/>
      <c r="V1517" s="115"/>
      <c r="W1517" s="115"/>
      <c r="X1517" s="304"/>
      <c r="Y1517" s="304"/>
      <c r="Z1517" s="304"/>
      <c r="AA1517" s="304"/>
      <c r="AB1517" s="304"/>
    </row>
    <row r="1518" spans="3:28" ht="14.25" customHeight="1">
      <c r="C1518" s="245"/>
      <c r="D1518" s="26"/>
      <c r="E1518" s="26"/>
      <c r="F1518" s="26"/>
      <c r="G1518" s="26"/>
      <c r="H1518" s="5"/>
      <c r="T1518" s="115"/>
      <c r="U1518" s="115"/>
      <c r="V1518" s="115"/>
      <c r="W1518" s="115"/>
      <c r="X1518" s="304"/>
      <c r="Y1518" s="304"/>
      <c r="Z1518" s="304"/>
      <c r="AA1518" s="304"/>
      <c r="AB1518" s="304"/>
    </row>
    <row r="1519" spans="3:28" ht="14.25" customHeight="1">
      <c r="C1519" s="245"/>
      <c r="D1519" s="26"/>
      <c r="E1519" s="26"/>
      <c r="F1519" s="26"/>
      <c r="G1519" s="26"/>
      <c r="H1519" s="5"/>
      <c r="T1519" s="115"/>
      <c r="U1519" s="115"/>
      <c r="V1519" s="115"/>
      <c r="W1519" s="115"/>
      <c r="X1519" s="304"/>
      <c r="Y1519" s="304"/>
      <c r="Z1519" s="304"/>
      <c r="AA1519" s="304"/>
      <c r="AB1519" s="304"/>
    </row>
    <row r="1520" spans="3:28" ht="14.25" customHeight="1">
      <c r="C1520" s="245"/>
      <c r="D1520" s="26"/>
      <c r="E1520" s="26"/>
      <c r="F1520" s="26"/>
      <c r="G1520" s="26"/>
      <c r="H1520" s="5"/>
      <c r="T1520" s="115"/>
      <c r="U1520" s="115"/>
      <c r="V1520" s="115"/>
      <c r="W1520" s="115"/>
      <c r="X1520" s="304"/>
      <c r="Y1520" s="304"/>
      <c r="Z1520" s="304"/>
      <c r="AA1520" s="304"/>
      <c r="AB1520" s="304"/>
    </row>
    <row r="1521" spans="3:28" ht="14.25" customHeight="1">
      <c r="C1521" s="245"/>
      <c r="D1521" s="26"/>
      <c r="E1521" s="26"/>
      <c r="F1521" s="26"/>
      <c r="G1521" s="26"/>
      <c r="H1521" s="5"/>
      <c r="T1521" s="115"/>
      <c r="U1521" s="115"/>
      <c r="V1521" s="115"/>
      <c r="W1521" s="115"/>
      <c r="X1521" s="304"/>
      <c r="Y1521" s="304"/>
      <c r="Z1521" s="304"/>
      <c r="AA1521" s="304"/>
      <c r="AB1521" s="304"/>
    </row>
    <row r="1522" spans="3:28" ht="14.25" customHeight="1">
      <c r="C1522" s="245"/>
      <c r="D1522" s="26"/>
      <c r="E1522" s="26"/>
      <c r="F1522" s="26"/>
      <c r="G1522" s="26"/>
      <c r="H1522" s="5"/>
      <c r="T1522" s="115"/>
      <c r="U1522" s="115"/>
      <c r="V1522" s="115"/>
      <c r="W1522" s="115"/>
      <c r="X1522" s="304"/>
      <c r="Y1522" s="304"/>
      <c r="Z1522" s="304"/>
      <c r="AA1522" s="304"/>
      <c r="AB1522" s="304"/>
    </row>
    <row r="1523" spans="3:28" ht="14.25" customHeight="1">
      <c r="C1523" s="245"/>
      <c r="D1523" s="26"/>
      <c r="E1523" s="26"/>
      <c r="F1523" s="26"/>
      <c r="G1523" s="26"/>
      <c r="H1523" s="5"/>
      <c r="T1523" s="115"/>
      <c r="U1523" s="115"/>
      <c r="V1523" s="115"/>
      <c r="W1523" s="115"/>
      <c r="X1523" s="304"/>
      <c r="Y1523" s="304"/>
      <c r="Z1523" s="304"/>
      <c r="AA1523" s="304"/>
      <c r="AB1523" s="304"/>
    </row>
    <row r="1524" spans="3:28" ht="14.25" customHeight="1">
      <c r="C1524" s="245"/>
      <c r="D1524" s="26"/>
      <c r="E1524" s="26"/>
      <c r="F1524" s="26"/>
      <c r="G1524" s="26"/>
      <c r="H1524" s="5"/>
      <c r="T1524" s="115"/>
      <c r="U1524" s="115"/>
      <c r="V1524" s="115"/>
      <c r="W1524" s="115"/>
      <c r="X1524" s="304"/>
      <c r="Y1524" s="304"/>
      <c r="Z1524" s="304"/>
      <c r="AA1524" s="304"/>
      <c r="AB1524" s="304"/>
    </row>
    <row r="1525" spans="3:28" ht="14.25" customHeight="1">
      <c r="C1525" s="245"/>
      <c r="D1525" s="26"/>
      <c r="E1525" s="26"/>
      <c r="F1525" s="26"/>
      <c r="G1525" s="26"/>
      <c r="H1525" s="5"/>
      <c r="T1525" s="115"/>
      <c r="U1525" s="115"/>
      <c r="V1525" s="115"/>
      <c r="W1525" s="115"/>
      <c r="X1525" s="304"/>
      <c r="Y1525" s="304"/>
      <c r="Z1525" s="304"/>
      <c r="AA1525" s="304"/>
      <c r="AB1525" s="304"/>
    </row>
    <row r="1526" spans="3:28" ht="14.25" customHeight="1">
      <c r="C1526" s="245"/>
      <c r="D1526" s="26"/>
      <c r="E1526" s="26"/>
      <c r="F1526" s="26"/>
      <c r="G1526" s="26"/>
      <c r="H1526" s="5"/>
      <c r="T1526" s="115"/>
      <c r="U1526" s="115"/>
      <c r="V1526" s="115"/>
      <c r="W1526" s="115"/>
      <c r="X1526" s="304"/>
      <c r="Y1526" s="304"/>
      <c r="Z1526" s="304"/>
      <c r="AA1526" s="304"/>
      <c r="AB1526" s="304"/>
    </row>
    <row r="1527" spans="3:28" ht="14.25" customHeight="1">
      <c r="C1527" s="245"/>
      <c r="D1527" s="26"/>
      <c r="E1527" s="26"/>
      <c r="F1527" s="26"/>
      <c r="G1527" s="26"/>
      <c r="H1527" s="5"/>
      <c r="T1527" s="115"/>
      <c r="U1527" s="115"/>
      <c r="V1527" s="115"/>
      <c r="W1527" s="115"/>
      <c r="X1527" s="304"/>
      <c r="Y1527" s="304"/>
      <c r="Z1527" s="304"/>
      <c r="AA1527" s="304"/>
      <c r="AB1527" s="304"/>
    </row>
    <row r="1528" spans="3:28" ht="14.25" customHeight="1">
      <c r="C1528" s="245"/>
      <c r="D1528" s="26"/>
      <c r="E1528" s="26"/>
      <c r="F1528" s="26"/>
      <c r="G1528" s="26"/>
      <c r="H1528" s="5"/>
      <c r="T1528" s="115"/>
      <c r="U1528" s="115"/>
      <c r="V1528" s="115"/>
      <c r="W1528" s="115"/>
      <c r="X1528" s="304"/>
      <c r="Y1528" s="304"/>
      <c r="Z1528" s="304"/>
      <c r="AA1528" s="304"/>
      <c r="AB1528" s="304"/>
    </row>
    <row r="1529" spans="3:28" ht="14.25" customHeight="1">
      <c r="C1529" s="245"/>
      <c r="D1529" s="26"/>
      <c r="E1529" s="26"/>
      <c r="F1529" s="26"/>
      <c r="G1529" s="26"/>
      <c r="H1529" s="5"/>
      <c r="T1529" s="115"/>
      <c r="U1529" s="115"/>
      <c r="V1529" s="115"/>
      <c r="W1529" s="115"/>
      <c r="X1529" s="304"/>
      <c r="Y1529" s="304"/>
      <c r="Z1529" s="304"/>
      <c r="AA1529" s="304"/>
      <c r="AB1529" s="304"/>
    </row>
    <row r="1530" spans="3:28" ht="14.25" customHeight="1">
      <c r="C1530" s="245"/>
      <c r="D1530" s="26"/>
      <c r="E1530" s="26"/>
      <c r="F1530" s="26"/>
      <c r="G1530" s="26"/>
      <c r="H1530" s="5"/>
      <c r="T1530" s="115"/>
      <c r="U1530" s="115"/>
      <c r="V1530" s="115"/>
      <c r="W1530" s="115"/>
      <c r="X1530" s="304"/>
      <c r="Y1530" s="304"/>
      <c r="Z1530" s="304"/>
      <c r="AA1530" s="304"/>
      <c r="AB1530" s="304"/>
    </row>
    <row r="1531" spans="3:28" ht="14.25" customHeight="1">
      <c r="C1531" s="245"/>
      <c r="D1531" s="26"/>
      <c r="E1531" s="26"/>
      <c r="F1531" s="26"/>
      <c r="G1531" s="26"/>
      <c r="H1531" s="5"/>
      <c r="T1531" s="115"/>
      <c r="U1531" s="115"/>
      <c r="V1531" s="115"/>
      <c r="W1531" s="115"/>
      <c r="X1531" s="304"/>
      <c r="Y1531" s="304"/>
      <c r="Z1531" s="304"/>
      <c r="AA1531" s="304"/>
      <c r="AB1531" s="304"/>
    </row>
    <row r="1532" spans="3:28" ht="14.25" customHeight="1">
      <c r="C1532" s="245"/>
      <c r="D1532" s="26"/>
      <c r="E1532" s="26"/>
      <c r="F1532" s="26"/>
      <c r="G1532" s="26"/>
      <c r="H1532" s="5"/>
      <c r="T1532" s="115"/>
      <c r="U1532" s="115"/>
      <c r="V1532" s="115"/>
      <c r="W1532" s="115"/>
      <c r="X1532" s="304"/>
      <c r="Y1532" s="304"/>
      <c r="Z1532" s="304"/>
      <c r="AA1532" s="304"/>
      <c r="AB1532" s="304"/>
    </row>
    <row r="1533" spans="3:28" ht="14.25" customHeight="1">
      <c r="C1533" s="245"/>
      <c r="D1533" s="26"/>
      <c r="E1533" s="26"/>
      <c r="F1533" s="26"/>
      <c r="G1533" s="26"/>
      <c r="H1533" s="5"/>
      <c r="T1533" s="115"/>
      <c r="U1533" s="115"/>
      <c r="V1533" s="115"/>
      <c r="W1533" s="115"/>
      <c r="X1533" s="304"/>
      <c r="Y1533" s="304"/>
      <c r="Z1533" s="304"/>
      <c r="AA1533" s="304"/>
      <c r="AB1533" s="304"/>
    </row>
    <row r="1534" spans="3:28" ht="14.25" customHeight="1">
      <c r="C1534" s="245"/>
      <c r="D1534" s="26"/>
      <c r="E1534" s="26"/>
      <c r="F1534" s="26"/>
      <c r="G1534" s="26"/>
      <c r="H1534" s="5"/>
      <c r="T1534" s="115"/>
      <c r="U1534" s="115"/>
      <c r="V1534" s="115"/>
      <c r="W1534" s="115"/>
      <c r="X1534" s="304"/>
      <c r="Y1534" s="304"/>
      <c r="Z1534" s="304"/>
      <c r="AA1534" s="304"/>
      <c r="AB1534" s="304"/>
    </row>
    <row r="1535" spans="3:28" ht="14.25" customHeight="1">
      <c r="C1535" s="245"/>
      <c r="D1535" s="26"/>
      <c r="E1535" s="26"/>
      <c r="F1535" s="26"/>
      <c r="G1535" s="26"/>
      <c r="H1535" s="5"/>
      <c r="T1535" s="115"/>
      <c r="U1535" s="115"/>
      <c r="V1535" s="115"/>
      <c r="W1535" s="115"/>
      <c r="X1535" s="304"/>
      <c r="Y1535" s="304"/>
      <c r="Z1535" s="304"/>
      <c r="AA1535" s="304"/>
      <c r="AB1535" s="304"/>
    </row>
    <row r="1536" spans="3:28" ht="14.25" customHeight="1">
      <c r="C1536" s="245"/>
      <c r="D1536" s="26"/>
      <c r="E1536" s="26"/>
      <c r="F1536" s="26"/>
      <c r="G1536" s="26"/>
      <c r="H1536" s="5"/>
      <c r="T1536" s="115"/>
      <c r="U1536" s="115"/>
      <c r="V1536" s="115"/>
      <c r="W1536" s="115"/>
      <c r="X1536" s="304"/>
      <c r="Y1536" s="304"/>
      <c r="Z1536" s="304"/>
      <c r="AA1536" s="304"/>
      <c r="AB1536" s="304"/>
    </row>
    <row r="1537" spans="3:28" ht="14.25" customHeight="1">
      <c r="C1537" s="245"/>
      <c r="D1537" s="26"/>
      <c r="E1537" s="26"/>
      <c r="F1537" s="26"/>
      <c r="G1537" s="26"/>
      <c r="H1537" s="5"/>
      <c r="T1537" s="115"/>
      <c r="U1537" s="115"/>
      <c r="V1537" s="115"/>
      <c r="W1537" s="115"/>
      <c r="X1537" s="304"/>
      <c r="Y1537" s="304"/>
      <c r="Z1537" s="304"/>
      <c r="AA1537" s="304"/>
      <c r="AB1537" s="304"/>
    </row>
    <row r="1538" spans="3:28" ht="14.25" customHeight="1">
      <c r="C1538" s="245"/>
      <c r="D1538" s="26"/>
      <c r="E1538" s="26"/>
      <c r="F1538" s="26"/>
      <c r="G1538" s="26"/>
      <c r="H1538" s="5"/>
      <c r="T1538" s="115"/>
      <c r="U1538" s="115"/>
      <c r="V1538" s="115"/>
      <c r="W1538" s="115"/>
      <c r="X1538" s="304"/>
      <c r="Y1538" s="304"/>
      <c r="Z1538" s="304"/>
      <c r="AA1538" s="304"/>
      <c r="AB1538" s="304"/>
    </row>
    <row r="1539" spans="3:28" ht="14.25" customHeight="1">
      <c r="C1539" s="245"/>
      <c r="D1539" s="26"/>
      <c r="E1539" s="26"/>
      <c r="F1539" s="26"/>
      <c r="G1539" s="26"/>
      <c r="H1539" s="5"/>
      <c r="T1539" s="115"/>
      <c r="U1539" s="115"/>
      <c r="V1539" s="115"/>
      <c r="W1539" s="115"/>
      <c r="X1539" s="304"/>
      <c r="Y1539" s="304"/>
      <c r="Z1539" s="304"/>
      <c r="AA1539" s="304"/>
      <c r="AB1539" s="304"/>
    </row>
    <row r="1540" spans="3:28" ht="14.25" customHeight="1">
      <c r="C1540" s="245"/>
      <c r="D1540" s="26"/>
      <c r="E1540" s="26"/>
      <c r="F1540" s="26"/>
      <c r="G1540" s="26"/>
      <c r="H1540" s="5"/>
      <c r="T1540" s="115"/>
      <c r="U1540" s="115"/>
      <c r="V1540" s="115"/>
      <c r="W1540" s="115"/>
      <c r="X1540" s="304"/>
      <c r="Y1540" s="304"/>
      <c r="Z1540" s="304"/>
      <c r="AA1540" s="304"/>
      <c r="AB1540" s="304"/>
    </row>
    <row r="1541" spans="3:28" ht="14.25" customHeight="1">
      <c r="C1541" s="245"/>
      <c r="D1541" s="26"/>
      <c r="E1541" s="26"/>
      <c r="F1541" s="26"/>
      <c r="G1541" s="26"/>
      <c r="H1541" s="5"/>
      <c r="T1541" s="115"/>
      <c r="U1541" s="115"/>
      <c r="V1541" s="115"/>
      <c r="W1541" s="115"/>
      <c r="X1541" s="304"/>
      <c r="Y1541" s="304"/>
      <c r="Z1541" s="304"/>
      <c r="AA1541" s="304"/>
      <c r="AB1541" s="304"/>
    </row>
    <row r="1542" spans="3:28" ht="14.25" customHeight="1">
      <c r="C1542" s="245"/>
      <c r="D1542" s="26"/>
      <c r="E1542" s="26"/>
      <c r="F1542" s="26"/>
      <c r="G1542" s="26"/>
      <c r="H1542" s="5"/>
      <c r="T1542" s="115"/>
      <c r="U1542" s="115"/>
      <c r="V1542" s="115"/>
      <c r="W1542" s="115"/>
      <c r="X1542" s="304"/>
      <c r="Y1542" s="304"/>
      <c r="Z1542" s="304"/>
      <c r="AA1542" s="304"/>
      <c r="AB1542" s="304"/>
    </row>
    <row r="1543" spans="3:28" ht="14.25" customHeight="1">
      <c r="C1543" s="245"/>
      <c r="D1543" s="26"/>
      <c r="E1543" s="26"/>
      <c r="F1543" s="26"/>
      <c r="G1543" s="26"/>
      <c r="H1543" s="5"/>
      <c r="T1543" s="115"/>
      <c r="U1543" s="115"/>
      <c r="V1543" s="115"/>
      <c r="W1543" s="115"/>
      <c r="X1543" s="304"/>
      <c r="Y1543" s="304"/>
      <c r="Z1543" s="304"/>
      <c r="AA1543" s="304"/>
      <c r="AB1543" s="304"/>
    </row>
    <row r="1544" spans="3:28" ht="14.25" customHeight="1">
      <c r="C1544" s="245"/>
      <c r="D1544" s="26"/>
      <c r="E1544" s="26"/>
      <c r="F1544" s="26"/>
      <c r="G1544" s="26"/>
      <c r="H1544" s="5"/>
      <c r="T1544" s="115"/>
      <c r="U1544" s="115"/>
      <c r="V1544" s="115"/>
      <c r="W1544" s="115"/>
      <c r="X1544" s="304"/>
      <c r="Y1544" s="304"/>
      <c r="Z1544" s="304"/>
      <c r="AA1544" s="304"/>
      <c r="AB1544" s="304"/>
    </row>
    <row r="1545" spans="3:28" ht="14.25" customHeight="1">
      <c r="C1545" s="245"/>
      <c r="D1545" s="26"/>
      <c r="E1545" s="26"/>
      <c r="F1545" s="26"/>
      <c r="G1545" s="26"/>
      <c r="H1545" s="5"/>
      <c r="T1545" s="115"/>
      <c r="U1545" s="115"/>
      <c r="V1545" s="115"/>
      <c r="W1545" s="115"/>
      <c r="X1545" s="304"/>
      <c r="Y1545" s="304"/>
      <c r="Z1545" s="304"/>
      <c r="AA1545" s="304"/>
      <c r="AB1545" s="304"/>
    </row>
    <row r="1546" spans="3:28" ht="14.25" customHeight="1">
      <c r="C1546" s="245"/>
      <c r="D1546" s="26"/>
      <c r="E1546" s="26"/>
      <c r="F1546" s="26"/>
      <c r="G1546" s="26"/>
      <c r="H1546" s="5"/>
      <c r="T1546" s="115"/>
      <c r="U1546" s="115"/>
      <c r="V1546" s="115"/>
      <c r="W1546" s="115"/>
      <c r="X1546" s="304"/>
      <c r="Y1546" s="304"/>
      <c r="Z1546" s="304"/>
      <c r="AA1546" s="304"/>
      <c r="AB1546" s="304"/>
    </row>
    <row r="1547" spans="3:28" ht="14.25" customHeight="1">
      <c r="C1547" s="245"/>
      <c r="D1547" s="26"/>
      <c r="E1547" s="26"/>
      <c r="F1547" s="26"/>
      <c r="G1547" s="26"/>
      <c r="H1547" s="5"/>
      <c r="T1547" s="115"/>
      <c r="U1547" s="115"/>
      <c r="V1547" s="115"/>
      <c r="W1547" s="115"/>
      <c r="X1547" s="304"/>
      <c r="Y1547" s="304"/>
      <c r="Z1547" s="304"/>
      <c r="AA1547" s="304"/>
      <c r="AB1547" s="304"/>
    </row>
    <row r="1548" spans="3:28" ht="14.25" customHeight="1">
      <c r="C1548" s="245"/>
      <c r="D1548" s="26"/>
      <c r="E1548" s="26"/>
      <c r="F1548" s="26"/>
      <c r="G1548" s="26"/>
      <c r="H1548" s="5"/>
      <c r="T1548" s="115"/>
      <c r="U1548" s="115"/>
      <c r="V1548" s="115"/>
      <c r="W1548" s="115"/>
      <c r="X1548" s="304"/>
      <c r="Y1548" s="304"/>
      <c r="Z1548" s="304"/>
      <c r="AA1548" s="304"/>
      <c r="AB1548" s="304"/>
    </row>
    <row r="1549" spans="3:28" ht="14.25" customHeight="1">
      <c r="C1549" s="245"/>
      <c r="D1549" s="26"/>
      <c r="E1549" s="26"/>
      <c r="F1549" s="26"/>
      <c r="G1549" s="26"/>
      <c r="H1549" s="5"/>
      <c r="T1549" s="115"/>
      <c r="U1549" s="115"/>
      <c r="V1549" s="115"/>
      <c r="W1549" s="115"/>
      <c r="X1549" s="304"/>
      <c r="Y1549" s="304"/>
      <c r="Z1549" s="304"/>
      <c r="AA1549" s="304"/>
      <c r="AB1549" s="304"/>
    </row>
    <row r="1550" spans="3:28" ht="14.25" customHeight="1">
      <c r="C1550" s="245"/>
      <c r="D1550" s="26"/>
      <c r="E1550" s="26"/>
      <c r="F1550" s="26"/>
      <c r="G1550" s="26"/>
      <c r="H1550" s="5"/>
      <c r="T1550" s="115"/>
      <c r="U1550" s="115"/>
      <c r="V1550" s="115"/>
      <c r="W1550" s="115"/>
      <c r="X1550" s="304"/>
      <c r="Y1550" s="304"/>
      <c r="Z1550" s="304"/>
      <c r="AA1550" s="304"/>
      <c r="AB1550" s="304"/>
    </row>
    <row r="1551" spans="3:28" ht="14.25" customHeight="1">
      <c r="C1551" s="245"/>
      <c r="D1551" s="26"/>
      <c r="E1551" s="26"/>
      <c r="F1551" s="26"/>
      <c r="G1551" s="26"/>
      <c r="H1551" s="5"/>
      <c r="T1551" s="115"/>
      <c r="U1551" s="115"/>
      <c r="V1551" s="115"/>
      <c r="W1551" s="115"/>
      <c r="X1551" s="304"/>
      <c r="Y1551" s="304"/>
      <c r="Z1551" s="304"/>
      <c r="AA1551" s="304"/>
      <c r="AB1551" s="304"/>
    </row>
    <row r="1552" spans="3:28" ht="14.25" customHeight="1">
      <c r="C1552" s="245"/>
      <c r="D1552" s="26"/>
      <c r="E1552" s="26"/>
      <c r="F1552" s="26"/>
      <c r="G1552" s="26"/>
      <c r="H1552" s="5"/>
      <c r="T1552" s="115"/>
      <c r="U1552" s="115"/>
      <c r="V1552" s="115"/>
      <c r="W1552" s="115"/>
      <c r="X1552" s="304"/>
      <c r="Y1552" s="304"/>
      <c r="Z1552" s="304"/>
      <c r="AA1552" s="304"/>
      <c r="AB1552" s="304"/>
    </row>
    <row r="1553" spans="1:46" ht="14.25" customHeight="1">
      <c r="C1553" s="245"/>
      <c r="D1553" s="26"/>
      <c r="E1553" s="26"/>
      <c r="F1553" s="26"/>
      <c r="G1553" s="26"/>
      <c r="H1553" s="5"/>
      <c r="T1553" s="115"/>
      <c r="U1553" s="115"/>
      <c r="V1553" s="115"/>
      <c r="W1553" s="115"/>
      <c r="X1553" s="304"/>
      <c r="Y1553" s="304"/>
      <c r="Z1553" s="304"/>
      <c r="AA1553" s="304"/>
      <c r="AB1553" s="304"/>
    </row>
    <row r="1554" spans="1:46" ht="14.25" customHeight="1">
      <c r="C1554" s="245"/>
      <c r="D1554" s="26"/>
      <c r="E1554" s="26"/>
      <c r="F1554" s="26"/>
      <c r="G1554" s="26"/>
      <c r="H1554" s="5"/>
      <c r="T1554" s="115"/>
      <c r="U1554" s="115"/>
      <c r="V1554" s="115"/>
      <c r="W1554" s="115"/>
      <c r="X1554" s="304"/>
      <c r="Y1554" s="304"/>
      <c r="Z1554" s="304"/>
      <c r="AA1554" s="304"/>
      <c r="AB1554" s="304"/>
    </row>
    <row r="1555" spans="1:46" s="8" customFormat="1">
      <c r="B1555" s="451" t="str">
        <f>TITLE!C29</f>
        <v>Полотна збірні: ПОЛО</v>
      </c>
      <c r="C1555" s="451"/>
      <c r="D1555" s="118"/>
      <c r="E1555" s="118"/>
      <c r="F1555" s="118"/>
      <c r="G1555" s="118"/>
      <c r="H1555" s="455"/>
      <c r="I1555" s="455"/>
      <c r="J1555" s="121"/>
      <c r="K1555" s="121"/>
      <c r="L1555" s="121"/>
      <c r="M1555" s="121"/>
      <c r="N1555" s="121"/>
      <c r="O1555" s="121"/>
      <c r="P1555" s="121"/>
      <c r="Q1555" s="121"/>
      <c r="R1555" s="121"/>
      <c r="S1555" s="121"/>
      <c r="T1555" s="462" t="str">
        <f>IF($C$1="ENG",CONCATENATE("up to: ",B1481),CONCATENATE("вгору до: ",B1481))</f>
        <v>вгору до: Полотна збірні: МОДЕРН</v>
      </c>
      <c r="U1555" s="462"/>
      <c r="V1555" s="462"/>
      <c r="W1555" s="462"/>
      <c r="AG1555" s="289">
        <f>AB1555/100*12+AB1555</f>
        <v>0</v>
      </c>
      <c r="AH1555" s="289" t="e">
        <f>AG1555/AB1555-1</f>
        <v>#DIV/0!</v>
      </c>
      <c r="AN1555" s="280"/>
      <c r="AO1555" s="280"/>
      <c r="AP1555" s="280"/>
      <c r="AQ1555" s="280"/>
      <c r="AR1555" s="280"/>
      <c r="AS1555" s="280"/>
      <c r="AT1555" s="280"/>
    </row>
    <row r="1556" spans="1:46" s="8" customFormat="1" ht="5.0999999999999996" customHeight="1">
      <c r="B1556" s="117"/>
      <c r="C1556" s="420"/>
      <c r="D1556" s="9"/>
      <c r="E1556" s="9"/>
      <c r="F1556" s="9"/>
      <c r="G1556" s="9"/>
      <c r="H1556" s="120"/>
      <c r="I1556" s="120"/>
      <c r="J1556" s="1"/>
      <c r="K1556" s="1"/>
      <c r="T1556" s="115"/>
      <c r="U1556" s="115"/>
      <c r="V1556" s="115"/>
      <c r="W1556" s="115"/>
      <c r="AN1556" s="280"/>
      <c r="AO1556" s="280"/>
      <c r="AP1556" s="280"/>
      <c r="AQ1556" s="280"/>
      <c r="AR1556" s="280"/>
      <c r="AS1556" s="280"/>
      <c r="AT1556" s="280"/>
    </row>
    <row r="1557" spans="1:46" s="8" customFormat="1" ht="12.75" customHeight="1">
      <c r="B1557" s="452" t="str">
        <f>IF($C$1="ENG","model","модель")</f>
        <v>модель</v>
      </c>
      <c r="C1557" s="122" t="str">
        <f>IF($C$1="ENG","cover:","покриття:")</f>
        <v>покриття:</v>
      </c>
      <c r="D1557" s="458" t="str">
        <f>IF($C$1="ENG","Verto-CELL","Verto-CELL")</f>
        <v>Verto-CELL</v>
      </c>
      <c r="E1557" s="459"/>
      <c r="F1557" s="458" t="str">
        <f>IF($C$1="ENG","UNI-MAT","UNI-MAT")</f>
        <v>UNI-MAT</v>
      </c>
      <c r="G1557" s="459"/>
      <c r="H1557" s="458" t="str">
        <f>IF($C$1="ENG","RESIST","RESIST")</f>
        <v>RESIST</v>
      </c>
      <c r="I1557" s="459"/>
      <c r="J1557" s="458" t="str">
        <f>IF($C$1="ENG","Verto LINE-3D","Verto LINE-3D")</f>
        <v>Verto LINE-3D</v>
      </c>
      <c r="K1557" s="459"/>
      <c r="L1557" s="458" t="str">
        <f>IF($C$1="ENG","ECO Shpon","ЕКО Шпон")</f>
        <v>ЕКО Шпон</v>
      </c>
      <c r="M1557" s="459"/>
      <c r="P1557" s="20"/>
      <c r="Q1557" s="20"/>
      <c r="T1557" s="115"/>
      <c r="U1557" s="115"/>
      <c r="V1557" s="115"/>
      <c r="W1557" s="115"/>
      <c r="AN1557" s="280"/>
      <c r="AO1557" s="280"/>
      <c r="AP1557" s="280"/>
      <c r="AQ1557" s="280"/>
      <c r="AR1557" s="280"/>
      <c r="AS1557" s="280"/>
      <c r="AT1557" s="280"/>
    </row>
    <row r="1558" spans="1:46" s="8" customFormat="1" ht="24" customHeight="1">
      <c r="B1558" s="453"/>
      <c r="C1558" s="123" t="str">
        <f>IF($C$1="ENG","filling:","заповнення:")</f>
        <v>заповнення:</v>
      </c>
      <c r="D1558" s="460" t="str">
        <f>IF($C$1="ENG","softwood","клеєний сосновий брус")</f>
        <v>клеєний сосновий брус</v>
      </c>
      <c r="E1558" s="461"/>
      <c r="F1558" s="460" t="str">
        <f>IF($C$1="ENG","softwood","клеєний сосновий брус")</f>
        <v>клеєний сосновий брус</v>
      </c>
      <c r="G1558" s="461"/>
      <c r="H1558" s="460" t="str">
        <f>IF($C$1="ENG","softwood","клеєний сосновий брус")</f>
        <v>клеєний сосновий брус</v>
      </c>
      <c r="I1558" s="461"/>
      <c r="J1558" s="460" t="str">
        <f>IF($C$1="ENG","softwood","клеєний сосновий брус")</f>
        <v>клеєний сосновий брус</v>
      </c>
      <c r="K1558" s="461"/>
      <c r="L1558" s="460" t="str">
        <f>IF($C$1="ENG","softwood","клеєний сосновий брус")</f>
        <v>клеєний сосновий брус</v>
      </c>
      <c r="M1558" s="461"/>
      <c r="P1558" s="20"/>
      <c r="Q1558" s="20"/>
      <c r="T1558" s="115"/>
      <c r="U1558" s="115"/>
      <c r="V1558" s="115"/>
      <c r="W1558" s="115"/>
      <c r="AD1558" s="383">
        <f>AD1560/AC1560-1</f>
        <v>0.11024844720496896</v>
      </c>
      <c r="AE1558" s="383">
        <f>AE1560/AD1560-1</f>
        <v>4.8951048951048959E-2</v>
      </c>
      <c r="AF1558" s="383">
        <f>AF1560/AE1560-1</f>
        <v>8.1333333333333258E-2</v>
      </c>
      <c r="AG1558" s="383">
        <f>AG1560/AF1560-1</f>
        <v>5.3020961775585684E-2</v>
      </c>
      <c r="AN1558" s="280"/>
      <c r="AO1558" s="280"/>
      <c r="AP1558" s="280"/>
      <c r="AQ1558" s="280"/>
      <c r="AR1558" s="280"/>
      <c r="AS1558" s="280"/>
      <c r="AT1558" s="280"/>
    </row>
    <row r="1559" spans="1:46" ht="12.75" customHeight="1">
      <c r="A1559" s="8"/>
      <c r="B1559" s="454"/>
      <c r="C1559" s="124" t="str">
        <f>IF($C$1="ENG","glazing:","скління:")</f>
        <v>скління:</v>
      </c>
      <c r="D1559" s="449" t="str">
        <f>IF($C$1="ENG","Satin","Сатин")</f>
        <v>Сатин</v>
      </c>
      <c r="E1559" s="450"/>
      <c r="F1559" s="449" t="str">
        <f>IF($C$1="ENG","Satin","Сатин")</f>
        <v>Сатин</v>
      </c>
      <c r="G1559" s="450"/>
      <c r="H1559" s="449" t="str">
        <f>IF($C$1="ENG","Satin","Сатин")</f>
        <v>Сатин</v>
      </c>
      <c r="I1559" s="450"/>
      <c r="J1559" s="449" t="str">
        <f>IF($C$1="ENG","Satin","Сатин")</f>
        <v>Сатин</v>
      </c>
      <c r="K1559" s="450"/>
      <c r="L1559" s="449" t="str">
        <f>IF($C$1="ENG","Satin","Сатин")</f>
        <v>Сатин</v>
      </c>
      <c r="M1559" s="450"/>
      <c r="N1559" s="11"/>
      <c r="O1559" s="11"/>
      <c r="P1559" s="20"/>
      <c r="Q1559" s="20"/>
      <c r="R1559" s="11"/>
      <c r="S1559" s="11"/>
      <c r="T1559" s="11"/>
    </row>
    <row r="1560" spans="1:46" ht="35.1" customHeight="1">
      <c r="A1560" s="8"/>
      <c r="B1560" s="13" t="s">
        <v>32</v>
      </c>
      <c r="C1560" s="14"/>
      <c r="D1560" s="15">
        <f>IF(AC1560="","",(1-$W$2)*(AC1560/1.2))</f>
        <v>5366.666666666667</v>
      </c>
      <c r="E1560" s="64">
        <f>IF($W$5=0.2,D1560*1.2,D1560)/$W$4</f>
        <v>6440</v>
      </c>
      <c r="F1560" s="15">
        <f>IF(AD1560="","",(1-$W$2)*(AD1560/1.2))</f>
        <v>5958.3333333333339</v>
      </c>
      <c r="G1560" s="64">
        <f>IF($W$5=0.2,F1560*1.2,F1560)/$W$4</f>
        <v>7150.0000000000009</v>
      </c>
      <c r="H1560" s="15">
        <f>IF(AE1560="","",(1-$W$2)*(AE1560/1.2))</f>
        <v>6250</v>
      </c>
      <c r="I1560" s="64">
        <f>IF($W$5=0.2,H1560*1.2,H1560)/$W$4</f>
        <v>7500</v>
      </c>
      <c r="J1560" s="15">
        <f>IF(AF1560="","",(1-$W$2)*(AF1560/1.2))</f>
        <v>6758.3333333333339</v>
      </c>
      <c r="K1560" s="64">
        <f>IF($W$5=0.2,J1560*1.2,J1560)/$W$4</f>
        <v>8110</v>
      </c>
      <c r="L1560" s="15">
        <f>IF(AG1560="","",(1-$W$2)*(AG1560/1.2))</f>
        <v>7116.666666666667</v>
      </c>
      <c r="M1560" s="64">
        <f>IF($W$5=0.2,L1560*1.2,L1560)/$W$4</f>
        <v>8540</v>
      </c>
      <c r="N1560" s="104"/>
      <c r="O1560" s="20"/>
      <c r="P1560" s="20"/>
      <c r="Q1560" s="20"/>
      <c r="R1560" s="104"/>
      <c r="S1560" s="20"/>
      <c r="T1560" s="104"/>
      <c r="U1560" s="20"/>
      <c r="V1560" s="104"/>
      <c r="W1560" s="20"/>
      <c r="X1560" s="22"/>
      <c r="Y1560" s="22"/>
      <c r="Z1560" s="22"/>
      <c r="AA1560" s="22"/>
      <c r="AB1560" s="22"/>
      <c r="AC1560" s="332">
        <v>6440</v>
      </c>
      <c r="AD1560" s="391">
        <v>7150</v>
      </c>
      <c r="AE1560" s="332">
        <v>7500</v>
      </c>
      <c r="AF1560" s="332">
        <v>8110</v>
      </c>
      <c r="AG1560" s="332">
        <v>8540</v>
      </c>
      <c r="AH1560" s="289">
        <v>6440</v>
      </c>
      <c r="AI1560" s="289">
        <f>AH1560/AC1560-1</f>
        <v>0</v>
      </c>
      <c r="AJ1560" s="289">
        <v>7150</v>
      </c>
      <c r="AK1560" s="289">
        <f>AJ1560/AD1560-1</f>
        <v>0</v>
      </c>
      <c r="AL1560" s="289">
        <v>7500</v>
      </c>
      <c r="AM1560" s="289">
        <f>AL1560/AE1560-1</f>
        <v>0</v>
      </c>
      <c r="AN1560" s="289">
        <v>8110</v>
      </c>
      <c r="AO1560" s="289">
        <f>AN1560/AF1560-1</f>
        <v>0</v>
      </c>
      <c r="AP1560" s="289">
        <v>8540</v>
      </c>
      <c r="AQ1560" s="289">
        <f>AP1560/AG1560-1</f>
        <v>0</v>
      </c>
    </row>
    <row r="1561" spans="1:46" ht="35.1" customHeight="1">
      <c r="A1561" s="8"/>
      <c r="B1561" s="16" t="s">
        <v>15</v>
      </c>
      <c r="C1561" s="17"/>
      <c r="D1561" s="18">
        <f>IF(AC1561="","",(1-$W$2)*(AC1561/1.2))</f>
        <v>4983.3333333333339</v>
      </c>
      <c r="E1561" s="66">
        <f>IF($W$5=0.2,D1561*1.2,D1561)/$W$4</f>
        <v>5980.0000000000009</v>
      </c>
      <c r="F1561" s="18">
        <f>IF(AD1561="","",(1-$W$2)*(AD1561/1.2))</f>
        <v>5533.3333333333339</v>
      </c>
      <c r="G1561" s="66">
        <f>IF($W$5=0.2,F1561*1.2,F1561)/$W$4</f>
        <v>6640.0000000000009</v>
      </c>
      <c r="H1561" s="18">
        <f>IF(AE1561="","",(1-$W$2)*(AE1561/1.2))</f>
        <v>5750</v>
      </c>
      <c r="I1561" s="66">
        <f>IF($W$5=0.2,H1561*1.2,H1561)/$W$4</f>
        <v>6900</v>
      </c>
      <c r="J1561" s="18">
        <f>IF(AF1561="","",(1-$W$2)*(AF1561/1.2))</f>
        <v>6225</v>
      </c>
      <c r="K1561" s="66">
        <f>IF($W$5=0.2,J1561*1.2,J1561)/$W$4</f>
        <v>7470</v>
      </c>
      <c r="L1561" s="18">
        <f>IF(AG1561="","",(1-$W$2)*(AG1561/1.2))</f>
        <v>6525</v>
      </c>
      <c r="M1561" s="66">
        <f>IF($W$5=0.2,L1561*1.2,L1561)/$W$4</f>
        <v>7830</v>
      </c>
      <c r="N1561" s="104"/>
      <c r="O1561" s="20"/>
      <c r="P1561" s="20"/>
      <c r="Q1561" s="20"/>
      <c r="R1561" s="104"/>
      <c r="S1561" s="20"/>
      <c r="T1561" s="104"/>
      <c r="U1561" s="20"/>
      <c r="V1561" s="104"/>
      <c r="W1561" s="20"/>
      <c r="X1561" s="22"/>
      <c r="Y1561" s="22"/>
      <c r="Z1561" s="22"/>
      <c r="AA1561" s="22"/>
      <c r="AB1561" s="22"/>
      <c r="AC1561" s="332">
        <v>5980</v>
      </c>
      <c r="AD1561" s="391">
        <v>6640</v>
      </c>
      <c r="AE1561" s="332">
        <v>6900</v>
      </c>
      <c r="AF1561" s="332">
        <v>7470</v>
      </c>
      <c r="AG1561" s="332">
        <v>7830</v>
      </c>
      <c r="AH1561" s="289">
        <v>5980</v>
      </c>
      <c r="AI1561" s="289">
        <f t="shared" ref="AI1561:AI1563" si="211">AH1561/AC1561-1</f>
        <v>0</v>
      </c>
      <c r="AJ1561" s="289">
        <v>6640</v>
      </c>
      <c r="AK1561" s="289">
        <f t="shared" ref="AK1561:AK1563" si="212">AJ1561/AD1561-1</f>
        <v>0</v>
      </c>
      <c r="AL1561" s="289">
        <v>6900</v>
      </c>
      <c r="AM1561" s="289">
        <f t="shared" ref="AM1561:AM1563" si="213">AL1561/AE1561-1</f>
        <v>0</v>
      </c>
      <c r="AN1561" s="289">
        <v>7470</v>
      </c>
      <c r="AO1561" s="289">
        <f t="shared" ref="AO1561:AO1563" si="214">AN1561/AF1561-1</f>
        <v>0</v>
      </c>
      <c r="AP1561" s="289">
        <v>7830</v>
      </c>
      <c r="AQ1561" s="289">
        <f t="shared" ref="AQ1561:AQ1563" si="215">AP1561/AG1561-1</f>
        <v>0</v>
      </c>
    </row>
    <row r="1562" spans="1:46" ht="35.1" customHeight="1">
      <c r="A1562" s="8"/>
      <c r="B1562" s="16" t="s">
        <v>16</v>
      </c>
      <c r="C1562" s="17"/>
      <c r="D1562" s="18">
        <f>IF(AC1562="","",(1-$W$2)*(AC1562/1.2))</f>
        <v>4650</v>
      </c>
      <c r="E1562" s="66">
        <f>IF($W$5=0.2,D1562*1.2,D1562)/$W$4</f>
        <v>5580</v>
      </c>
      <c r="F1562" s="18">
        <f>IF(AD1562="","",(1-$W$2)*(AD1562/1.2))</f>
        <v>5158.3333333333339</v>
      </c>
      <c r="G1562" s="66">
        <f>IF($W$5=0.2,F1562*1.2,F1562)/$W$4</f>
        <v>6190.0000000000009</v>
      </c>
      <c r="H1562" s="18">
        <f>IF(AE1562="","",(1-$W$2)*(AE1562/1.2))</f>
        <v>5283.3333333333339</v>
      </c>
      <c r="I1562" s="66">
        <f>IF($W$5=0.2,H1562*1.2,H1562)/$W$4</f>
        <v>6340.0000000000009</v>
      </c>
      <c r="J1562" s="18">
        <f>IF(AF1562="","",(1-$W$2)*(AF1562/1.2))</f>
        <v>5741.666666666667</v>
      </c>
      <c r="K1562" s="66">
        <f>IF($W$5=0.2,J1562*1.2,J1562)/$W$4</f>
        <v>6890</v>
      </c>
      <c r="L1562" s="18">
        <f>IF(AG1562="","",(1-$W$2)*(AG1562/1.2))</f>
        <v>6025</v>
      </c>
      <c r="M1562" s="66">
        <f>IF($W$5=0.2,L1562*1.2,L1562)/$W$4</f>
        <v>7230</v>
      </c>
      <c r="N1562" s="104"/>
      <c r="O1562" s="20"/>
      <c r="P1562" s="20"/>
      <c r="Q1562" s="20"/>
      <c r="R1562" s="104"/>
      <c r="S1562" s="20"/>
      <c r="T1562" s="104"/>
      <c r="U1562" s="20"/>
      <c r="V1562" s="104"/>
      <c r="W1562" s="20"/>
      <c r="X1562" s="22"/>
      <c r="Y1562" s="22"/>
      <c r="Z1562" s="22"/>
      <c r="AA1562" s="22"/>
      <c r="AB1562" s="22"/>
      <c r="AC1562" s="332">
        <v>5580</v>
      </c>
      <c r="AD1562" s="391">
        <v>6190</v>
      </c>
      <c r="AE1562" s="332">
        <v>6340</v>
      </c>
      <c r="AF1562" s="332">
        <v>6890</v>
      </c>
      <c r="AG1562" s="332">
        <v>7230</v>
      </c>
      <c r="AH1562" s="289">
        <v>5580</v>
      </c>
      <c r="AI1562" s="289">
        <f t="shared" si="211"/>
        <v>0</v>
      </c>
      <c r="AJ1562" s="289">
        <v>6190</v>
      </c>
      <c r="AK1562" s="289">
        <f t="shared" si="212"/>
        <v>0</v>
      </c>
      <c r="AL1562" s="289">
        <v>6340</v>
      </c>
      <c r="AM1562" s="289">
        <f t="shared" si="213"/>
        <v>0</v>
      </c>
      <c r="AN1562" s="289">
        <v>6890</v>
      </c>
      <c r="AO1562" s="289">
        <f t="shared" si="214"/>
        <v>0</v>
      </c>
      <c r="AP1562" s="289">
        <v>7230</v>
      </c>
      <c r="AQ1562" s="289">
        <f t="shared" si="215"/>
        <v>0</v>
      </c>
    </row>
    <row r="1563" spans="1:46" ht="35.1" customHeight="1">
      <c r="A1563" s="8"/>
      <c r="B1563" s="23" t="s">
        <v>14</v>
      </c>
      <c r="C1563" s="24"/>
      <c r="D1563" s="25">
        <f>IF(AC1563="","",(1-$W$2)*(AC1563/1.2))</f>
        <v>4983.3333333333339</v>
      </c>
      <c r="E1563" s="69">
        <f>IF($W$5=0.2,D1563*1.2,D1563)/$W$4</f>
        <v>5980.0000000000009</v>
      </c>
      <c r="F1563" s="25">
        <f>IF(AD1563="","",(1-$W$2)*(AD1563/1.2))</f>
        <v>5533.3333333333339</v>
      </c>
      <c r="G1563" s="69">
        <f>IF($W$5=0.2,F1563*1.2,F1563)/$W$4</f>
        <v>6640.0000000000009</v>
      </c>
      <c r="H1563" s="25">
        <f>IF(AE1563="","",(1-$W$2)*(AE1563/1.2))</f>
        <v>5750</v>
      </c>
      <c r="I1563" s="69">
        <f>IF($W$5=0.2,H1563*1.2,H1563)/$W$4</f>
        <v>6900</v>
      </c>
      <c r="J1563" s="25">
        <f>IF(AF1563="","",(1-$W$2)*(AF1563/1.2))</f>
        <v>6225</v>
      </c>
      <c r="K1563" s="69">
        <f>IF($W$5=0.2,J1563*1.2,J1563)/$W$4</f>
        <v>7470</v>
      </c>
      <c r="L1563" s="25">
        <f>IF(AG1563="","",(1-$W$2)*(AG1563/1.2))</f>
        <v>6525</v>
      </c>
      <c r="M1563" s="69">
        <f>IF($W$5=0.2,L1563*1.2,L1563)/$W$4</f>
        <v>7830</v>
      </c>
      <c r="N1563" s="104"/>
      <c r="O1563" s="20"/>
      <c r="P1563" s="20"/>
      <c r="Q1563" s="20"/>
      <c r="R1563" s="104"/>
      <c r="S1563" s="20"/>
      <c r="T1563" s="104"/>
      <c r="U1563" s="20"/>
      <c r="V1563" s="104"/>
      <c r="W1563" s="20"/>
      <c r="X1563" s="22"/>
      <c r="Y1563" s="22"/>
      <c r="Z1563" s="22"/>
      <c r="AA1563" s="22"/>
      <c r="AB1563" s="22"/>
      <c r="AC1563" s="332">
        <v>5980</v>
      </c>
      <c r="AD1563" s="391">
        <v>6640</v>
      </c>
      <c r="AE1563" s="332">
        <v>6900</v>
      </c>
      <c r="AF1563" s="332">
        <v>7470</v>
      </c>
      <c r="AG1563" s="332">
        <v>7830</v>
      </c>
      <c r="AH1563" s="289">
        <v>5980</v>
      </c>
      <c r="AI1563" s="289">
        <f t="shared" si="211"/>
        <v>0</v>
      </c>
      <c r="AJ1563" s="289">
        <v>6640</v>
      </c>
      <c r="AK1563" s="289">
        <f t="shared" si="212"/>
        <v>0</v>
      </c>
      <c r="AL1563" s="289">
        <v>6900</v>
      </c>
      <c r="AM1563" s="289">
        <f t="shared" si="213"/>
        <v>0</v>
      </c>
      <c r="AN1563" s="289">
        <v>7470</v>
      </c>
      <c r="AO1563" s="289">
        <f t="shared" si="214"/>
        <v>0</v>
      </c>
      <c r="AP1563" s="289">
        <v>7830</v>
      </c>
      <c r="AQ1563" s="289">
        <f t="shared" si="215"/>
        <v>0</v>
      </c>
    </row>
    <row r="1564" spans="1:46">
      <c r="C1564" s="245"/>
      <c r="D1564" s="26"/>
      <c r="E1564" s="57"/>
      <c r="F1564" s="26"/>
      <c r="G1564" s="57"/>
      <c r="H1564" s="5"/>
      <c r="P1564" s="20"/>
      <c r="Q1564" s="20"/>
    </row>
    <row r="1565" spans="1:46">
      <c r="B1565" s="212" t="str">
        <f>IF($C$1="ENG","For additonal charge:","Послуги за додаткову плату:")</f>
        <v>Послуги за додаткову плату:</v>
      </c>
      <c r="C1565" s="421"/>
      <c r="D1565" s="213"/>
      <c r="E1565" s="214"/>
      <c r="F1565" s="26"/>
      <c r="G1565" s="57"/>
      <c r="H1565" s="10"/>
      <c r="I1565" s="8"/>
      <c r="J1565" s="8"/>
      <c r="K1565" s="8"/>
    </row>
    <row r="1566" spans="1:46" ht="5.0999999999999996" customHeight="1">
      <c r="B1566" s="27"/>
      <c r="C1566" s="245"/>
      <c r="D1566" s="26"/>
      <c r="E1566" s="57"/>
      <c r="F1566" s="26"/>
      <c r="G1566" s="26"/>
      <c r="H1566" s="10"/>
      <c r="I1566" s="8"/>
      <c r="J1566" s="8"/>
      <c r="K1566" s="8"/>
    </row>
    <row r="1567" spans="1:46">
      <c r="B1567" s="447" t="str">
        <f>IF($C$1="ENG","door leaf with width 100","полотно розміром 100")</f>
        <v>полотно розміром 100</v>
      </c>
      <c r="C1567" s="448"/>
      <c r="D1567" s="132">
        <f t="shared" ref="D1567:D1579" si="216">IF(AC1567="","",(1-$W$2)*(AC1567/1.2))</f>
        <v>600</v>
      </c>
      <c r="E1567" s="92">
        <f t="shared" ref="E1567:E1578" si="217">IF($W$5=0.2,D1567*1.2,D1567)/$W$4</f>
        <v>720</v>
      </c>
      <c r="F1567" s="26"/>
      <c r="G1567" s="26"/>
      <c r="H1567" s="10"/>
      <c r="I1567" s="8"/>
      <c r="J1567" s="8"/>
      <c r="K1567" s="8"/>
      <c r="AC1567" s="289">
        <v>720</v>
      </c>
      <c r="AD1567" s="289">
        <v>720</v>
      </c>
      <c r="AE1567" s="289"/>
      <c r="AF1567" s="289"/>
      <c r="AG1567" s="289"/>
      <c r="AH1567" s="289"/>
      <c r="AI1567" s="289"/>
      <c r="AJ1567" s="289"/>
      <c r="AK1567" s="289"/>
      <c r="AL1567" s="289"/>
    </row>
    <row r="1568" spans="1:46">
      <c r="B1568" s="445" t="str">
        <f>IF($C$1="ENG","Ventilation sleeves (1 row)","вентиляційні віддушини (1ряд)")</f>
        <v>вентиляційні віддушини (1ряд)</v>
      </c>
      <c r="C1568" s="446"/>
      <c r="D1568" s="133">
        <f t="shared" si="216"/>
        <v>208.33333333333334</v>
      </c>
      <c r="E1568" s="93">
        <f t="shared" si="217"/>
        <v>250</v>
      </c>
      <c r="F1568" s="26"/>
      <c r="G1568" s="26"/>
      <c r="I1568" s="11"/>
      <c r="J1568" s="11"/>
      <c r="K1568" s="11"/>
      <c r="AC1568" s="289">
        <v>250</v>
      </c>
      <c r="AD1568" s="289">
        <v>250</v>
      </c>
      <c r="AE1568" s="289"/>
      <c r="AF1568" s="289"/>
      <c r="AG1568" s="289"/>
      <c r="AH1568" s="289"/>
      <c r="AI1568" s="289"/>
      <c r="AJ1568" s="289"/>
      <c r="AK1568" s="289"/>
      <c r="AL1568" s="289"/>
    </row>
    <row r="1569" spans="2:38">
      <c r="B1569" s="447" t="str">
        <f>IF($C$1="ENG","Ventilation cut","вентиляційний підріз")</f>
        <v>вентиляційний підріз</v>
      </c>
      <c r="C1569" s="448"/>
      <c r="D1569" s="133">
        <f t="shared" si="216"/>
        <v>141.66666666666669</v>
      </c>
      <c r="E1569" s="66">
        <f t="shared" si="217"/>
        <v>170.00000000000003</v>
      </c>
      <c r="F1569" s="26"/>
      <c r="G1569" s="26"/>
      <c r="I1569" s="59"/>
      <c r="J1569" s="28"/>
      <c r="AC1569" s="289">
        <v>170</v>
      </c>
      <c r="AD1569" s="289">
        <v>170</v>
      </c>
      <c r="AE1569" s="289"/>
      <c r="AF1569" s="289"/>
      <c r="AG1569" s="289"/>
      <c r="AH1569" s="289"/>
      <c r="AI1569" s="289"/>
      <c r="AJ1569" s="289"/>
      <c r="AK1569" s="289"/>
      <c r="AL1569" s="289"/>
    </row>
    <row r="1570" spans="2:38">
      <c r="B1570" s="445" t="str">
        <f>IF($C$1="ENG","glazing Graphite / Bronze","скло Графіт / Бронза")</f>
        <v>скло Графіт / Бронза</v>
      </c>
      <c r="C1570" s="446"/>
      <c r="D1570" s="102">
        <f t="shared" si="216"/>
        <v>458.33333333333337</v>
      </c>
      <c r="E1570" s="93">
        <f t="shared" si="217"/>
        <v>550</v>
      </c>
      <c r="F1570" s="26"/>
      <c r="G1570" s="26"/>
      <c r="H1570" s="5"/>
      <c r="AC1570" s="289">
        <v>550</v>
      </c>
      <c r="AD1570" s="289">
        <v>550</v>
      </c>
      <c r="AE1570" s="289"/>
      <c r="AF1570" s="289"/>
      <c r="AG1570" s="289"/>
      <c r="AH1570" s="289"/>
      <c r="AI1570" s="289"/>
      <c r="AJ1570" s="289"/>
      <c r="AK1570" s="289"/>
      <c r="AL1570" s="289"/>
    </row>
    <row r="1571" spans="2:38">
      <c r="B1571" s="445" t="str">
        <f>IF($C$1="ENG","door lock Soft","замок Soft")</f>
        <v>замок Soft</v>
      </c>
      <c r="C1571" s="446"/>
      <c r="D1571" s="102">
        <f t="shared" si="216"/>
        <v>458.33333333333337</v>
      </c>
      <c r="E1571" s="93">
        <f t="shared" si="217"/>
        <v>550</v>
      </c>
      <c r="F1571" s="26"/>
      <c r="G1571" s="26"/>
      <c r="H1571" s="5"/>
      <c r="AC1571" s="289">
        <v>550</v>
      </c>
      <c r="AD1571" s="289">
        <v>550</v>
      </c>
      <c r="AE1571" s="289"/>
      <c r="AF1571" s="289"/>
      <c r="AG1571" s="289"/>
      <c r="AH1571" s="289"/>
      <c r="AI1571" s="289"/>
      <c r="AJ1571" s="289"/>
      <c r="AK1571" s="289"/>
      <c r="AL1571" s="289"/>
    </row>
    <row r="1572" spans="2:38">
      <c r="B1572" s="445" t="str">
        <f>IF($C$1="ENG","door lock Soft black","замок Soft чорн.")</f>
        <v>замок Soft чорн.</v>
      </c>
      <c r="C1572" s="446"/>
      <c r="D1572" s="102">
        <f t="shared" ref="D1572" si="218">IF(AC1572="","",(1-$W$2)*(AC1572/1.2))</f>
        <v>566.66666666666674</v>
      </c>
      <c r="E1572" s="93">
        <f t="shared" ref="E1572" si="219">IF($W$5=0.2,D1572*1.2,D1572)/$W$4</f>
        <v>680.00000000000011</v>
      </c>
      <c r="F1572" s="26"/>
      <c r="G1572" s="26"/>
      <c r="H1572" s="5"/>
      <c r="AC1572" s="289">
        <v>680</v>
      </c>
      <c r="AD1572" s="289"/>
      <c r="AE1572" s="289"/>
      <c r="AF1572" s="289"/>
      <c r="AG1572" s="289"/>
      <c r="AH1572" s="289"/>
      <c r="AI1572" s="289"/>
      <c r="AJ1572" s="289"/>
      <c r="AK1572" s="289"/>
      <c r="AL1572" s="289"/>
    </row>
    <row r="1573" spans="2:38">
      <c r="B1573" s="445" t="str">
        <f>IF($C$1="ENG","door lock Magnet","замок Magnet")</f>
        <v>замок Magnet</v>
      </c>
      <c r="C1573" s="446"/>
      <c r="D1573" s="102">
        <f t="shared" si="216"/>
        <v>666.66666666666674</v>
      </c>
      <c r="E1573" s="93">
        <f t="shared" si="217"/>
        <v>800.00000000000011</v>
      </c>
      <c r="F1573" s="26"/>
      <c r="G1573" s="26"/>
      <c r="H1573" s="5"/>
      <c r="AC1573" s="289">
        <v>800</v>
      </c>
      <c r="AD1573" s="289">
        <v>800</v>
      </c>
      <c r="AE1573" s="289"/>
      <c r="AF1573" s="289"/>
      <c r="AG1573" s="289"/>
      <c r="AH1573" s="289"/>
      <c r="AI1573" s="289"/>
      <c r="AJ1573" s="289"/>
      <c r="AK1573" s="289"/>
      <c r="AL1573" s="289"/>
    </row>
    <row r="1574" spans="2:38">
      <c r="B1574" s="445" t="s">
        <v>76</v>
      </c>
      <c r="C1574" s="446"/>
      <c r="D1574" s="102">
        <f t="shared" ref="D1574" si="220">IF(AC1574="","",(1-$W$2)*(AC1574/1.2))</f>
        <v>833.33333333333337</v>
      </c>
      <c r="E1574" s="93">
        <f t="shared" ref="E1574" si="221">IF($W$5=0.2,D1574*1.2,D1574)/$W$4</f>
        <v>1000</v>
      </c>
      <c r="F1574" s="26"/>
      <c r="G1574" s="26"/>
      <c r="H1574" s="5"/>
      <c r="AC1574" s="289">
        <v>1000</v>
      </c>
      <c r="AD1574" s="289"/>
      <c r="AE1574" s="289"/>
      <c r="AF1574" s="289"/>
      <c r="AG1574" s="289"/>
      <c r="AH1574" s="289"/>
      <c r="AI1574" s="289"/>
      <c r="AJ1574" s="289"/>
      <c r="AK1574" s="289"/>
      <c r="AL1574" s="289"/>
    </row>
    <row r="1575" spans="2:38">
      <c r="B1575" s="445" t="str">
        <f>IF($C$1="ENG","door handle-lock (for sliding doors)","ручка-замок (для дверей купе)")</f>
        <v>ручка-замок (для дверей купе)</v>
      </c>
      <c r="C1575" s="446"/>
      <c r="D1575" s="133">
        <f t="shared" si="216"/>
        <v>466.66666666666669</v>
      </c>
      <c r="E1575" s="93">
        <f t="shared" si="217"/>
        <v>560</v>
      </c>
      <c r="F1575" s="26"/>
      <c r="G1575" s="26"/>
      <c r="I1575" s="11"/>
      <c r="J1575" s="11"/>
      <c r="K1575" s="19"/>
      <c r="AC1575" s="289">
        <v>560</v>
      </c>
      <c r="AD1575" s="289">
        <v>560</v>
      </c>
      <c r="AE1575" s="289"/>
      <c r="AF1575" s="289"/>
      <c r="AG1575" s="289"/>
      <c r="AH1575" s="289"/>
      <c r="AI1575" s="289"/>
      <c r="AJ1575" s="289"/>
      <c r="AK1575" s="289"/>
      <c r="AL1575" s="289"/>
    </row>
    <row r="1576" spans="2:38">
      <c r="B1576" s="445" t="str">
        <f>IF($C$1="ENG","cylinder incert","циліндр несиметричний")</f>
        <v>циліндр несиметричний</v>
      </c>
      <c r="C1576" s="446"/>
      <c r="D1576" s="133">
        <f t="shared" si="216"/>
        <v>316.66666666666669</v>
      </c>
      <c r="E1576" s="93">
        <f t="shared" si="217"/>
        <v>380</v>
      </c>
      <c r="F1576" s="26"/>
      <c r="G1576" s="26"/>
      <c r="I1576" s="20"/>
      <c r="AC1576" s="289">
        <v>380</v>
      </c>
      <c r="AD1576" s="289">
        <v>380</v>
      </c>
      <c r="AE1576" s="289"/>
      <c r="AF1576" s="289"/>
      <c r="AG1576" s="289"/>
      <c r="AH1576" s="289"/>
      <c r="AI1576" s="289"/>
      <c r="AJ1576" s="289"/>
      <c r="AK1576" s="289"/>
      <c r="AL1576" s="289"/>
    </row>
    <row r="1577" spans="2:38">
      <c r="B1577" s="445" t="str">
        <f>IF($C$1="ENG","door hindge Prestige (1 unit)","завіса Prestige (1 шт)")</f>
        <v>завіса Prestige (1 шт)</v>
      </c>
      <c r="C1577" s="446"/>
      <c r="D1577" s="135">
        <f t="shared" si="216"/>
        <v>216.66666666666669</v>
      </c>
      <c r="E1577" s="93">
        <f t="shared" si="217"/>
        <v>260</v>
      </c>
      <c r="F1577" s="26"/>
      <c r="G1577" s="26"/>
      <c r="AC1577" s="289">
        <v>260</v>
      </c>
      <c r="AD1577" s="289">
        <v>260</v>
      </c>
      <c r="AE1577" s="289"/>
      <c r="AF1577" s="289"/>
      <c r="AG1577" s="289"/>
      <c r="AH1577" s="289"/>
      <c r="AI1577" s="289"/>
      <c r="AJ1577" s="289"/>
      <c r="AK1577" s="289"/>
      <c r="AL1577" s="289"/>
    </row>
    <row r="1578" spans="2:38">
      <c r="B1578" s="445" t="str">
        <f>IF($C$1="ENG","door hinge caps (1 set)","накладка на завіси (1 к-т)")</f>
        <v>накладка на завіси (1 к-т)</v>
      </c>
      <c r="C1578" s="446"/>
      <c r="D1578" s="135">
        <f t="shared" si="216"/>
        <v>66.666666666666671</v>
      </c>
      <c r="E1578" s="93">
        <f t="shared" si="217"/>
        <v>80</v>
      </c>
      <c r="F1578" s="26"/>
      <c r="G1578" s="26"/>
      <c r="AC1578" s="289">
        <v>80</v>
      </c>
      <c r="AD1578" s="289">
        <v>80</v>
      </c>
      <c r="AE1578" s="289"/>
      <c r="AF1578" s="289"/>
      <c r="AG1578" s="289"/>
      <c r="AH1578" s="289"/>
      <c r="AI1578" s="289"/>
      <c r="AJ1578" s="289"/>
      <c r="AK1578" s="289"/>
      <c r="AL1578" s="289"/>
    </row>
    <row r="1579" spans="2:38">
      <c r="B1579" s="445" t="str">
        <f>IF($C$1="ENG","door handle","дверна ручка")</f>
        <v>дверна ручка</v>
      </c>
      <c r="C1579" s="446"/>
      <c r="D1579" s="134" t="str">
        <f t="shared" si="216"/>
        <v/>
      </c>
      <c r="E1579" s="247" t="str">
        <f>IF($C$1="ENG","see Handles Price","див. Таблицю Ручки")</f>
        <v>див. Таблицю Ручки</v>
      </c>
      <c r="F1579" s="26"/>
      <c r="G1579" s="26"/>
      <c r="AC1579" s="289"/>
      <c r="AD1579" s="289"/>
      <c r="AE1579" s="289"/>
      <c r="AF1579" s="289"/>
      <c r="AG1579" s="289"/>
      <c r="AH1579" s="289"/>
      <c r="AI1579" s="289"/>
      <c r="AJ1579" s="289"/>
      <c r="AK1579" s="289"/>
      <c r="AL1579" s="289"/>
    </row>
    <row r="1580" spans="2:38" ht="14.25" customHeight="1">
      <c r="C1580" s="245"/>
      <c r="D1580" s="26"/>
      <c r="E1580" s="26"/>
      <c r="F1580" s="26"/>
      <c r="G1580" s="26"/>
      <c r="H1580" s="5"/>
      <c r="T1580" s="465" t="str">
        <f>IF($C$1="ENG",CONCATENATE("down to: ",B1630),CONCATENATE("вниз до: ",B1630))</f>
        <v>вниз до: Полотна скляні: ЛІНЕЯ</v>
      </c>
      <c r="U1580" s="465"/>
      <c r="V1580" s="465"/>
      <c r="W1580" s="465"/>
    </row>
    <row r="1581" spans="2:38" ht="14.25" customHeight="1">
      <c r="C1581" s="245"/>
      <c r="D1581" s="26"/>
      <c r="E1581" s="26"/>
      <c r="F1581" s="26"/>
      <c r="G1581" s="26"/>
      <c r="H1581" s="5"/>
      <c r="T1581" s="115"/>
      <c r="U1581" s="115"/>
      <c r="V1581" s="115"/>
      <c r="W1581" s="115"/>
    </row>
    <row r="1582" spans="2:38" ht="14.25" customHeight="1">
      <c r="C1582" s="245"/>
      <c r="D1582" s="26"/>
      <c r="E1582" s="26"/>
      <c r="F1582" s="26"/>
      <c r="G1582" s="26"/>
      <c r="H1582" s="5"/>
      <c r="T1582" s="115"/>
      <c r="U1582" s="115"/>
      <c r="V1582" s="115"/>
      <c r="W1582" s="115"/>
    </row>
    <row r="1583" spans="2:38" ht="14.25" customHeight="1">
      <c r="C1583" s="245"/>
      <c r="D1583" s="26"/>
      <c r="E1583" s="26"/>
      <c r="F1583" s="26"/>
      <c r="G1583" s="26"/>
      <c r="H1583" s="5"/>
      <c r="T1583" s="115"/>
      <c r="U1583" s="115"/>
      <c r="V1583" s="115"/>
      <c r="W1583" s="115"/>
    </row>
    <row r="1584" spans="2:38" ht="14.25" customHeight="1">
      <c r="C1584" s="245"/>
      <c r="D1584" s="26"/>
      <c r="E1584" s="26"/>
      <c r="F1584" s="26"/>
      <c r="G1584" s="26"/>
      <c r="H1584" s="5"/>
      <c r="T1584" s="115"/>
      <c r="U1584" s="115"/>
      <c r="V1584" s="115"/>
      <c r="W1584" s="115"/>
    </row>
    <row r="1585" spans="3:23" ht="14.25" customHeight="1">
      <c r="C1585" s="245"/>
      <c r="D1585" s="26"/>
      <c r="E1585" s="26"/>
      <c r="F1585" s="26"/>
      <c r="G1585" s="26"/>
      <c r="H1585" s="5"/>
      <c r="T1585" s="115"/>
      <c r="U1585" s="115"/>
      <c r="V1585" s="115"/>
      <c r="W1585" s="115"/>
    </row>
    <row r="1586" spans="3:23" ht="14.25" customHeight="1">
      <c r="C1586" s="245"/>
      <c r="D1586" s="26"/>
      <c r="E1586" s="26"/>
      <c r="F1586" s="26"/>
      <c r="G1586" s="26"/>
      <c r="H1586" s="5"/>
      <c r="T1586" s="115"/>
      <c r="U1586" s="115"/>
      <c r="V1586" s="115"/>
      <c r="W1586" s="115"/>
    </row>
    <row r="1587" spans="3:23" ht="14.25" customHeight="1">
      <c r="C1587" s="245"/>
      <c r="D1587" s="26"/>
      <c r="E1587" s="26"/>
      <c r="F1587" s="26"/>
      <c r="G1587" s="26"/>
      <c r="H1587" s="5"/>
      <c r="T1587" s="115"/>
      <c r="U1587" s="115"/>
      <c r="V1587" s="115"/>
      <c r="W1587" s="115"/>
    </row>
    <row r="1588" spans="3:23" ht="14.25" customHeight="1">
      <c r="C1588" s="245"/>
      <c r="D1588" s="26"/>
      <c r="E1588" s="26"/>
      <c r="F1588" s="26"/>
      <c r="G1588" s="26"/>
      <c r="H1588" s="5"/>
      <c r="T1588" s="115"/>
      <c r="U1588" s="115"/>
      <c r="V1588" s="115"/>
      <c r="W1588" s="115"/>
    </row>
    <row r="1589" spans="3:23" ht="14.25" customHeight="1">
      <c r="C1589" s="245"/>
      <c r="D1589" s="26"/>
      <c r="E1589" s="26"/>
      <c r="F1589" s="26"/>
      <c r="G1589" s="26"/>
      <c r="H1589" s="5"/>
      <c r="T1589" s="115"/>
      <c r="U1589" s="115"/>
      <c r="V1589" s="115"/>
      <c r="W1589" s="115"/>
    </row>
    <row r="1590" spans="3:23" ht="14.25" customHeight="1">
      <c r="C1590" s="245"/>
      <c r="D1590" s="26"/>
      <c r="E1590" s="26"/>
      <c r="F1590" s="26"/>
      <c r="G1590" s="26"/>
      <c r="H1590" s="5"/>
      <c r="T1590" s="115"/>
      <c r="U1590" s="115"/>
      <c r="V1590" s="115"/>
      <c r="W1590" s="115"/>
    </row>
    <row r="1591" spans="3:23" ht="14.25" customHeight="1">
      <c r="C1591" s="245"/>
      <c r="D1591" s="26"/>
      <c r="E1591" s="26"/>
      <c r="F1591" s="26"/>
      <c r="G1591" s="26"/>
      <c r="H1591" s="5"/>
      <c r="T1591" s="115"/>
      <c r="U1591" s="115"/>
      <c r="V1591" s="115"/>
      <c r="W1591" s="115"/>
    </row>
    <row r="1592" spans="3:23" ht="14.25" customHeight="1">
      <c r="C1592" s="245"/>
      <c r="D1592" s="26"/>
      <c r="E1592" s="26"/>
      <c r="F1592" s="26"/>
      <c r="G1592" s="26"/>
      <c r="H1592" s="5"/>
      <c r="T1592" s="115"/>
      <c r="U1592" s="115"/>
      <c r="V1592" s="115"/>
      <c r="W1592" s="115"/>
    </row>
    <row r="1593" spans="3:23" ht="14.25" customHeight="1">
      <c r="C1593" s="245"/>
      <c r="D1593" s="26"/>
      <c r="E1593" s="26"/>
      <c r="F1593" s="26"/>
      <c r="G1593" s="26"/>
      <c r="H1593" s="5"/>
      <c r="T1593" s="115"/>
      <c r="U1593" s="115"/>
      <c r="V1593" s="115"/>
      <c r="W1593" s="115"/>
    </row>
    <row r="1594" spans="3:23" ht="14.25" customHeight="1">
      <c r="C1594" s="245"/>
      <c r="D1594" s="26"/>
      <c r="E1594" s="26"/>
      <c r="F1594" s="26"/>
      <c r="G1594" s="26"/>
      <c r="H1594" s="5"/>
      <c r="T1594" s="115"/>
      <c r="U1594" s="115"/>
      <c r="V1594" s="115"/>
      <c r="W1594" s="115"/>
    </row>
    <row r="1595" spans="3:23" ht="14.25" customHeight="1">
      <c r="C1595" s="245"/>
      <c r="D1595" s="26"/>
      <c r="E1595" s="26"/>
      <c r="F1595" s="26"/>
      <c r="G1595" s="26"/>
      <c r="H1595" s="5"/>
      <c r="T1595" s="115"/>
      <c r="U1595" s="115"/>
      <c r="V1595" s="115"/>
      <c r="W1595" s="115"/>
    </row>
    <row r="1596" spans="3:23" ht="14.25" customHeight="1">
      <c r="C1596" s="245"/>
      <c r="D1596" s="26"/>
      <c r="E1596" s="26"/>
      <c r="F1596" s="26"/>
      <c r="G1596" s="26"/>
      <c r="H1596" s="5"/>
      <c r="T1596" s="115"/>
      <c r="U1596" s="115"/>
      <c r="V1596" s="115"/>
      <c r="W1596" s="115"/>
    </row>
    <row r="1597" spans="3:23" ht="14.25" customHeight="1">
      <c r="C1597" s="245"/>
      <c r="D1597" s="26"/>
      <c r="E1597" s="26"/>
      <c r="F1597" s="26"/>
      <c r="G1597" s="26"/>
      <c r="H1597" s="5"/>
      <c r="T1597" s="115"/>
      <c r="U1597" s="115"/>
      <c r="V1597" s="115"/>
      <c r="W1597" s="115"/>
    </row>
    <row r="1598" spans="3:23" ht="14.25" customHeight="1">
      <c r="C1598" s="245"/>
      <c r="D1598" s="26"/>
      <c r="E1598" s="26"/>
      <c r="F1598" s="26"/>
      <c r="G1598" s="26"/>
      <c r="H1598" s="5"/>
      <c r="T1598" s="115"/>
      <c r="U1598" s="115"/>
      <c r="V1598" s="115"/>
      <c r="W1598" s="115"/>
    </row>
    <row r="1599" spans="3:23" ht="14.25" customHeight="1">
      <c r="C1599" s="245"/>
      <c r="D1599" s="26"/>
      <c r="E1599" s="26"/>
      <c r="F1599" s="26"/>
      <c r="G1599" s="26"/>
      <c r="H1599" s="5"/>
      <c r="T1599" s="115"/>
      <c r="U1599" s="115"/>
      <c r="V1599" s="115"/>
      <c r="W1599" s="115"/>
    </row>
    <row r="1600" spans="3:23" ht="14.25" customHeight="1">
      <c r="C1600" s="245"/>
      <c r="D1600" s="26"/>
      <c r="E1600" s="26"/>
      <c r="F1600" s="26"/>
      <c r="G1600" s="26"/>
      <c r="H1600" s="5"/>
      <c r="T1600" s="115"/>
      <c r="U1600" s="115"/>
      <c r="V1600" s="115"/>
      <c r="W1600" s="115"/>
    </row>
    <row r="1601" spans="3:23" ht="14.25" customHeight="1">
      <c r="C1601" s="245"/>
      <c r="D1601" s="26"/>
      <c r="E1601" s="26"/>
      <c r="F1601" s="26"/>
      <c r="G1601" s="26"/>
      <c r="H1601" s="5"/>
      <c r="T1601" s="115"/>
      <c r="U1601" s="115"/>
      <c r="V1601" s="115"/>
      <c r="W1601" s="115"/>
    </row>
    <row r="1602" spans="3:23" ht="14.25" customHeight="1">
      <c r="C1602" s="245"/>
      <c r="D1602" s="26"/>
      <c r="E1602" s="26"/>
      <c r="F1602" s="26"/>
      <c r="G1602" s="26"/>
      <c r="H1602" s="5"/>
      <c r="T1602" s="115"/>
      <c r="U1602" s="115"/>
      <c r="V1602" s="115"/>
      <c r="W1602" s="115"/>
    </row>
    <row r="1603" spans="3:23" ht="14.25" customHeight="1">
      <c r="C1603" s="245"/>
      <c r="D1603" s="26"/>
      <c r="E1603" s="26"/>
      <c r="F1603" s="26"/>
      <c r="G1603" s="26"/>
      <c r="H1603" s="5"/>
      <c r="T1603" s="115"/>
      <c r="U1603" s="115"/>
      <c r="V1603" s="115"/>
      <c r="W1603" s="115"/>
    </row>
    <row r="1604" spans="3:23" ht="14.25" customHeight="1">
      <c r="C1604" s="245"/>
      <c r="D1604" s="26"/>
      <c r="E1604" s="26"/>
      <c r="F1604" s="26"/>
      <c r="G1604" s="26"/>
      <c r="H1604" s="5"/>
      <c r="T1604" s="115"/>
      <c r="U1604" s="115"/>
      <c r="V1604" s="115"/>
      <c r="W1604" s="115"/>
    </row>
    <row r="1605" spans="3:23" ht="14.25" customHeight="1">
      <c r="C1605" s="245"/>
      <c r="D1605" s="26"/>
      <c r="E1605" s="26"/>
      <c r="F1605" s="26"/>
      <c r="G1605" s="26"/>
      <c r="H1605" s="5"/>
      <c r="T1605" s="115"/>
      <c r="U1605" s="115"/>
      <c r="V1605" s="115"/>
      <c r="W1605" s="115"/>
    </row>
    <row r="1606" spans="3:23" ht="14.25" customHeight="1">
      <c r="C1606" s="245"/>
      <c r="D1606" s="26"/>
      <c r="E1606" s="26"/>
      <c r="F1606" s="26"/>
      <c r="G1606" s="26"/>
      <c r="H1606" s="5"/>
      <c r="T1606" s="115"/>
      <c r="U1606" s="115"/>
      <c r="V1606" s="115"/>
      <c r="W1606" s="115"/>
    </row>
    <row r="1607" spans="3:23" ht="14.25" customHeight="1">
      <c r="C1607" s="245"/>
      <c r="D1607" s="26"/>
      <c r="E1607" s="26"/>
      <c r="F1607" s="26"/>
      <c r="G1607" s="26"/>
      <c r="H1607" s="5"/>
      <c r="T1607" s="115"/>
      <c r="U1607" s="115"/>
      <c r="V1607" s="115"/>
      <c r="W1607" s="115"/>
    </row>
    <row r="1608" spans="3:23" ht="14.25" customHeight="1">
      <c r="C1608" s="245"/>
      <c r="D1608" s="26"/>
      <c r="E1608" s="26"/>
      <c r="F1608" s="26"/>
      <c r="G1608" s="26"/>
      <c r="H1608" s="5"/>
    </row>
    <row r="1609" spans="3:23" ht="14.25" customHeight="1">
      <c r="C1609" s="245"/>
      <c r="D1609" s="26"/>
      <c r="E1609" s="26"/>
      <c r="F1609" s="26"/>
      <c r="G1609" s="26"/>
      <c r="H1609" s="5"/>
    </row>
    <row r="1610" spans="3:23" ht="14.25" customHeight="1">
      <c r="C1610" s="245"/>
      <c r="D1610" s="26"/>
      <c r="E1610" s="26"/>
      <c r="F1610" s="26"/>
      <c r="G1610" s="26"/>
      <c r="H1610" s="5"/>
    </row>
    <row r="1611" spans="3:23" ht="14.25" customHeight="1">
      <c r="C1611" s="245"/>
      <c r="D1611" s="26"/>
      <c r="E1611" s="26"/>
      <c r="F1611" s="26"/>
      <c r="G1611" s="26"/>
      <c r="H1611" s="5"/>
    </row>
    <row r="1612" spans="3:23" ht="14.25" customHeight="1">
      <c r="C1612" s="245"/>
      <c r="D1612" s="26"/>
      <c r="E1612" s="26"/>
      <c r="F1612" s="26"/>
      <c r="G1612" s="26"/>
      <c r="H1612" s="5"/>
    </row>
    <row r="1613" spans="3:23" ht="14.25" customHeight="1">
      <c r="C1613" s="245"/>
      <c r="D1613" s="26"/>
      <c r="E1613" s="26"/>
      <c r="F1613" s="26"/>
      <c r="G1613" s="26"/>
      <c r="H1613" s="5"/>
    </row>
    <row r="1614" spans="3:23" ht="14.25" customHeight="1">
      <c r="C1614" s="245"/>
      <c r="D1614" s="26"/>
      <c r="E1614" s="26"/>
      <c r="F1614" s="26"/>
      <c r="G1614" s="26"/>
      <c r="H1614" s="5"/>
    </row>
    <row r="1615" spans="3:23" ht="14.25" customHeight="1">
      <c r="C1615" s="245"/>
      <c r="D1615" s="26"/>
      <c r="E1615" s="26"/>
      <c r="F1615" s="26"/>
      <c r="G1615" s="26"/>
      <c r="H1615" s="5"/>
    </row>
    <row r="1616" spans="3:23" ht="14.25" customHeight="1">
      <c r="C1616" s="245"/>
      <c r="D1616" s="26"/>
      <c r="E1616" s="26"/>
      <c r="F1616" s="26"/>
      <c r="G1616" s="26"/>
      <c r="H1616" s="5"/>
    </row>
    <row r="1617" spans="1:46" ht="14.25" customHeight="1">
      <c r="C1617" s="245"/>
      <c r="D1617" s="26"/>
      <c r="E1617" s="26"/>
      <c r="F1617" s="26"/>
      <c r="G1617" s="26"/>
      <c r="H1617" s="5"/>
    </row>
    <row r="1618" spans="1:46" ht="14.25" customHeight="1">
      <c r="C1618" s="245"/>
      <c r="D1618" s="26"/>
      <c r="E1618" s="26"/>
      <c r="F1618" s="26"/>
      <c r="G1618" s="26"/>
      <c r="H1618" s="5"/>
    </row>
    <row r="1619" spans="1:46" ht="14.25" customHeight="1">
      <c r="C1619" s="245"/>
      <c r="D1619" s="26"/>
      <c r="E1619" s="26"/>
      <c r="F1619" s="26"/>
      <c r="G1619" s="26"/>
      <c r="H1619" s="5"/>
    </row>
    <row r="1620" spans="1:46" ht="14.25" customHeight="1">
      <c r="C1620" s="245"/>
      <c r="D1620" s="26"/>
      <c r="E1620" s="26"/>
      <c r="F1620" s="26"/>
      <c r="G1620" s="26"/>
      <c r="H1620" s="5"/>
    </row>
    <row r="1621" spans="1:46" ht="14.25" customHeight="1">
      <c r="C1621" s="245"/>
      <c r="D1621" s="26"/>
      <c r="E1621" s="26"/>
      <c r="F1621" s="26"/>
      <c r="G1621" s="26"/>
      <c r="H1621" s="5"/>
    </row>
    <row r="1622" spans="1:46" ht="14.25" customHeight="1">
      <c r="C1622" s="245"/>
      <c r="D1622" s="26"/>
      <c r="E1622" s="26"/>
      <c r="F1622" s="26"/>
      <c r="G1622" s="26"/>
      <c r="H1622" s="5"/>
    </row>
    <row r="1623" spans="1:46" ht="14.25" customHeight="1">
      <c r="C1623" s="245"/>
      <c r="D1623" s="26"/>
      <c r="E1623" s="26"/>
      <c r="F1623" s="26"/>
      <c r="G1623" s="26"/>
      <c r="H1623" s="5"/>
    </row>
    <row r="1624" spans="1:46" ht="14.25" customHeight="1">
      <c r="C1624" s="245"/>
      <c r="D1624" s="26"/>
      <c r="E1624" s="26"/>
      <c r="F1624" s="26"/>
      <c r="G1624" s="26"/>
      <c r="H1624" s="5"/>
    </row>
    <row r="1625" spans="1:46" ht="14.25" customHeight="1">
      <c r="C1625" s="245"/>
      <c r="D1625" s="26"/>
      <c r="E1625" s="26"/>
      <c r="F1625" s="26"/>
      <c r="G1625" s="26"/>
      <c r="H1625" s="5"/>
    </row>
    <row r="1626" spans="1:46" ht="14.25" customHeight="1">
      <c r="C1626" s="245"/>
      <c r="D1626" s="26"/>
      <c r="E1626" s="26"/>
      <c r="F1626" s="26"/>
      <c r="G1626" s="26"/>
      <c r="H1626" s="5"/>
    </row>
    <row r="1627" spans="1:46" ht="14.25" customHeight="1">
      <c r="C1627" s="245"/>
      <c r="D1627" s="26"/>
      <c r="E1627" s="26"/>
      <c r="F1627" s="26"/>
      <c r="G1627" s="26"/>
      <c r="H1627" s="5"/>
    </row>
    <row r="1628" spans="1:46" ht="14.25" customHeight="1">
      <c r="C1628" s="245"/>
      <c r="D1628" s="26"/>
      <c r="E1628" s="26"/>
      <c r="F1628" s="26"/>
      <c r="G1628" s="26"/>
      <c r="H1628" s="5"/>
    </row>
    <row r="1629" spans="1:46" s="8" customFormat="1">
      <c r="B1629" s="1"/>
      <c r="C1629" s="245"/>
      <c r="D1629" s="26"/>
      <c r="E1629" s="26"/>
      <c r="F1629" s="26"/>
      <c r="G1629" s="26"/>
      <c r="H1629" s="5"/>
      <c r="I1629" s="1"/>
      <c r="J1629" s="1"/>
      <c r="K1629" s="1"/>
      <c r="AN1629" s="280"/>
      <c r="AO1629" s="280"/>
      <c r="AP1629" s="280"/>
      <c r="AQ1629" s="280"/>
      <c r="AR1629" s="280"/>
      <c r="AS1629" s="280"/>
      <c r="AT1629" s="280"/>
    </row>
    <row r="1630" spans="1:46" s="8" customFormat="1" ht="12.75" customHeight="1">
      <c r="B1630" s="451" t="str">
        <f>TITLE!$C$30</f>
        <v>Полотна скляні: ЛІНЕЯ</v>
      </c>
      <c r="C1630" s="451"/>
      <c r="D1630" s="118"/>
      <c r="E1630" s="118"/>
      <c r="F1630" s="118"/>
      <c r="G1630" s="118"/>
      <c r="H1630" s="118"/>
      <c r="I1630" s="121"/>
      <c r="J1630" s="121"/>
      <c r="K1630" s="121"/>
      <c r="L1630" s="121"/>
      <c r="M1630" s="121"/>
      <c r="N1630" s="121"/>
      <c r="O1630" s="121"/>
      <c r="P1630" s="121"/>
      <c r="Q1630" s="121"/>
      <c r="R1630" s="121"/>
      <c r="S1630" s="121"/>
      <c r="T1630" s="462" t="str">
        <f>IF($C$1="ENG",CONCATENATE("up to: ",B1555),CONCATENATE("вгору до: ",B1555))</f>
        <v>вгору до: Полотна збірні: ПОЛО</v>
      </c>
      <c r="U1630" s="462"/>
      <c r="V1630" s="462"/>
      <c r="W1630" s="462"/>
      <c r="AN1630" s="280"/>
      <c r="AO1630" s="280"/>
      <c r="AP1630" s="280"/>
      <c r="AQ1630" s="280"/>
      <c r="AR1630" s="280"/>
      <c r="AS1630" s="280"/>
      <c r="AT1630" s="280"/>
    </row>
    <row r="1631" spans="1:46" ht="4.5" customHeight="1">
      <c r="A1631" s="8"/>
      <c r="B1631" s="117"/>
      <c r="C1631" s="420"/>
      <c r="D1631" s="10"/>
      <c r="E1631" s="10"/>
      <c r="F1631" s="10"/>
      <c r="G1631" s="10"/>
      <c r="H1631" s="10"/>
      <c r="I1631" s="8"/>
      <c r="J1631" s="8"/>
      <c r="K1631" s="8"/>
      <c r="L1631" s="8"/>
      <c r="M1631" s="11"/>
      <c r="P1631" s="8"/>
      <c r="Q1631" s="11"/>
    </row>
    <row r="1632" spans="1:46" ht="12.75" customHeight="1">
      <c r="A1632" s="8"/>
      <c r="B1632" s="452" t="str">
        <f>IF($C$1="ENG","model","модель")</f>
        <v>модель</v>
      </c>
      <c r="C1632" s="122" t="str">
        <f>IF($C$1="ENG","cover:","покриття:")</f>
        <v>покриття:</v>
      </c>
      <c r="D1632" s="458" t="str">
        <f>IF($C$1="ENG"," VERTO-CELL","VERTO-CELL")</f>
        <v>VERTO-CELL</v>
      </c>
      <c r="E1632" s="473"/>
      <c r="F1632" s="473"/>
      <c r="G1632" s="473"/>
      <c r="H1632" s="473"/>
      <c r="I1632" s="459"/>
      <c r="J1632" s="311"/>
      <c r="K1632" s="311"/>
      <c r="L1632" s="8"/>
      <c r="M1632" s="11"/>
      <c r="P1632" s="8"/>
      <c r="Q1632" s="11"/>
      <c r="AH1632" s="1">
        <f>AF1635-AJ1635</f>
        <v>-1120</v>
      </c>
      <c r="AM1632" s="22">
        <f>AD1635-AC1635</f>
        <v>730</v>
      </c>
      <c r="AN1632" s="30">
        <f>AE1635-AC1635</f>
        <v>1120</v>
      </c>
    </row>
    <row r="1633" spans="1:41" ht="12.75" customHeight="1">
      <c r="A1633" s="8"/>
      <c r="B1633" s="453"/>
      <c r="C1633" s="123" t="str">
        <f>IF($C$1="ENG","filling:","заповнення:")</f>
        <v>заповнення:</v>
      </c>
      <c r="D1633" s="460" t="str">
        <f>IF($C$1="ENG","honeycomb core ","сотове заповнення")</f>
        <v>сотове заповнення</v>
      </c>
      <c r="E1633" s="495"/>
      <c r="F1633" s="495"/>
      <c r="G1633" s="495"/>
      <c r="H1633" s="495"/>
      <c r="I1633" s="461"/>
      <c r="J1633" s="311"/>
      <c r="K1633" s="311"/>
      <c r="L1633" s="8"/>
      <c r="M1633" s="11"/>
      <c r="P1633" s="8"/>
      <c r="Q1633" s="11"/>
      <c r="AD1633" s="22"/>
    </row>
    <row r="1634" spans="1:41">
      <c r="A1634" s="8"/>
      <c r="B1634" s="454"/>
      <c r="C1634" s="124" t="str">
        <f>IF($C$1="ENG","glazing:","скління:")</f>
        <v>скління:</v>
      </c>
      <c r="D1634" s="449" t="str">
        <f>IF($C$1="ENG","Satin","Сатин")</f>
        <v>Сатин</v>
      </c>
      <c r="E1634" s="450"/>
      <c r="F1634" s="449" t="str">
        <f>IF($C$1="ENG","Graphite / Bronze","Графіт / Бронза")</f>
        <v>Графіт / Бронза</v>
      </c>
      <c r="G1634" s="468"/>
      <c r="H1634" s="487" t="str">
        <f>IF($C$1="ENG","Triplex mat / black","Триплекс мат/чорн")</f>
        <v>Триплекс мат/чорн</v>
      </c>
      <c r="I1634" s="450"/>
      <c r="J1634" s="494"/>
      <c r="K1634" s="494"/>
      <c r="L1634" s="104"/>
      <c r="M1634" s="59"/>
      <c r="N1634" s="104"/>
      <c r="O1634" s="59"/>
      <c r="P1634" s="104"/>
      <c r="Q1634" s="59"/>
      <c r="R1634" s="104"/>
      <c r="S1634" s="59"/>
      <c r="T1634" s="104"/>
      <c r="U1634" s="20"/>
      <c r="V1634" s="104"/>
      <c r="W1634" s="20"/>
      <c r="X1634" s="22"/>
      <c r="Y1634" s="22"/>
      <c r="Z1634" s="22"/>
      <c r="AA1634" s="22"/>
      <c r="AB1634" s="22"/>
      <c r="AE1634" s="22"/>
    </row>
    <row r="1635" spans="1:41" ht="35.1" customHeight="1">
      <c r="A1635" s="8"/>
      <c r="B1635" s="13">
        <v>1</v>
      </c>
      <c r="C1635" s="14"/>
      <c r="D1635" s="15">
        <f>IF(AC1635="","",(1-$W$2)*(AC1635/1.2))</f>
        <v>4033.3333333333335</v>
      </c>
      <c r="E1635" s="267">
        <f>IF($W$5=0.2,D1635*1.2,D1635)/$W$4</f>
        <v>4840</v>
      </c>
      <c r="F1635" s="15">
        <f>IF(AD1635="","",(1-$W$2)*(AD1635/1.2))</f>
        <v>4641.666666666667</v>
      </c>
      <c r="G1635" s="267">
        <f>IF($W$5=0.2,F1635*1.2,F1635)/$W$4</f>
        <v>5570</v>
      </c>
      <c r="H1635" s="270">
        <f>IF(AE1635="","",(1-$W$2)*(AE1635/1.2))</f>
        <v>4966.666666666667</v>
      </c>
      <c r="I1635" s="64">
        <f>IF($W$5=0.2,H1635*1.2,H1635)/$W$4</f>
        <v>5960</v>
      </c>
      <c r="J1635" s="28"/>
      <c r="K1635" s="59"/>
      <c r="L1635" s="104"/>
      <c r="M1635" s="59"/>
      <c r="N1635" s="104"/>
      <c r="O1635" s="59"/>
      <c r="P1635" s="104"/>
      <c r="Q1635" s="59"/>
      <c r="R1635" s="104"/>
      <c r="S1635" s="59"/>
      <c r="T1635" s="104"/>
      <c r="U1635" s="20"/>
      <c r="V1635" s="104"/>
      <c r="W1635" s="20"/>
      <c r="AC1635" s="332">
        <v>4840</v>
      </c>
      <c r="AD1635" s="392">
        <v>5570</v>
      </c>
      <c r="AE1635" s="392">
        <v>5960</v>
      </c>
      <c r="AF1635" s="289">
        <v>4840</v>
      </c>
      <c r="AG1635" s="289">
        <f>AF1635/AC1635-1</f>
        <v>0</v>
      </c>
      <c r="AH1635" s="289">
        <v>5570</v>
      </c>
      <c r="AI1635" s="289">
        <f>AH1635/AD1635-1</f>
        <v>0</v>
      </c>
      <c r="AJ1635" s="289">
        <v>5960</v>
      </c>
      <c r="AK1635" s="289">
        <f>AJ1635/AE1635-1</f>
        <v>0</v>
      </c>
      <c r="AL1635" s="289"/>
      <c r="AO1635" s="22"/>
    </row>
    <row r="1636" spans="1:41" ht="35.1" customHeight="1">
      <c r="A1636" s="8"/>
      <c r="B1636" s="16">
        <v>3</v>
      </c>
      <c r="C1636" s="17"/>
      <c r="D1636" s="18">
        <f>IF(AC1636="","",(1-$W$2)*(AC1636/1.2))</f>
        <v>5700</v>
      </c>
      <c r="E1636" s="268">
        <f>IF($W$5=0.2,D1636*1.2,D1636)/$W$4</f>
        <v>6840</v>
      </c>
      <c r="F1636" s="18">
        <f>IF(AD1636="","",(1-$W$2)*(AD1636/1.2))</f>
        <v>6500</v>
      </c>
      <c r="G1636" s="268">
        <f>IF($W$5=0.2,F1636*1.2,F1636)/$W$4</f>
        <v>7800</v>
      </c>
      <c r="H1636" s="271">
        <f>IF(AE1636="","",(1-$W$2)*(AE1636/1.2))</f>
        <v>6825</v>
      </c>
      <c r="I1636" s="66">
        <f>IF($W$5=0.2,H1636*1.2,H1636)/$W$4</f>
        <v>8190</v>
      </c>
      <c r="J1636" s="28"/>
      <c r="K1636" s="59"/>
      <c r="L1636" s="104"/>
      <c r="M1636" s="59"/>
      <c r="N1636" s="104"/>
      <c r="O1636" s="59"/>
      <c r="P1636" s="104"/>
      <c r="Q1636" s="59"/>
      <c r="R1636" s="104"/>
      <c r="S1636" s="59"/>
      <c r="T1636" s="104"/>
      <c r="U1636" s="20"/>
      <c r="V1636" s="104"/>
      <c r="W1636" s="20"/>
      <c r="AC1636" s="332">
        <v>6840</v>
      </c>
      <c r="AD1636" s="392">
        <v>7800</v>
      </c>
      <c r="AE1636" s="392">
        <v>8190</v>
      </c>
      <c r="AF1636" s="289">
        <v>6840</v>
      </c>
      <c r="AG1636" s="289">
        <f t="shared" ref="AG1636:AG1637" si="222">AF1636/AC1636-1</f>
        <v>0</v>
      </c>
      <c r="AH1636" s="289">
        <v>7800</v>
      </c>
      <c r="AI1636" s="289">
        <f t="shared" ref="AI1636:AI1637" si="223">AH1636/AD1636-1</f>
        <v>0</v>
      </c>
      <c r="AJ1636" s="289">
        <v>8190</v>
      </c>
      <c r="AK1636" s="289">
        <f t="shared" ref="AK1636:AK1637" si="224">AJ1636/AE1636-1</f>
        <v>0</v>
      </c>
      <c r="AL1636" s="289"/>
      <c r="AM1636" s="22"/>
      <c r="AO1636" s="22"/>
    </row>
    <row r="1637" spans="1:41" ht="34.5" customHeight="1">
      <c r="B1637" s="23">
        <v>4</v>
      </c>
      <c r="C1637" s="24"/>
      <c r="D1637" s="25">
        <f>IF(AC1637="","",(1-$W$2)*(AC1637/1.2))</f>
        <v>6016.666666666667</v>
      </c>
      <c r="E1637" s="269">
        <f>IF($W$5=0.2,D1637*1.2,D1637)/$W$4</f>
        <v>7220</v>
      </c>
      <c r="F1637" s="25">
        <f>IF(AD1637="","",(1-$W$2)*(AD1637/1.2))</f>
        <v>6933.3333333333339</v>
      </c>
      <c r="G1637" s="269">
        <f>IF($W$5=0.2,F1637*1.2,F1637)/$W$4</f>
        <v>8320</v>
      </c>
      <c r="H1637" s="272">
        <f>IF(AE1637="","",(1-$W$2)*(AE1637/1.2))</f>
        <v>7416.666666666667</v>
      </c>
      <c r="I1637" s="69">
        <f>IF($W$5=0.2,H1637*1.2,H1637)/$W$4</f>
        <v>8900</v>
      </c>
      <c r="J1637" s="28"/>
      <c r="K1637" s="59"/>
      <c r="L1637" s="8"/>
      <c r="O1637" s="59"/>
      <c r="P1637" s="8"/>
      <c r="S1637" s="59"/>
      <c r="T1637" s="104"/>
      <c r="U1637" s="20"/>
      <c r="AC1637" s="332">
        <v>7220</v>
      </c>
      <c r="AD1637" s="392">
        <v>8320</v>
      </c>
      <c r="AE1637" s="392">
        <v>8900</v>
      </c>
      <c r="AF1637" s="289">
        <v>7220</v>
      </c>
      <c r="AG1637" s="289">
        <f t="shared" si="222"/>
        <v>0</v>
      </c>
      <c r="AH1637" s="289">
        <v>8320</v>
      </c>
      <c r="AI1637" s="289">
        <f t="shared" si="223"/>
        <v>0</v>
      </c>
      <c r="AJ1637" s="289">
        <v>8900</v>
      </c>
      <c r="AK1637" s="289">
        <f t="shared" si="224"/>
        <v>0</v>
      </c>
      <c r="AL1637" s="289"/>
      <c r="AM1637" s="22"/>
      <c r="AO1637" s="22"/>
    </row>
    <row r="1638" spans="1:41">
      <c r="C1638" s="245"/>
      <c r="D1638" s="26"/>
      <c r="E1638" s="57"/>
      <c r="F1638" s="26"/>
      <c r="G1638" s="57"/>
      <c r="H1638" s="10"/>
      <c r="I1638" s="143"/>
      <c r="J1638" s="48"/>
      <c r="K1638" s="143"/>
      <c r="L1638" s="8"/>
      <c r="P1638" s="8"/>
    </row>
    <row r="1639" spans="1:41" ht="12.75" customHeight="1">
      <c r="B1639" s="212" t="str">
        <f>IF($C$1="ENG","For additonal charge:","Послуги за додаткову плату:")</f>
        <v>Послуги за додаткову плату:</v>
      </c>
      <c r="C1639" s="421"/>
      <c r="D1639" s="213"/>
      <c r="E1639" s="214"/>
      <c r="F1639" s="26"/>
      <c r="G1639" s="57"/>
      <c r="H1639" s="10"/>
      <c r="I1639" s="84"/>
      <c r="J1639" s="8"/>
      <c r="K1639" s="84"/>
    </row>
    <row r="1640" spans="1:41" ht="4.5" customHeight="1">
      <c r="B1640" s="99"/>
      <c r="C1640" s="423"/>
      <c r="D1640" s="26"/>
      <c r="E1640" s="57"/>
      <c r="F1640" s="26"/>
      <c r="G1640" s="57"/>
      <c r="H1640" s="10"/>
      <c r="I1640" s="84"/>
      <c r="K1640" s="20"/>
    </row>
    <row r="1641" spans="1:41">
      <c r="B1641" s="447" t="str">
        <f>IF($C$1="ENG","door leaf with width 100","полотно розміром 100")</f>
        <v>полотно розміром 100</v>
      </c>
      <c r="C1641" s="448"/>
      <c r="D1641" s="417">
        <f t="shared" ref="D1641:D1652" si="225">IF(AC1641="","",(1-$W$2)*(AC1641/1.2))</f>
        <v>566.66666666666674</v>
      </c>
      <c r="E1641" s="92">
        <f>IF($W$5=0.2,D1641*1.2,D1641)/$W$4</f>
        <v>680.00000000000011</v>
      </c>
      <c r="F1641" s="141"/>
      <c r="G1641" s="57"/>
      <c r="H1641" s="10"/>
      <c r="I1641" s="84"/>
      <c r="K1641" s="20"/>
      <c r="AC1641" s="289">
        <v>680</v>
      </c>
      <c r="AD1641" s="289">
        <v>680</v>
      </c>
      <c r="AE1641" s="289">
        <f>AD1641/AC1641-1</f>
        <v>0</v>
      </c>
      <c r="AF1641" s="289"/>
      <c r="AG1641" s="289"/>
      <c r="AH1641" s="289"/>
      <c r="AI1641" s="289"/>
      <c r="AJ1641" s="289"/>
      <c r="AK1641" s="289"/>
      <c r="AL1641" s="289"/>
    </row>
    <row r="1642" spans="1:41">
      <c r="B1642" s="445" t="str">
        <f>IF($C$1="ENG","glazing Graphite / Bronze","скло Графіт / Бронза")</f>
        <v>скло Графіт / Бронза</v>
      </c>
      <c r="C1642" s="446"/>
      <c r="D1642" s="405">
        <f t="shared" si="225"/>
        <v>0</v>
      </c>
      <c r="E1642" s="136" t="str">
        <f>IF($C$1="ENG","see Glazing Price","див. Таблицю Ціни")</f>
        <v>див. Таблицю Ціни</v>
      </c>
      <c r="F1642" s="141"/>
      <c r="G1642" s="141"/>
      <c r="AC1642" s="289">
        <f t="shared" ref="AC1642:AD1651" si="226">AB1642/100*13+AB1642</f>
        <v>0</v>
      </c>
      <c r="AD1642" s="289">
        <f t="shared" si="226"/>
        <v>0</v>
      </c>
      <c r="AE1642" s="289" t="e">
        <f t="shared" ref="AE1642:AE1652" si="227">AD1642/AC1642-1</f>
        <v>#DIV/0!</v>
      </c>
      <c r="AF1642" s="289"/>
      <c r="AG1642" s="289"/>
      <c r="AH1642" s="289"/>
      <c r="AI1642" s="289"/>
      <c r="AJ1642" s="289"/>
      <c r="AK1642" s="289"/>
      <c r="AL1642" s="289"/>
    </row>
    <row r="1643" spans="1:41">
      <c r="B1643" s="445" t="str">
        <f>IF($C$1="ENG","glazing Triplex mat / black","скло Триплекс матовий / чорний")</f>
        <v>скло Триплекс матовий / чорний</v>
      </c>
      <c r="C1643" s="446"/>
      <c r="D1643" s="405">
        <f t="shared" si="225"/>
        <v>0</v>
      </c>
      <c r="E1643" s="136" t="str">
        <f>IF($C$1="ENG","see Glazing Price","див. Таблицю Ціни")</f>
        <v>див. Таблицю Ціни</v>
      </c>
      <c r="F1643" s="141"/>
      <c r="G1643" s="141"/>
      <c r="AC1643" s="289">
        <f t="shared" si="226"/>
        <v>0</v>
      </c>
      <c r="AD1643" s="289">
        <f t="shared" si="226"/>
        <v>0</v>
      </c>
      <c r="AE1643" s="289" t="e">
        <f t="shared" si="227"/>
        <v>#DIV/0!</v>
      </c>
      <c r="AF1643" s="289"/>
      <c r="AG1643" s="289"/>
      <c r="AH1643" s="289"/>
      <c r="AI1643" s="289"/>
      <c r="AJ1643" s="289"/>
      <c r="AK1643" s="289"/>
      <c r="AL1643" s="289"/>
    </row>
    <row r="1644" spans="1:41">
      <c r="B1644" s="445" t="str">
        <f>IF($C$1="ENG","door lock Soft","замок Soft")</f>
        <v>замок Soft</v>
      </c>
      <c r="C1644" s="446"/>
      <c r="D1644" s="407">
        <f t="shared" si="225"/>
        <v>458.33333333333337</v>
      </c>
      <c r="E1644" s="93">
        <f t="shared" ref="E1644:E1650" si="228">IF($W$5=0.2,D1644*1.2,D1644)/$W$4</f>
        <v>550</v>
      </c>
      <c r="F1644" s="26"/>
      <c r="G1644" s="26"/>
      <c r="H1644" s="5"/>
      <c r="AC1644" s="289">
        <v>550</v>
      </c>
      <c r="AD1644" s="289">
        <v>550</v>
      </c>
      <c r="AE1644" s="289">
        <f t="shared" si="227"/>
        <v>0</v>
      </c>
      <c r="AF1644" s="289"/>
      <c r="AG1644" s="289"/>
      <c r="AH1644" s="289"/>
      <c r="AI1644" s="289"/>
      <c r="AJ1644" s="289"/>
      <c r="AK1644" s="289"/>
      <c r="AL1644" s="289"/>
    </row>
    <row r="1645" spans="1:41">
      <c r="B1645" s="445" t="str">
        <f>IF($C$1="ENG","door lock Soft black","замок Soft чорн.")</f>
        <v>замок Soft чорн.</v>
      </c>
      <c r="C1645" s="446"/>
      <c r="D1645" s="407">
        <f t="shared" ref="D1645" si="229">IF(AC1645="","",(1-$W$2)*(AC1645/1.2))</f>
        <v>566.66666666666674</v>
      </c>
      <c r="E1645" s="93">
        <f t="shared" ref="E1645" si="230">IF($W$5=0.2,D1645*1.2,D1645)/$W$4</f>
        <v>680.00000000000011</v>
      </c>
      <c r="F1645" s="26"/>
      <c r="G1645" s="26"/>
      <c r="H1645" s="5"/>
      <c r="AC1645" s="289">
        <v>680</v>
      </c>
      <c r="AD1645" s="289"/>
      <c r="AE1645" s="289"/>
      <c r="AF1645" s="289"/>
      <c r="AG1645" s="289"/>
      <c r="AH1645" s="289"/>
      <c r="AI1645" s="289"/>
      <c r="AJ1645" s="289"/>
      <c r="AK1645" s="289"/>
      <c r="AL1645" s="289"/>
    </row>
    <row r="1646" spans="1:41">
      <c r="B1646" s="445" t="str">
        <f>IF($C$1="ENG","door lock Magnet","замок Magnet")</f>
        <v>замок Magnet</v>
      </c>
      <c r="C1646" s="446"/>
      <c r="D1646" s="407">
        <f t="shared" si="225"/>
        <v>666.66666666666674</v>
      </c>
      <c r="E1646" s="93">
        <f t="shared" si="228"/>
        <v>800.00000000000011</v>
      </c>
      <c r="F1646" s="26"/>
      <c r="G1646" s="26"/>
      <c r="H1646" s="5"/>
      <c r="AC1646" s="289">
        <v>800</v>
      </c>
      <c r="AD1646" s="289">
        <v>800</v>
      </c>
      <c r="AE1646" s="289">
        <f t="shared" si="227"/>
        <v>0</v>
      </c>
      <c r="AF1646" s="289"/>
      <c r="AG1646" s="289"/>
      <c r="AH1646" s="289"/>
      <c r="AI1646" s="289"/>
      <c r="AJ1646" s="289"/>
      <c r="AK1646" s="289"/>
      <c r="AL1646" s="289"/>
    </row>
    <row r="1647" spans="1:41">
      <c r="B1647" s="445" t="s">
        <v>76</v>
      </c>
      <c r="C1647" s="445"/>
      <c r="D1647" s="416">
        <f t="shared" si="225"/>
        <v>833.33333333333337</v>
      </c>
      <c r="E1647" s="93">
        <f t="shared" si="228"/>
        <v>1000</v>
      </c>
      <c r="F1647" s="26"/>
      <c r="G1647" s="26"/>
      <c r="H1647" s="5"/>
      <c r="AC1647" s="289">
        <v>1000</v>
      </c>
      <c r="AD1647" s="289"/>
      <c r="AE1647" s="289"/>
      <c r="AF1647" s="289"/>
      <c r="AG1647" s="289"/>
      <c r="AH1647" s="289"/>
      <c r="AI1647" s="289"/>
      <c r="AJ1647" s="289"/>
      <c r="AK1647" s="289"/>
      <c r="AL1647" s="289"/>
    </row>
    <row r="1648" spans="1:41">
      <c r="B1648" s="445" t="str">
        <f>IF($C$1="ENG","cylinder incert","циліндр несиметричний")</f>
        <v>циліндр несиметричний</v>
      </c>
      <c r="C1648" s="446"/>
      <c r="D1648" s="405">
        <f t="shared" si="225"/>
        <v>316.66666666666669</v>
      </c>
      <c r="E1648" s="66">
        <f t="shared" si="228"/>
        <v>380</v>
      </c>
      <c r="F1648" s="26"/>
      <c r="G1648" s="26"/>
      <c r="AC1648" s="289">
        <v>380</v>
      </c>
      <c r="AD1648" s="289">
        <v>380</v>
      </c>
      <c r="AE1648" s="289">
        <f t="shared" si="227"/>
        <v>0</v>
      </c>
      <c r="AF1648" s="289"/>
      <c r="AG1648" s="289"/>
      <c r="AH1648" s="289"/>
      <c r="AI1648" s="289"/>
      <c r="AJ1648" s="289"/>
      <c r="AK1648" s="289"/>
      <c r="AL1648" s="289"/>
    </row>
    <row r="1649" spans="2:38">
      <c r="B1649" s="445" t="str">
        <f>IF($C$1="ENG","door hindge Prestige (1 unit)","завіса Prestige (1 шт)")</f>
        <v>завіса Prestige (1 шт)</v>
      </c>
      <c r="C1649" s="446"/>
      <c r="D1649" s="408">
        <f t="shared" si="225"/>
        <v>216.66666666666669</v>
      </c>
      <c r="E1649" s="66">
        <f t="shared" si="228"/>
        <v>260</v>
      </c>
      <c r="F1649" s="26"/>
      <c r="G1649" s="26"/>
      <c r="AC1649" s="289">
        <v>260</v>
      </c>
      <c r="AD1649" s="289">
        <v>260</v>
      </c>
      <c r="AE1649" s="289">
        <f t="shared" si="227"/>
        <v>0</v>
      </c>
      <c r="AF1649" s="289"/>
      <c r="AG1649" s="289"/>
      <c r="AH1649" s="289"/>
      <c r="AI1649" s="289"/>
      <c r="AJ1649" s="289"/>
      <c r="AK1649" s="289"/>
      <c r="AL1649" s="289"/>
    </row>
    <row r="1650" spans="2:38">
      <c r="B1650" s="445" t="str">
        <f>IF($C$1="ENG","door hinge caps (1 set)","накладка на завіси (1 к-т)")</f>
        <v>накладка на завіси (1 к-т)</v>
      </c>
      <c r="C1650" s="446"/>
      <c r="D1650" s="408">
        <f t="shared" si="225"/>
        <v>66.666666666666671</v>
      </c>
      <c r="E1650" s="66">
        <f t="shared" si="228"/>
        <v>80</v>
      </c>
      <c r="F1650" s="26"/>
      <c r="G1650" s="26"/>
      <c r="AC1650" s="289">
        <v>80</v>
      </c>
      <c r="AD1650" s="289">
        <v>80</v>
      </c>
      <c r="AE1650" s="289">
        <f t="shared" si="227"/>
        <v>0</v>
      </c>
      <c r="AF1650" s="289"/>
      <c r="AG1650" s="289"/>
      <c r="AH1650" s="289"/>
      <c r="AI1650" s="289"/>
      <c r="AJ1650" s="289"/>
      <c r="AK1650" s="289"/>
      <c r="AL1650" s="289"/>
    </row>
    <row r="1651" spans="2:38">
      <c r="B1651" s="445" t="str">
        <f>IF($C$1="ENG","door handle","дверна ручка")</f>
        <v>дверна ручка</v>
      </c>
      <c r="C1651" s="446"/>
      <c r="D1651" s="405">
        <f t="shared" si="225"/>
        <v>0</v>
      </c>
      <c r="E1651" s="136" t="str">
        <f>IF($C$1="ENG","see Handles Price","див. Таблицю Ручки")</f>
        <v>див. Таблицю Ручки</v>
      </c>
      <c r="F1651" s="26"/>
      <c r="G1651" s="26"/>
      <c r="AC1651" s="289">
        <f t="shared" si="226"/>
        <v>0</v>
      </c>
      <c r="AD1651" s="289">
        <f t="shared" si="226"/>
        <v>0</v>
      </c>
      <c r="AE1651" s="289" t="e">
        <f t="shared" si="227"/>
        <v>#DIV/0!</v>
      </c>
      <c r="AF1651" s="289"/>
      <c r="AG1651" s="289"/>
      <c r="AH1651" s="289"/>
      <c r="AI1651" s="289"/>
      <c r="AJ1651" s="289"/>
      <c r="AK1651" s="289"/>
      <c r="AL1651" s="289"/>
    </row>
    <row r="1652" spans="2:38" ht="14.25" customHeight="1">
      <c r="B1652" s="445" t="str">
        <f>IF($C$1="ENG","perforated chipboard","ДСП трубчасте")</f>
        <v>ДСП трубчасте</v>
      </c>
      <c r="C1652" s="446"/>
      <c r="D1652" s="409">
        <f t="shared" si="225"/>
        <v>775</v>
      </c>
      <c r="E1652" s="69">
        <f>IF($W$5=0.2,D1652*1.2,D1652)/$W$4</f>
        <v>930</v>
      </c>
      <c r="F1652" s="26"/>
      <c r="G1652" s="26"/>
      <c r="AC1652" s="289">
        <v>930</v>
      </c>
      <c r="AD1652" s="289">
        <v>930</v>
      </c>
      <c r="AE1652" s="289">
        <f t="shared" si="227"/>
        <v>0</v>
      </c>
      <c r="AF1652" s="289"/>
      <c r="AG1652" s="289"/>
      <c r="AH1652" s="289"/>
      <c r="AI1652" s="289"/>
      <c r="AJ1652" s="289"/>
      <c r="AK1652" s="289"/>
      <c r="AL1652" s="289"/>
    </row>
    <row r="1653" spans="2:38" ht="14.25" customHeight="1">
      <c r="C1653" s="245"/>
      <c r="D1653" s="26"/>
      <c r="E1653" s="26"/>
      <c r="F1653" s="26"/>
      <c r="G1653" s="26"/>
      <c r="H1653" s="5"/>
      <c r="U1653" s="465" t="str">
        <f>IF($C$1="ENG",CONCATENATE("down to: ",B1703),CONCATENATE("вниз до: ",B1703))</f>
        <v>вниз до: Полотна скляні: ЛАЙН</v>
      </c>
      <c r="V1653" s="465"/>
      <c r="W1653" s="465"/>
      <c r="X1653" s="304"/>
      <c r="Y1653" s="304"/>
      <c r="Z1653" s="304"/>
      <c r="AA1653" s="304"/>
      <c r="AB1653" s="304"/>
    </row>
    <row r="1654" spans="2:38" ht="14.25" customHeight="1">
      <c r="C1654" s="245"/>
      <c r="D1654" s="26"/>
      <c r="E1654" s="26"/>
      <c r="F1654" s="26"/>
      <c r="G1654" s="26"/>
      <c r="H1654" s="5"/>
    </row>
    <row r="1655" spans="2:38" ht="14.25" customHeight="1">
      <c r="C1655" s="245"/>
      <c r="D1655" s="26"/>
      <c r="E1655" s="26"/>
      <c r="F1655" s="26"/>
      <c r="G1655" s="26"/>
      <c r="H1655" s="5"/>
    </row>
    <row r="1656" spans="2:38" ht="14.25" customHeight="1">
      <c r="C1656" s="245"/>
      <c r="D1656" s="26"/>
      <c r="E1656" s="26"/>
      <c r="F1656" s="26"/>
      <c r="G1656" s="26"/>
      <c r="H1656" s="5"/>
    </row>
    <row r="1657" spans="2:38" ht="14.25" customHeight="1">
      <c r="C1657" s="245"/>
      <c r="D1657" s="26"/>
      <c r="E1657" s="26"/>
      <c r="F1657" s="26"/>
      <c r="G1657" s="26"/>
      <c r="H1657" s="5"/>
    </row>
    <row r="1658" spans="2:38" ht="14.25" customHeight="1">
      <c r="C1658" s="245"/>
      <c r="D1658" s="26"/>
      <c r="E1658" s="26"/>
      <c r="F1658" s="26"/>
      <c r="G1658" s="26"/>
      <c r="H1658" s="5"/>
    </row>
    <row r="1659" spans="2:38" ht="14.25" customHeight="1">
      <c r="C1659" s="245"/>
      <c r="D1659" s="26"/>
      <c r="E1659" s="26"/>
      <c r="F1659" s="26"/>
      <c r="G1659" s="26"/>
      <c r="H1659" s="5"/>
    </row>
    <row r="1660" spans="2:38" ht="14.25" customHeight="1">
      <c r="C1660" s="245"/>
      <c r="D1660" s="26"/>
      <c r="E1660" s="26"/>
      <c r="F1660" s="26"/>
      <c r="G1660" s="26"/>
      <c r="H1660" s="5"/>
    </row>
    <row r="1661" spans="2:38" ht="14.25" customHeight="1">
      <c r="C1661" s="245"/>
      <c r="D1661" s="26"/>
      <c r="E1661" s="26"/>
      <c r="F1661" s="26"/>
      <c r="G1661" s="26"/>
      <c r="H1661" s="5"/>
    </row>
    <row r="1662" spans="2:38" ht="14.25" customHeight="1">
      <c r="C1662" s="245"/>
      <c r="D1662" s="26"/>
      <c r="E1662" s="26"/>
      <c r="F1662" s="26"/>
      <c r="G1662" s="26"/>
      <c r="H1662" s="5"/>
    </row>
    <row r="1663" spans="2:38" ht="14.25" customHeight="1">
      <c r="C1663" s="245"/>
      <c r="D1663" s="26"/>
      <c r="E1663" s="26"/>
      <c r="F1663" s="26"/>
      <c r="G1663" s="26"/>
      <c r="H1663" s="5"/>
    </row>
    <row r="1664" spans="2:38" ht="14.25" customHeight="1">
      <c r="C1664" s="245"/>
      <c r="D1664" s="26"/>
      <c r="E1664" s="26"/>
      <c r="F1664" s="26"/>
      <c r="G1664" s="26"/>
      <c r="H1664" s="5"/>
    </row>
    <row r="1665" spans="3:8" ht="14.25" customHeight="1">
      <c r="C1665" s="245"/>
      <c r="D1665" s="26"/>
      <c r="E1665" s="26"/>
      <c r="F1665" s="26"/>
      <c r="G1665" s="26"/>
      <c r="H1665" s="5"/>
    </row>
    <row r="1666" spans="3:8" ht="14.25" customHeight="1">
      <c r="C1666" s="245"/>
      <c r="D1666" s="26"/>
      <c r="E1666" s="26"/>
      <c r="F1666" s="26"/>
      <c r="G1666" s="26"/>
      <c r="H1666" s="5"/>
    </row>
    <row r="1667" spans="3:8" ht="14.25" customHeight="1">
      <c r="C1667" s="245"/>
      <c r="D1667" s="26"/>
      <c r="E1667" s="26"/>
      <c r="F1667" s="26"/>
      <c r="G1667" s="26"/>
      <c r="H1667" s="5"/>
    </row>
    <row r="1668" spans="3:8" ht="14.25" customHeight="1">
      <c r="C1668" s="245"/>
      <c r="D1668" s="26"/>
      <c r="E1668" s="26"/>
      <c r="F1668" s="26"/>
      <c r="G1668" s="26"/>
      <c r="H1668" s="5"/>
    </row>
    <row r="1669" spans="3:8" ht="14.25" customHeight="1">
      <c r="C1669" s="245"/>
      <c r="D1669" s="26"/>
      <c r="E1669" s="26"/>
      <c r="F1669" s="26"/>
      <c r="G1669" s="26"/>
      <c r="H1669" s="5"/>
    </row>
    <row r="1670" spans="3:8" ht="14.25" customHeight="1">
      <c r="C1670" s="245"/>
      <c r="D1670" s="26"/>
      <c r="E1670" s="26"/>
      <c r="F1670" s="26"/>
      <c r="G1670" s="26"/>
      <c r="H1670" s="5"/>
    </row>
    <row r="1671" spans="3:8" ht="14.25" customHeight="1">
      <c r="C1671" s="245"/>
      <c r="D1671" s="26"/>
      <c r="E1671" s="26"/>
      <c r="F1671" s="26"/>
      <c r="G1671" s="26"/>
      <c r="H1671" s="5"/>
    </row>
    <row r="1672" spans="3:8" ht="14.25" customHeight="1">
      <c r="C1672" s="245"/>
      <c r="D1672" s="26"/>
      <c r="E1672" s="26"/>
      <c r="F1672" s="26"/>
      <c r="G1672" s="26"/>
      <c r="H1672" s="5"/>
    </row>
    <row r="1673" spans="3:8" ht="14.25" customHeight="1">
      <c r="C1673" s="245"/>
      <c r="D1673" s="26"/>
      <c r="E1673" s="26"/>
      <c r="F1673" s="26"/>
      <c r="G1673" s="26"/>
      <c r="H1673" s="5"/>
    </row>
    <row r="1674" spans="3:8" ht="14.25" customHeight="1">
      <c r="C1674" s="245"/>
      <c r="D1674" s="26"/>
      <c r="E1674" s="26"/>
      <c r="F1674" s="26"/>
      <c r="G1674" s="26"/>
      <c r="H1674" s="5"/>
    </row>
    <row r="1675" spans="3:8" ht="14.25" customHeight="1">
      <c r="C1675" s="245"/>
      <c r="D1675" s="26"/>
      <c r="E1675" s="26"/>
      <c r="F1675" s="26"/>
      <c r="G1675" s="26"/>
      <c r="H1675" s="5"/>
    </row>
    <row r="1676" spans="3:8" ht="14.25" customHeight="1">
      <c r="C1676" s="245"/>
      <c r="D1676" s="26"/>
      <c r="E1676" s="26"/>
      <c r="F1676" s="26"/>
      <c r="G1676" s="26"/>
      <c r="H1676" s="5"/>
    </row>
    <row r="1677" spans="3:8" ht="14.25" customHeight="1">
      <c r="C1677" s="245"/>
      <c r="D1677" s="26"/>
      <c r="E1677" s="26"/>
      <c r="F1677" s="26"/>
      <c r="G1677" s="26"/>
      <c r="H1677" s="5"/>
    </row>
    <row r="1678" spans="3:8" ht="14.25" customHeight="1">
      <c r="C1678" s="245"/>
      <c r="D1678" s="26"/>
      <c r="E1678" s="26"/>
      <c r="F1678" s="26"/>
      <c r="G1678" s="26"/>
      <c r="H1678" s="5"/>
    </row>
    <row r="1679" spans="3:8" ht="14.25" customHeight="1">
      <c r="C1679" s="245"/>
      <c r="D1679" s="26"/>
      <c r="E1679" s="26"/>
      <c r="F1679" s="26"/>
      <c r="G1679" s="26"/>
      <c r="H1679" s="5"/>
    </row>
    <row r="1680" spans="3:8" ht="14.25" customHeight="1">
      <c r="C1680" s="245"/>
      <c r="D1680" s="26"/>
      <c r="E1680" s="26"/>
      <c r="F1680" s="26"/>
      <c r="G1680" s="26"/>
      <c r="H1680" s="5"/>
    </row>
    <row r="1681" spans="3:8" ht="14.25" customHeight="1">
      <c r="C1681" s="245"/>
      <c r="D1681" s="26"/>
      <c r="E1681" s="26"/>
      <c r="F1681" s="26"/>
      <c r="G1681" s="26"/>
      <c r="H1681" s="5"/>
    </row>
    <row r="1682" spans="3:8" ht="14.25" customHeight="1">
      <c r="C1682" s="245"/>
      <c r="D1682" s="26"/>
      <c r="E1682" s="26"/>
      <c r="F1682" s="26"/>
      <c r="G1682" s="26"/>
      <c r="H1682" s="5"/>
    </row>
    <row r="1683" spans="3:8" ht="14.25" customHeight="1">
      <c r="C1683" s="245"/>
      <c r="D1683" s="26"/>
      <c r="E1683" s="26"/>
      <c r="F1683" s="26"/>
      <c r="G1683" s="26"/>
      <c r="H1683" s="5"/>
    </row>
    <row r="1684" spans="3:8" ht="14.25" customHeight="1">
      <c r="C1684" s="245"/>
      <c r="D1684" s="26"/>
      <c r="E1684" s="26"/>
      <c r="F1684" s="26"/>
      <c r="G1684" s="26"/>
      <c r="H1684" s="5"/>
    </row>
    <row r="1685" spans="3:8" ht="14.25" customHeight="1">
      <c r="C1685" s="245"/>
      <c r="D1685" s="26"/>
      <c r="E1685" s="26"/>
      <c r="F1685" s="26"/>
      <c r="G1685" s="26"/>
      <c r="H1685" s="5"/>
    </row>
    <row r="1686" spans="3:8" ht="14.25" customHeight="1">
      <c r="C1686" s="245"/>
      <c r="D1686" s="26"/>
      <c r="E1686" s="26"/>
      <c r="F1686" s="26"/>
      <c r="G1686" s="26"/>
      <c r="H1686" s="5"/>
    </row>
    <row r="1687" spans="3:8" ht="14.25" customHeight="1">
      <c r="C1687" s="245"/>
      <c r="D1687" s="26"/>
      <c r="E1687" s="26"/>
      <c r="F1687" s="26"/>
      <c r="G1687" s="26"/>
      <c r="H1687" s="5"/>
    </row>
    <row r="1688" spans="3:8" ht="14.25" customHeight="1">
      <c r="C1688" s="245"/>
      <c r="D1688" s="26"/>
      <c r="E1688" s="26"/>
      <c r="F1688" s="26"/>
      <c r="G1688" s="26"/>
      <c r="H1688" s="5"/>
    </row>
    <row r="1689" spans="3:8" ht="14.25" customHeight="1">
      <c r="C1689" s="245"/>
      <c r="D1689" s="26"/>
      <c r="E1689" s="26"/>
      <c r="F1689" s="26"/>
      <c r="G1689" s="26"/>
      <c r="H1689" s="5"/>
    </row>
    <row r="1690" spans="3:8" ht="14.25" customHeight="1">
      <c r="C1690" s="245"/>
      <c r="D1690" s="26"/>
      <c r="E1690" s="26"/>
      <c r="F1690" s="26"/>
      <c r="G1690" s="26"/>
      <c r="H1690" s="5"/>
    </row>
    <row r="1691" spans="3:8" ht="14.25" customHeight="1">
      <c r="C1691" s="245"/>
      <c r="D1691" s="26"/>
      <c r="E1691" s="26"/>
      <c r="F1691" s="26"/>
      <c r="G1691" s="26"/>
      <c r="H1691" s="5"/>
    </row>
    <row r="1692" spans="3:8" ht="14.25" customHeight="1">
      <c r="C1692" s="245"/>
      <c r="D1692" s="26"/>
      <c r="E1692" s="26"/>
      <c r="F1692" s="26"/>
      <c r="G1692" s="26"/>
      <c r="H1692" s="5"/>
    </row>
    <row r="1693" spans="3:8" ht="14.25" customHeight="1">
      <c r="C1693" s="245"/>
      <c r="D1693" s="26"/>
      <c r="E1693" s="26"/>
      <c r="F1693" s="26"/>
      <c r="G1693" s="26"/>
      <c r="H1693" s="5"/>
    </row>
    <row r="1694" spans="3:8" ht="14.25" customHeight="1">
      <c r="C1694" s="245"/>
      <c r="D1694" s="26"/>
      <c r="E1694" s="26"/>
      <c r="F1694" s="26"/>
      <c r="G1694" s="26"/>
      <c r="H1694" s="5"/>
    </row>
    <row r="1695" spans="3:8" ht="14.25" customHeight="1">
      <c r="C1695" s="245"/>
      <c r="D1695" s="26"/>
      <c r="E1695" s="26"/>
      <c r="F1695" s="26"/>
      <c r="G1695" s="26"/>
      <c r="H1695" s="5"/>
    </row>
    <row r="1696" spans="3:8" ht="14.25" customHeight="1">
      <c r="C1696" s="245"/>
      <c r="D1696" s="26"/>
      <c r="E1696" s="26"/>
      <c r="F1696" s="26"/>
      <c r="G1696" s="26"/>
      <c r="H1696" s="5"/>
    </row>
    <row r="1697" spans="1:46" ht="14.25" customHeight="1">
      <c r="C1697" s="245"/>
      <c r="D1697" s="26"/>
      <c r="E1697" s="26"/>
      <c r="F1697" s="26"/>
      <c r="G1697" s="26"/>
      <c r="H1697" s="5"/>
    </row>
    <row r="1698" spans="1:46" ht="14.25" customHeight="1">
      <c r="C1698" s="245"/>
      <c r="D1698" s="26"/>
      <c r="E1698" s="26"/>
      <c r="F1698" s="26"/>
      <c r="G1698" s="26"/>
      <c r="H1698" s="5"/>
    </row>
    <row r="1699" spans="1:46" ht="14.25" customHeight="1">
      <c r="C1699" s="245"/>
      <c r="D1699" s="26"/>
      <c r="E1699" s="26"/>
      <c r="F1699" s="26"/>
      <c r="G1699" s="26"/>
      <c r="H1699" s="5"/>
    </row>
    <row r="1700" spans="1:46" ht="14.25" customHeight="1">
      <c r="C1700" s="245"/>
      <c r="D1700" s="26"/>
      <c r="E1700" s="26"/>
      <c r="F1700" s="26"/>
      <c r="G1700" s="26"/>
      <c r="H1700" s="5"/>
    </row>
    <row r="1701" spans="1:46" ht="14.25" customHeight="1">
      <c r="C1701" s="245"/>
      <c r="D1701" s="26"/>
      <c r="E1701" s="26"/>
      <c r="F1701" s="26"/>
      <c r="G1701" s="26"/>
      <c r="H1701" s="5"/>
    </row>
    <row r="1702" spans="1:46" s="8" customFormat="1">
      <c r="B1702" s="1"/>
      <c r="C1702" s="245"/>
      <c r="D1702" s="26"/>
      <c r="E1702" s="26"/>
      <c r="F1702" s="26"/>
      <c r="G1702" s="26"/>
      <c r="H1702" s="5"/>
      <c r="I1702" s="1"/>
      <c r="J1702" s="1"/>
      <c r="K1702" s="1"/>
      <c r="AE1702" s="289">
        <f>Z1702/100*12+Z1702</f>
        <v>0</v>
      </c>
      <c r="AF1702" s="289" t="e">
        <f>AE1702/Z1702-1</f>
        <v>#DIV/0!</v>
      </c>
      <c r="AN1702" s="280"/>
      <c r="AO1702" s="280"/>
      <c r="AP1702" s="280"/>
      <c r="AQ1702" s="280"/>
      <c r="AR1702" s="280"/>
      <c r="AS1702" s="280"/>
      <c r="AT1702" s="280"/>
    </row>
    <row r="1703" spans="1:46" s="8" customFormat="1" ht="12.75" customHeight="1">
      <c r="B1703" s="451" t="str">
        <f>TITLE!$C$31</f>
        <v>Полотна скляні: ЛАЙН</v>
      </c>
      <c r="C1703" s="451"/>
      <c r="D1703" s="118"/>
      <c r="E1703" s="118"/>
      <c r="F1703" s="118"/>
      <c r="G1703" s="118"/>
      <c r="H1703" s="118"/>
      <c r="I1703" s="121"/>
      <c r="J1703" s="121"/>
      <c r="K1703" s="121"/>
      <c r="L1703" s="121"/>
      <c r="M1703" s="121"/>
      <c r="N1703" s="121"/>
      <c r="O1703" s="121"/>
      <c r="P1703" s="121"/>
      <c r="Q1703" s="121"/>
      <c r="R1703" s="121"/>
      <c r="S1703" s="121"/>
      <c r="T1703" s="462" t="str">
        <f>IF($C$1="ENG",CONCATENATE("up to: ",B1630),CONCATENATE("вгору до: ",B1630))</f>
        <v>вгору до: Полотна скляні: ЛІНЕЯ</v>
      </c>
      <c r="U1703" s="462"/>
      <c r="V1703" s="462"/>
      <c r="W1703" s="462"/>
      <c r="AN1703" s="280"/>
      <c r="AO1703" s="280"/>
      <c r="AP1703" s="280"/>
      <c r="AQ1703" s="280"/>
      <c r="AR1703" s="280"/>
      <c r="AS1703" s="280"/>
      <c r="AT1703" s="280"/>
    </row>
    <row r="1704" spans="1:46" ht="4.5" customHeight="1">
      <c r="A1704" s="8"/>
      <c r="B1704" s="117"/>
      <c r="C1704" s="420"/>
      <c r="D1704" s="9"/>
      <c r="E1704" s="9"/>
      <c r="F1704" s="9"/>
      <c r="G1704" s="9"/>
      <c r="H1704" s="10"/>
      <c r="I1704" s="8"/>
      <c r="J1704" s="8"/>
      <c r="K1704" s="8"/>
      <c r="L1704" s="8"/>
      <c r="M1704" s="11"/>
      <c r="P1704" s="8"/>
      <c r="Q1704" s="11"/>
    </row>
    <row r="1705" spans="1:46" ht="12.75" customHeight="1">
      <c r="A1705" s="8"/>
      <c r="B1705" s="452" t="str">
        <f>IF($C$1="ENG","model","модель")</f>
        <v>модель</v>
      </c>
      <c r="C1705" s="122" t="str">
        <f>IF($C$1="ENG","cover:","покриття:")</f>
        <v>покриття:</v>
      </c>
      <c r="D1705" s="458" t="str">
        <f>IF($C$1="ENG","VERTO-CELL","VERTO-CELL")</f>
        <v>VERTO-CELL</v>
      </c>
      <c r="E1705" s="459"/>
      <c r="F1705" s="458" t="str">
        <f>IF($C$1="ENG","RESIST","RESIST")</f>
        <v>RESIST</v>
      </c>
      <c r="G1705" s="459"/>
      <c r="H1705" s="458" t="str">
        <f>IF($C$1="ENG","Verto LINE-3D","Verto LINE-3D")</f>
        <v>Verto LINE-3D</v>
      </c>
      <c r="I1705" s="459"/>
      <c r="J1705" s="458" t="str">
        <f>IF($C$1="ENG","ECO Shpon","ЕКО Шпон")</f>
        <v>ЕКО Шпон</v>
      </c>
      <c r="K1705" s="459"/>
      <c r="L1705" s="8"/>
      <c r="M1705" s="11"/>
      <c r="P1705" s="8"/>
      <c r="Q1705" s="11"/>
    </row>
    <row r="1706" spans="1:46" ht="12.75" customHeight="1">
      <c r="A1706" s="8"/>
      <c r="B1706" s="453"/>
      <c r="C1706" s="123" t="str">
        <f>IF($C$1="ENG","filling:","заповнення:")</f>
        <v>заповнення:</v>
      </c>
      <c r="D1706" s="460" t="str">
        <f>IF($C$1="ENG","honeycomb core ","сотове заповнення")</f>
        <v>сотове заповнення</v>
      </c>
      <c r="E1706" s="461"/>
      <c r="F1706" s="460" t="str">
        <f>IF($C$1="ENG","honeycomb core ","сотове заповнення")</f>
        <v>сотове заповнення</v>
      </c>
      <c r="G1706" s="461"/>
      <c r="H1706" s="460" t="str">
        <f>IF($C$1="ENG","honeycomb core ","сотове заповнення")</f>
        <v>сотове заповнення</v>
      </c>
      <c r="I1706" s="461"/>
      <c r="J1706" s="460" t="str">
        <f>IF($C$1="ENG","honeycomb core ","сотове заповнення")</f>
        <v>сотове заповнення</v>
      </c>
      <c r="K1706" s="461"/>
      <c r="L1706" s="8"/>
      <c r="M1706" s="11"/>
      <c r="P1706" s="8"/>
      <c r="Q1706" s="11"/>
    </row>
    <row r="1707" spans="1:46">
      <c r="A1707" s="8"/>
      <c r="B1707" s="454"/>
      <c r="C1707" s="124" t="str">
        <f>IF($C$1="ENG","glazing:","скління:")</f>
        <v>скління:</v>
      </c>
      <c r="D1707" s="449" t="str">
        <f>IF($C$1="ENG","Drawing / Satin (1)","Малюнок / Сатин (1)")</f>
        <v>Малюнок / Сатин (1)</v>
      </c>
      <c r="E1707" s="450"/>
      <c r="F1707" s="449" t="str">
        <f>IF($C$1="ENG","Drawing / Satin (1)","Малюнок / Сатин (1)")</f>
        <v>Малюнок / Сатин (1)</v>
      </c>
      <c r="G1707" s="450"/>
      <c r="H1707" s="449" t="str">
        <f>IF($C$1="ENG","Drawing / Satin (1)","Малюнок / Сатин (1)")</f>
        <v>Малюнок / Сатин (1)</v>
      </c>
      <c r="I1707" s="450"/>
      <c r="J1707" s="449" t="str">
        <f>IF($C$1="ENG","Drawing / Satin (1)","Малюнок / Сатин (1)")</f>
        <v>Малюнок / Сатин (1)</v>
      </c>
      <c r="K1707" s="450"/>
      <c r="L1707" s="104"/>
      <c r="M1707" s="20"/>
      <c r="N1707" s="104"/>
      <c r="O1707" s="20"/>
      <c r="P1707" s="104"/>
      <c r="Q1707" s="20"/>
      <c r="R1707" s="104"/>
      <c r="S1707" s="20"/>
      <c r="T1707" s="104"/>
      <c r="V1707" s="104"/>
      <c r="W1707" s="20"/>
      <c r="X1707" s="22"/>
      <c r="Y1707" s="22"/>
      <c r="Z1707" s="22"/>
      <c r="AA1707" s="22"/>
      <c r="AB1707" s="22"/>
    </row>
    <row r="1708" spans="1:46" ht="35.1" customHeight="1">
      <c r="A1708" s="8"/>
      <c r="B1708" s="13">
        <v>1</v>
      </c>
      <c r="C1708" s="14"/>
      <c r="D1708" s="15">
        <f t="shared" ref="D1708:D1714" si="231">IF(AC1708="","",(1-$W$2)*(AC1708/1.2))</f>
        <v>6033.3333333333339</v>
      </c>
      <c r="E1708" s="64">
        <f t="shared" ref="E1708:E1714" si="232">IF($W$5=0.2,D1708*1.2,D1708)/$W$4</f>
        <v>7240.0000000000009</v>
      </c>
      <c r="F1708" s="15">
        <f t="shared" ref="F1708:F1714" si="233">IF(AD1708="","",(1-$W$2)*(AD1708/1.2))</f>
        <v>6516.666666666667</v>
      </c>
      <c r="G1708" s="64">
        <f t="shared" ref="G1708:G1714" si="234">IF($W$5=0.2,F1708*1.2,F1708)/$W$4</f>
        <v>7820</v>
      </c>
      <c r="H1708" s="15">
        <f t="shared" ref="H1708:H1714" si="235">IF(AE1708="","",(1-$W$2)*(AE1708/1.2))</f>
        <v>6800</v>
      </c>
      <c r="I1708" s="64">
        <f t="shared" ref="I1708:I1714" si="236">IF($W$5=0.2,H1708*1.2,H1708)/$W$4</f>
        <v>8160</v>
      </c>
      <c r="J1708" s="15">
        <f>IF(AF1708="","",(1-$W$2)*(AF1708/1.2))</f>
        <v>7141.666666666667</v>
      </c>
      <c r="K1708" s="64">
        <f t="shared" ref="K1708:K1714" si="237">IF($W$5=0.2,J1708*1.2,J1708)/$W$4</f>
        <v>8570</v>
      </c>
      <c r="L1708" s="104"/>
      <c r="M1708" s="20"/>
      <c r="N1708" s="104"/>
      <c r="O1708" s="20"/>
      <c r="P1708" s="104"/>
      <c r="Q1708" s="20"/>
      <c r="R1708" s="104"/>
      <c r="S1708" s="20"/>
      <c r="T1708" s="104"/>
      <c r="V1708" s="104"/>
      <c r="W1708" s="20"/>
      <c r="AC1708" s="332">
        <v>7240</v>
      </c>
      <c r="AD1708" s="332">
        <v>7820</v>
      </c>
      <c r="AE1708" s="332">
        <v>8160</v>
      </c>
      <c r="AF1708" s="332">
        <v>8570</v>
      </c>
      <c r="AG1708" s="289">
        <v>7240</v>
      </c>
      <c r="AH1708" s="289">
        <f>AG1708/AC1708-1</f>
        <v>0</v>
      </c>
      <c r="AI1708" s="289">
        <v>7820</v>
      </c>
      <c r="AJ1708" s="289">
        <f>AI1708/AD1708-1</f>
        <v>0</v>
      </c>
      <c r="AK1708" s="289">
        <v>8160</v>
      </c>
      <c r="AL1708" s="289">
        <f>AK1708/AE1708-1</f>
        <v>0</v>
      </c>
      <c r="AM1708" s="289">
        <v>8570</v>
      </c>
      <c r="AN1708" s="289">
        <f>AM1708/AF1708-1</f>
        <v>0</v>
      </c>
      <c r="AO1708" s="1"/>
      <c r="AP1708" s="1"/>
    </row>
    <row r="1709" spans="1:46" ht="35.1" customHeight="1">
      <c r="A1709" s="8"/>
      <c r="B1709" s="16">
        <v>2</v>
      </c>
      <c r="C1709" s="17"/>
      <c r="D1709" s="18">
        <f t="shared" si="231"/>
        <v>6700</v>
      </c>
      <c r="E1709" s="66">
        <f t="shared" si="232"/>
        <v>8040</v>
      </c>
      <c r="F1709" s="18">
        <f t="shared" si="233"/>
        <v>7158.3333333333339</v>
      </c>
      <c r="G1709" s="66">
        <f t="shared" si="234"/>
        <v>8590</v>
      </c>
      <c r="H1709" s="18">
        <f t="shared" si="235"/>
        <v>7475</v>
      </c>
      <c r="I1709" s="66">
        <f t="shared" si="236"/>
        <v>8970</v>
      </c>
      <c r="J1709" s="18">
        <f t="shared" ref="J1709:J1714" si="238">IF(AF1709="","",(1-$W$2)*(AF1709/1.2))</f>
        <v>7833.3333333333339</v>
      </c>
      <c r="K1709" s="66">
        <f t="shared" si="237"/>
        <v>9400</v>
      </c>
      <c r="L1709" s="104"/>
      <c r="M1709" s="20"/>
      <c r="N1709" s="104"/>
      <c r="O1709" s="20"/>
      <c r="P1709" s="104"/>
      <c r="Q1709" s="20"/>
      <c r="R1709" s="104"/>
      <c r="S1709" s="20"/>
      <c r="T1709" s="104"/>
      <c r="V1709" s="104"/>
      <c r="W1709" s="20"/>
      <c r="AC1709" s="332">
        <v>8040</v>
      </c>
      <c r="AD1709" s="332">
        <v>8590</v>
      </c>
      <c r="AE1709" s="332">
        <v>8970</v>
      </c>
      <c r="AF1709" s="332">
        <v>9400</v>
      </c>
      <c r="AG1709" s="289">
        <v>8040</v>
      </c>
      <c r="AH1709" s="289">
        <f t="shared" ref="AH1709:AH1714" si="239">AG1709/AC1709-1</f>
        <v>0</v>
      </c>
      <c r="AI1709" s="289">
        <v>8590</v>
      </c>
      <c r="AJ1709" s="289">
        <f t="shared" ref="AJ1709:AJ1714" si="240">AI1709/AD1709-1</f>
        <v>0</v>
      </c>
      <c r="AK1709" s="289">
        <v>8970</v>
      </c>
      <c r="AL1709" s="289">
        <f t="shared" ref="AL1709:AL1714" si="241">AK1709/AE1709-1</f>
        <v>0</v>
      </c>
      <c r="AM1709" s="289">
        <v>9400</v>
      </c>
      <c r="AN1709" s="289">
        <f t="shared" ref="AN1709:AN1714" si="242">AM1709/AF1709-1</f>
        <v>0</v>
      </c>
      <c r="AO1709" s="1"/>
      <c r="AP1709" s="1"/>
    </row>
    <row r="1710" spans="1:46" ht="35.1" customHeight="1">
      <c r="A1710" s="8"/>
      <c r="B1710" s="16">
        <v>3</v>
      </c>
      <c r="C1710" s="17"/>
      <c r="D1710" s="18">
        <f t="shared" si="231"/>
        <v>6700</v>
      </c>
      <c r="E1710" s="66">
        <f t="shared" si="232"/>
        <v>8040</v>
      </c>
      <c r="F1710" s="18">
        <f t="shared" si="233"/>
        <v>7158.3333333333339</v>
      </c>
      <c r="G1710" s="66">
        <f t="shared" si="234"/>
        <v>8590</v>
      </c>
      <c r="H1710" s="18">
        <f t="shared" si="235"/>
        <v>7475</v>
      </c>
      <c r="I1710" s="66">
        <f t="shared" si="236"/>
        <v>8970</v>
      </c>
      <c r="J1710" s="18">
        <f t="shared" si="238"/>
        <v>7833.3333333333339</v>
      </c>
      <c r="K1710" s="66">
        <f t="shared" si="237"/>
        <v>9400</v>
      </c>
      <c r="L1710" s="104"/>
      <c r="M1710" s="20"/>
      <c r="N1710" s="104"/>
      <c r="O1710" s="20"/>
      <c r="P1710" s="104"/>
      <c r="Q1710" s="20"/>
      <c r="R1710" s="104"/>
      <c r="S1710" s="20"/>
      <c r="T1710" s="104"/>
      <c r="V1710" s="104"/>
      <c r="W1710" s="20"/>
      <c r="AC1710" s="332">
        <v>8040</v>
      </c>
      <c r="AD1710" s="332">
        <v>8590</v>
      </c>
      <c r="AE1710" s="332">
        <v>8970</v>
      </c>
      <c r="AF1710" s="332">
        <v>9400</v>
      </c>
      <c r="AG1710" s="289">
        <v>8040</v>
      </c>
      <c r="AH1710" s="289">
        <f t="shared" si="239"/>
        <v>0</v>
      </c>
      <c r="AI1710" s="289">
        <v>8590</v>
      </c>
      <c r="AJ1710" s="289">
        <f t="shared" si="240"/>
        <v>0</v>
      </c>
      <c r="AK1710" s="289">
        <v>8970</v>
      </c>
      <c r="AL1710" s="289">
        <f t="shared" si="241"/>
        <v>0</v>
      </c>
      <c r="AM1710" s="289">
        <v>9400</v>
      </c>
      <c r="AN1710" s="289">
        <f t="shared" si="242"/>
        <v>0</v>
      </c>
      <c r="AO1710" s="1"/>
      <c r="AP1710" s="1"/>
    </row>
    <row r="1711" spans="1:46" ht="35.1" customHeight="1">
      <c r="A1711" s="8"/>
      <c r="B1711" s="16">
        <v>4</v>
      </c>
      <c r="C1711" s="17"/>
      <c r="D1711" s="18">
        <f t="shared" si="231"/>
        <v>6700</v>
      </c>
      <c r="E1711" s="66">
        <f t="shared" si="232"/>
        <v>8040</v>
      </c>
      <c r="F1711" s="18">
        <f t="shared" si="233"/>
        <v>7158.3333333333339</v>
      </c>
      <c r="G1711" s="66">
        <f t="shared" si="234"/>
        <v>8590</v>
      </c>
      <c r="H1711" s="18">
        <f t="shared" si="235"/>
        <v>7475</v>
      </c>
      <c r="I1711" s="66">
        <f t="shared" si="236"/>
        <v>8970</v>
      </c>
      <c r="J1711" s="18">
        <f t="shared" si="238"/>
        <v>7833.3333333333339</v>
      </c>
      <c r="K1711" s="66">
        <f t="shared" si="237"/>
        <v>9400</v>
      </c>
      <c r="L1711" s="104"/>
      <c r="M1711" s="20"/>
      <c r="N1711" s="104"/>
      <c r="O1711" s="20"/>
      <c r="P1711" s="104"/>
      <c r="Q1711" s="20"/>
      <c r="R1711" s="104"/>
      <c r="S1711" s="20"/>
      <c r="T1711" s="104"/>
      <c r="V1711" s="104"/>
      <c r="W1711" s="20"/>
      <c r="AC1711" s="332">
        <v>8040</v>
      </c>
      <c r="AD1711" s="332">
        <v>8590</v>
      </c>
      <c r="AE1711" s="332">
        <v>8970</v>
      </c>
      <c r="AF1711" s="332">
        <v>9400</v>
      </c>
      <c r="AG1711" s="289">
        <v>8040</v>
      </c>
      <c r="AH1711" s="289">
        <f t="shared" si="239"/>
        <v>0</v>
      </c>
      <c r="AI1711" s="289">
        <v>8590</v>
      </c>
      <c r="AJ1711" s="289">
        <f t="shared" si="240"/>
        <v>0</v>
      </c>
      <c r="AK1711" s="289">
        <v>8970</v>
      </c>
      <c r="AL1711" s="289">
        <f t="shared" si="241"/>
        <v>0</v>
      </c>
      <c r="AM1711" s="289">
        <v>9400</v>
      </c>
      <c r="AN1711" s="289">
        <f t="shared" si="242"/>
        <v>0</v>
      </c>
      <c r="AO1711" s="1"/>
      <c r="AP1711" s="1"/>
    </row>
    <row r="1712" spans="1:46" ht="35.1" customHeight="1">
      <c r="A1712" s="8"/>
      <c r="B1712" s="16">
        <v>5</v>
      </c>
      <c r="C1712" s="17"/>
      <c r="D1712" s="18">
        <f t="shared" si="231"/>
        <v>6700</v>
      </c>
      <c r="E1712" s="66">
        <f t="shared" si="232"/>
        <v>8040</v>
      </c>
      <c r="F1712" s="18">
        <f t="shared" si="233"/>
        <v>7158.3333333333339</v>
      </c>
      <c r="G1712" s="66">
        <f t="shared" si="234"/>
        <v>8590</v>
      </c>
      <c r="H1712" s="18">
        <f t="shared" si="235"/>
        <v>7475</v>
      </c>
      <c r="I1712" s="66">
        <f t="shared" si="236"/>
        <v>8970</v>
      </c>
      <c r="J1712" s="18">
        <f t="shared" si="238"/>
        <v>7833.3333333333339</v>
      </c>
      <c r="K1712" s="66">
        <f t="shared" si="237"/>
        <v>9400</v>
      </c>
      <c r="L1712" s="104"/>
      <c r="M1712" s="20"/>
      <c r="N1712" s="104"/>
      <c r="O1712" s="20"/>
      <c r="P1712" s="104"/>
      <c r="Q1712" s="20"/>
      <c r="R1712" s="104"/>
      <c r="S1712" s="20"/>
      <c r="T1712" s="104"/>
      <c r="V1712" s="104"/>
      <c r="W1712" s="20"/>
      <c r="AC1712" s="332">
        <v>8040</v>
      </c>
      <c r="AD1712" s="332">
        <v>8590</v>
      </c>
      <c r="AE1712" s="332">
        <v>8970</v>
      </c>
      <c r="AF1712" s="332">
        <v>9400</v>
      </c>
      <c r="AG1712" s="289">
        <v>8040</v>
      </c>
      <c r="AH1712" s="289">
        <f t="shared" si="239"/>
        <v>0</v>
      </c>
      <c r="AI1712" s="289">
        <v>8590</v>
      </c>
      <c r="AJ1712" s="289">
        <f t="shared" si="240"/>
        <v>0</v>
      </c>
      <c r="AK1712" s="289">
        <v>8970</v>
      </c>
      <c r="AL1712" s="289">
        <f t="shared" si="241"/>
        <v>0</v>
      </c>
      <c r="AM1712" s="289">
        <v>9400</v>
      </c>
      <c r="AN1712" s="289">
        <f t="shared" si="242"/>
        <v>0</v>
      </c>
      <c r="AO1712" s="1"/>
      <c r="AP1712" s="1"/>
    </row>
    <row r="1713" spans="1:42" ht="35.1" customHeight="1">
      <c r="A1713" s="8"/>
      <c r="B1713" s="16">
        <v>6</v>
      </c>
      <c r="C1713" s="17"/>
      <c r="D1713" s="18">
        <f t="shared" si="231"/>
        <v>6700</v>
      </c>
      <c r="E1713" s="66">
        <f t="shared" si="232"/>
        <v>8040</v>
      </c>
      <c r="F1713" s="18">
        <f t="shared" si="233"/>
        <v>7158.3333333333339</v>
      </c>
      <c r="G1713" s="66">
        <f t="shared" si="234"/>
        <v>8590</v>
      </c>
      <c r="H1713" s="18">
        <f t="shared" si="235"/>
        <v>7475</v>
      </c>
      <c r="I1713" s="66">
        <f t="shared" si="236"/>
        <v>8970</v>
      </c>
      <c r="J1713" s="18">
        <f t="shared" si="238"/>
        <v>7833.3333333333339</v>
      </c>
      <c r="K1713" s="66">
        <f t="shared" si="237"/>
        <v>9400</v>
      </c>
      <c r="L1713" s="104"/>
      <c r="M1713" s="20"/>
      <c r="N1713" s="104"/>
      <c r="O1713" s="20"/>
      <c r="P1713" s="104"/>
      <c r="Q1713" s="20"/>
      <c r="R1713" s="104"/>
      <c r="S1713" s="20"/>
      <c r="T1713" s="104"/>
      <c r="V1713" s="104"/>
      <c r="W1713" s="20"/>
      <c r="AC1713" s="332">
        <v>8040</v>
      </c>
      <c r="AD1713" s="332">
        <v>8590</v>
      </c>
      <c r="AE1713" s="332">
        <v>8970</v>
      </c>
      <c r="AF1713" s="332">
        <v>9400</v>
      </c>
      <c r="AG1713" s="289">
        <v>8040</v>
      </c>
      <c r="AH1713" s="289">
        <f t="shared" si="239"/>
        <v>0</v>
      </c>
      <c r="AI1713" s="289">
        <v>8590</v>
      </c>
      <c r="AJ1713" s="289">
        <f t="shared" si="240"/>
        <v>0</v>
      </c>
      <c r="AK1713" s="289">
        <v>8970</v>
      </c>
      <c r="AL1713" s="289">
        <f t="shared" si="241"/>
        <v>0</v>
      </c>
      <c r="AM1713" s="289">
        <v>9400</v>
      </c>
      <c r="AN1713" s="289">
        <f t="shared" si="242"/>
        <v>0</v>
      </c>
      <c r="AO1713" s="1"/>
      <c r="AP1713" s="1"/>
    </row>
    <row r="1714" spans="1:42" ht="34.5" customHeight="1">
      <c r="B1714" s="23">
        <v>7</v>
      </c>
      <c r="C1714" s="24"/>
      <c r="D1714" s="25">
        <f t="shared" si="231"/>
        <v>6700</v>
      </c>
      <c r="E1714" s="69">
        <f t="shared" si="232"/>
        <v>8040</v>
      </c>
      <c r="F1714" s="25">
        <f t="shared" si="233"/>
        <v>7158.3333333333339</v>
      </c>
      <c r="G1714" s="69">
        <f t="shared" si="234"/>
        <v>8590</v>
      </c>
      <c r="H1714" s="25">
        <f t="shared" si="235"/>
        <v>7475</v>
      </c>
      <c r="I1714" s="69">
        <f t="shared" si="236"/>
        <v>8970</v>
      </c>
      <c r="J1714" s="25">
        <f t="shared" si="238"/>
        <v>7833.3333333333339</v>
      </c>
      <c r="K1714" s="69">
        <f t="shared" si="237"/>
        <v>9400</v>
      </c>
      <c r="L1714" s="8"/>
      <c r="P1714" s="8"/>
      <c r="AC1714" s="332">
        <v>8040</v>
      </c>
      <c r="AD1714" s="332">
        <v>8590</v>
      </c>
      <c r="AE1714" s="332">
        <v>8970</v>
      </c>
      <c r="AF1714" s="332">
        <v>9400</v>
      </c>
      <c r="AG1714" s="289">
        <v>8040</v>
      </c>
      <c r="AH1714" s="289">
        <f t="shared" si="239"/>
        <v>0</v>
      </c>
      <c r="AI1714" s="289">
        <v>8590</v>
      </c>
      <c r="AJ1714" s="289">
        <f t="shared" si="240"/>
        <v>0</v>
      </c>
      <c r="AK1714" s="289">
        <v>8970</v>
      </c>
      <c r="AL1714" s="289">
        <f t="shared" si="241"/>
        <v>0</v>
      </c>
      <c r="AM1714" s="289">
        <v>9400</v>
      </c>
      <c r="AN1714" s="289">
        <f t="shared" si="242"/>
        <v>0</v>
      </c>
      <c r="AO1714" s="1"/>
      <c r="AP1714" s="1"/>
    </row>
    <row r="1715" spans="1:42">
      <c r="C1715" s="245"/>
      <c r="D1715" s="26"/>
      <c r="E1715" s="57"/>
      <c r="F1715" s="26"/>
      <c r="G1715" s="57"/>
      <c r="H1715" s="10"/>
      <c r="I1715" s="8"/>
      <c r="J1715" s="8"/>
      <c r="K1715" s="8"/>
      <c r="L1715" s="8"/>
      <c r="P1715" s="8"/>
    </row>
    <row r="1716" spans="1:42" ht="12.75" customHeight="1">
      <c r="B1716" s="212" t="str">
        <f>IF($C$1="ENG","For additonal charge:","Послуги за додаткову плату:")</f>
        <v>Послуги за додаткову плату:</v>
      </c>
      <c r="C1716" s="421"/>
      <c r="D1716" s="213"/>
      <c r="E1716" s="214"/>
      <c r="F1716" s="26"/>
      <c r="G1716" s="57"/>
      <c r="H1716" s="10"/>
      <c r="I1716" s="8"/>
      <c r="J1716" s="8"/>
      <c r="K1716" s="8"/>
    </row>
    <row r="1717" spans="1:42" ht="4.5" customHeight="1">
      <c r="B1717" s="99"/>
      <c r="C1717" s="423"/>
      <c r="D1717" s="26"/>
      <c r="E1717" s="57"/>
      <c r="F1717" s="26"/>
      <c r="G1717" s="26"/>
      <c r="H1717" s="10"/>
      <c r="I1717" s="8"/>
      <c r="J1717" s="8"/>
      <c r="K1717" s="8"/>
    </row>
    <row r="1718" spans="1:42">
      <c r="B1718" s="447" t="str">
        <f>IF($C$1="ENG","door leaf with width 100","полотно розміром 100")</f>
        <v>полотно розміром 100</v>
      </c>
      <c r="C1718" s="448"/>
      <c r="D1718" s="15">
        <f t="shared" ref="D1718:D1729" si="243">IF(AC1718="","",(1-$W$2)*(AC1718/1.2))</f>
        <v>566.66666666666674</v>
      </c>
      <c r="E1718" s="92">
        <f t="shared" ref="E1718:E1727" si="244">IF($W$5=0.2,D1718*1.2,D1718)/$W$4</f>
        <v>680.00000000000011</v>
      </c>
      <c r="F1718" s="26"/>
      <c r="G1718" s="57"/>
      <c r="H1718" s="10"/>
      <c r="I1718" s="84"/>
      <c r="K1718" s="20"/>
      <c r="AC1718" s="298">
        <v>680</v>
      </c>
      <c r="AD1718" s="289">
        <v>680</v>
      </c>
      <c r="AE1718" s="289">
        <f>AD1718/AC1718-1</f>
        <v>0</v>
      </c>
      <c r="AF1718" s="289"/>
      <c r="AG1718" s="289"/>
      <c r="AH1718" s="289"/>
      <c r="AI1718" s="289"/>
      <c r="AJ1718" s="289"/>
      <c r="AK1718" s="289"/>
      <c r="AL1718" s="289"/>
    </row>
    <row r="1719" spans="1:42">
      <c r="B1719" s="445" t="str">
        <f>IF($C$1="ENG","glazing Triplex mat / black","скло Триплекс матовий / чорний")</f>
        <v>скло Триплекс матовий / чорний</v>
      </c>
      <c r="C1719" s="446"/>
      <c r="D1719" s="102">
        <f t="shared" si="243"/>
        <v>883.33333333333337</v>
      </c>
      <c r="E1719" s="93">
        <f t="shared" si="244"/>
        <v>1060</v>
      </c>
      <c r="F1719" s="26"/>
      <c r="G1719" s="26"/>
      <c r="I1719" s="11"/>
      <c r="J1719" s="11"/>
      <c r="K1719" s="19"/>
      <c r="AC1719" s="298">
        <v>1060</v>
      </c>
      <c r="AD1719" s="289">
        <v>1060</v>
      </c>
      <c r="AE1719" s="289">
        <f t="shared" ref="AE1719:AE1729" si="245">AD1719/AC1719-1</f>
        <v>0</v>
      </c>
      <c r="AF1719" s="289"/>
      <c r="AG1719" s="289"/>
      <c r="AH1719" s="289"/>
      <c r="AI1719" s="289"/>
      <c r="AJ1719" s="289"/>
      <c r="AK1719" s="289"/>
      <c r="AL1719" s="289"/>
    </row>
    <row r="1720" spans="1:42">
      <c r="B1720" s="445" t="str">
        <f>IF($C$1="ENG","glazing Graphite / Bronze","скло Графіт / Бронза")</f>
        <v>скло Графіт / Бронза</v>
      </c>
      <c r="C1720" s="446"/>
      <c r="D1720" s="102">
        <f t="shared" si="243"/>
        <v>650</v>
      </c>
      <c r="E1720" s="93">
        <f t="shared" si="244"/>
        <v>780</v>
      </c>
      <c r="F1720" s="26"/>
      <c r="G1720" s="141"/>
      <c r="I1720" s="11"/>
      <c r="AC1720" s="298">
        <v>780</v>
      </c>
      <c r="AD1720" s="289">
        <v>780</v>
      </c>
      <c r="AE1720" s="289">
        <f t="shared" si="245"/>
        <v>0</v>
      </c>
      <c r="AF1720" s="289"/>
      <c r="AG1720" s="289"/>
      <c r="AH1720" s="289"/>
      <c r="AI1720" s="289"/>
      <c r="AJ1720" s="289"/>
      <c r="AK1720" s="289"/>
      <c r="AL1720" s="289"/>
    </row>
    <row r="1721" spans="1:42">
      <c r="B1721" s="445" t="str">
        <f>IF($C$1="ENG","door lock Soft","замок Soft")</f>
        <v>замок Soft</v>
      </c>
      <c r="C1721" s="446"/>
      <c r="D1721" s="102">
        <f t="shared" si="243"/>
        <v>458.33333333333337</v>
      </c>
      <c r="E1721" s="93">
        <f t="shared" si="244"/>
        <v>550</v>
      </c>
      <c r="F1721" s="26"/>
      <c r="G1721" s="26"/>
      <c r="H1721" s="5"/>
      <c r="AC1721" s="298">
        <v>550</v>
      </c>
      <c r="AD1721" s="289">
        <v>550</v>
      </c>
      <c r="AE1721" s="289">
        <f t="shared" si="245"/>
        <v>0</v>
      </c>
      <c r="AF1721" s="289"/>
      <c r="AG1721" s="289"/>
      <c r="AH1721" s="289"/>
      <c r="AI1721" s="289"/>
      <c r="AJ1721" s="289"/>
      <c r="AK1721" s="289"/>
      <c r="AL1721" s="289"/>
    </row>
    <row r="1722" spans="1:42">
      <c r="B1722" s="445" t="str">
        <f>IF($C$1="ENG","door lock Soft black","замок Soft чорн.")</f>
        <v>замок Soft чорн.</v>
      </c>
      <c r="C1722" s="446"/>
      <c r="D1722" s="102">
        <f t="shared" ref="D1722" si="246">IF(AC1722="","",(1-$W$2)*(AC1722/1.2))</f>
        <v>566.66666666666674</v>
      </c>
      <c r="E1722" s="93">
        <f t="shared" ref="E1722" si="247">IF($W$5=0.2,D1722*1.2,D1722)/$W$4</f>
        <v>680.00000000000011</v>
      </c>
      <c r="F1722" s="26"/>
      <c r="G1722" s="26"/>
      <c r="H1722" s="5"/>
      <c r="AC1722" s="298">
        <v>680</v>
      </c>
      <c r="AD1722" s="289"/>
      <c r="AE1722" s="289"/>
      <c r="AF1722" s="289"/>
      <c r="AG1722" s="289"/>
      <c r="AH1722" s="289"/>
      <c r="AI1722" s="289"/>
      <c r="AJ1722" s="289"/>
      <c r="AK1722" s="289"/>
      <c r="AL1722" s="289"/>
    </row>
    <row r="1723" spans="1:42">
      <c r="B1723" s="445" t="str">
        <f>IF($C$1="ENG","door lock Magnet","замок Magnet")</f>
        <v>замок Magnet</v>
      </c>
      <c r="C1723" s="446"/>
      <c r="D1723" s="102">
        <f t="shared" si="243"/>
        <v>666.66666666666674</v>
      </c>
      <c r="E1723" s="93">
        <f t="shared" si="244"/>
        <v>800.00000000000011</v>
      </c>
      <c r="F1723" s="26"/>
      <c r="G1723" s="26"/>
      <c r="H1723" s="5"/>
      <c r="AC1723" s="298">
        <v>800</v>
      </c>
      <c r="AD1723" s="289">
        <v>800</v>
      </c>
      <c r="AE1723" s="289">
        <f t="shared" si="245"/>
        <v>0</v>
      </c>
      <c r="AF1723" s="289"/>
      <c r="AG1723" s="289"/>
      <c r="AH1723" s="289"/>
      <c r="AI1723" s="289"/>
      <c r="AJ1723" s="289"/>
      <c r="AK1723" s="289"/>
      <c r="AL1723" s="289"/>
    </row>
    <row r="1724" spans="1:42">
      <c r="B1724" s="445" t="s">
        <v>76</v>
      </c>
      <c r="C1724" s="446"/>
      <c r="D1724" s="102">
        <f t="shared" ref="D1724" si="248">IF(AC1724="","",(1-$W$2)*(AC1724/1.2))</f>
        <v>833.33333333333337</v>
      </c>
      <c r="E1724" s="93">
        <f t="shared" ref="E1724" si="249">IF($W$5=0.2,D1724*1.2,D1724)/$W$4</f>
        <v>1000</v>
      </c>
      <c r="F1724" s="26"/>
      <c r="G1724" s="26"/>
      <c r="H1724" s="5"/>
      <c r="AC1724" s="298">
        <v>1000</v>
      </c>
      <c r="AD1724" s="289"/>
      <c r="AE1724" s="289"/>
      <c r="AF1724" s="289"/>
      <c r="AG1724" s="289"/>
      <c r="AH1724" s="289"/>
      <c r="AI1724" s="289"/>
      <c r="AJ1724" s="289"/>
      <c r="AK1724" s="289"/>
      <c r="AL1724" s="289"/>
    </row>
    <row r="1725" spans="1:42">
      <c r="B1725" s="445" t="str">
        <f>IF($C$1="ENG","cylinder incert","циліндр несиметричний")</f>
        <v>циліндр несиметричний</v>
      </c>
      <c r="C1725" s="446"/>
      <c r="D1725" s="133">
        <f t="shared" si="243"/>
        <v>316.66666666666669</v>
      </c>
      <c r="E1725" s="66">
        <f t="shared" si="244"/>
        <v>380</v>
      </c>
      <c r="F1725" s="26"/>
      <c r="G1725" s="26"/>
      <c r="AC1725" s="298">
        <v>380</v>
      </c>
      <c r="AD1725" s="289">
        <v>380</v>
      </c>
      <c r="AE1725" s="289">
        <f t="shared" si="245"/>
        <v>0</v>
      </c>
      <c r="AF1725" s="289"/>
      <c r="AG1725" s="289"/>
      <c r="AH1725" s="289"/>
      <c r="AI1725" s="289"/>
      <c r="AJ1725" s="289"/>
      <c r="AK1725" s="289"/>
      <c r="AL1725" s="289"/>
    </row>
    <row r="1726" spans="1:42">
      <c r="B1726" s="445" t="str">
        <f>IF($C$1="ENG","door hindge Prestige (1 unit)","завіса Prestige (1 шт)")</f>
        <v>завіса Prestige (1 шт)</v>
      </c>
      <c r="C1726" s="446"/>
      <c r="D1726" s="135">
        <f t="shared" si="243"/>
        <v>216.66666666666669</v>
      </c>
      <c r="E1726" s="66">
        <f t="shared" si="244"/>
        <v>260</v>
      </c>
      <c r="F1726" s="26"/>
      <c r="G1726" s="26"/>
      <c r="AC1726" s="298">
        <v>260</v>
      </c>
      <c r="AD1726" s="289">
        <v>260</v>
      </c>
      <c r="AE1726" s="289">
        <f t="shared" si="245"/>
        <v>0</v>
      </c>
      <c r="AF1726" s="289"/>
      <c r="AG1726" s="289"/>
      <c r="AH1726" s="289"/>
      <c r="AI1726" s="289"/>
      <c r="AJ1726" s="289"/>
      <c r="AK1726" s="289"/>
      <c r="AL1726" s="289"/>
    </row>
    <row r="1727" spans="1:42">
      <c r="B1727" s="445" t="str">
        <f>IF($C$1="ENG","door hinge caps (1 set)","накладка на завіси (1 к-т)")</f>
        <v>накладка на завіси (1 к-т)</v>
      </c>
      <c r="C1727" s="446"/>
      <c r="D1727" s="135">
        <f t="shared" si="243"/>
        <v>66.666666666666671</v>
      </c>
      <c r="E1727" s="66">
        <f t="shared" si="244"/>
        <v>80</v>
      </c>
      <c r="F1727" s="26"/>
      <c r="G1727" s="26"/>
      <c r="AC1727" s="298">
        <v>80</v>
      </c>
      <c r="AD1727" s="289">
        <v>80</v>
      </c>
      <c r="AE1727" s="289">
        <f t="shared" si="245"/>
        <v>0</v>
      </c>
      <c r="AF1727" s="289"/>
      <c r="AG1727" s="289"/>
      <c r="AH1727" s="289"/>
      <c r="AI1727" s="289"/>
      <c r="AJ1727" s="289"/>
      <c r="AK1727" s="289"/>
      <c r="AL1727" s="289"/>
    </row>
    <row r="1728" spans="1:42">
      <c r="B1728" s="445" t="str">
        <f>IF($C$1="ENG","door handle","дверна ручка")</f>
        <v>дверна ручка</v>
      </c>
      <c r="C1728" s="446"/>
      <c r="D1728" s="133">
        <f t="shared" si="243"/>
        <v>0</v>
      </c>
      <c r="E1728" s="136" t="str">
        <f>IF($C$1="ENG","see Handles Price","див. Таблицю Ручки")</f>
        <v>див. Таблицю Ручки</v>
      </c>
      <c r="F1728" s="26"/>
      <c r="G1728" s="26"/>
      <c r="AC1728" s="298">
        <v>0</v>
      </c>
      <c r="AD1728" s="289">
        <f t="shared" ref="AD1728" si="250">AC1728/100*13+AC1728</f>
        <v>0</v>
      </c>
      <c r="AE1728" s="289" t="e">
        <f t="shared" si="245"/>
        <v>#DIV/0!</v>
      </c>
      <c r="AF1728" s="289"/>
      <c r="AG1728" s="289"/>
      <c r="AH1728" s="289"/>
      <c r="AI1728" s="289"/>
      <c r="AJ1728" s="289"/>
      <c r="AK1728" s="289"/>
      <c r="AL1728" s="289"/>
    </row>
    <row r="1729" spans="2:38">
      <c r="B1729" s="445" t="str">
        <f>IF($C$1="ENG","perforated chipboard","ДСП трубчасте")</f>
        <v>ДСП трубчасте</v>
      </c>
      <c r="C1729" s="446"/>
      <c r="D1729" s="134">
        <f t="shared" si="243"/>
        <v>775</v>
      </c>
      <c r="E1729" s="69">
        <f>IF($W$5=0.2,D1729*1.2,D1729)/$W$4</f>
        <v>930</v>
      </c>
      <c r="F1729" s="26"/>
      <c r="G1729" s="26"/>
      <c r="AC1729" s="298">
        <v>930</v>
      </c>
      <c r="AD1729" s="289">
        <v>930</v>
      </c>
      <c r="AE1729" s="289">
        <f t="shared" si="245"/>
        <v>0</v>
      </c>
      <c r="AF1729" s="289"/>
      <c r="AG1729" s="289"/>
      <c r="AH1729" s="289"/>
      <c r="AI1729" s="289"/>
      <c r="AJ1729" s="289"/>
      <c r="AK1729" s="289"/>
      <c r="AL1729" s="289"/>
    </row>
    <row r="1730" spans="2:38" ht="14.25" customHeight="1">
      <c r="C1730" s="245"/>
      <c r="D1730" s="26"/>
      <c r="E1730" s="26"/>
      <c r="F1730" s="26"/>
      <c r="G1730" s="26"/>
      <c r="H1730" s="5"/>
      <c r="T1730" s="465" t="str">
        <f>IF($C$1="ENG",CONCATENATE("down to: ",B1780),CONCATENATE("вниз до: ",B1780))</f>
        <v>вниз до: Полотна скляні: ЕЛЕГАНТ</v>
      </c>
      <c r="U1730" s="465"/>
      <c r="V1730" s="465"/>
      <c r="W1730" s="465"/>
    </row>
    <row r="1731" spans="2:38" ht="14.25" customHeight="1">
      <c r="C1731" s="245"/>
      <c r="D1731" s="26"/>
      <c r="E1731" s="26"/>
      <c r="F1731" s="26"/>
      <c r="G1731" s="26"/>
      <c r="H1731" s="5"/>
    </row>
    <row r="1732" spans="2:38" ht="14.25" customHeight="1">
      <c r="C1732" s="245"/>
      <c r="D1732" s="26"/>
      <c r="E1732" s="26"/>
      <c r="F1732" s="26"/>
      <c r="G1732" s="26"/>
      <c r="H1732" s="5"/>
    </row>
    <row r="1733" spans="2:38" ht="14.25" customHeight="1">
      <c r="C1733" s="245"/>
      <c r="D1733" s="26"/>
      <c r="E1733" s="26"/>
      <c r="F1733" s="26"/>
      <c r="G1733" s="26"/>
      <c r="H1733" s="5"/>
    </row>
    <row r="1734" spans="2:38" ht="14.25" customHeight="1">
      <c r="C1734" s="245"/>
      <c r="D1734" s="26"/>
      <c r="E1734" s="26"/>
      <c r="F1734" s="26"/>
      <c r="G1734" s="26"/>
      <c r="H1734" s="5"/>
    </row>
    <row r="1735" spans="2:38" ht="14.25" customHeight="1">
      <c r="C1735" s="245"/>
      <c r="D1735" s="26"/>
      <c r="E1735" s="26"/>
      <c r="F1735" s="26"/>
      <c r="G1735" s="26"/>
      <c r="H1735" s="5"/>
    </row>
    <row r="1736" spans="2:38" ht="14.25" customHeight="1">
      <c r="C1736" s="245"/>
      <c r="D1736" s="26"/>
      <c r="E1736" s="26"/>
      <c r="F1736" s="26"/>
      <c r="G1736" s="26"/>
      <c r="H1736" s="5"/>
    </row>
    <row r="1737" spans="2:38" ht="14.25" customHeight="1">
      <c r="C1737" s="245"/>
      <c r="D1737" s="26"/>
      <c r="E1737" s="26"/>
      <c r="F1737" s="26"/>
      <c r="G1737" s="26"/>
      <c r="H1737" s="5"/>
    </row>
    <row r="1738" spans="2:38" ht="14.25" customHeight="1">
      <c r="C1738" s="245"/>
      <c r="D1738" s="26"/>
      <c r="E1738" s="26"/>
      <c r="F1738" s="26"/>
      <c r="G1738" s="26"/>
      <c r="H1738" s="5"/>
    </row>
    <row r="1739" spans="2:38" ht="14.25" customHeight="1">
      <c r="C1739" s="245"/>
      <c r="D1739" s="26"/>
      <c r="E1739" s="26"/>
      <c r="F1739" s="26"/>
      <c r="G1739" s="26"/>
      <c r="H1739" s="5"/>
    </row>
    <row r="1740" spans="2:38" ht="14.25" customHeight="1">
      <c r="C1740" s="245"/>
      <c r="D1740" s="26"/>
      <c r="E1740" s="26"/>
      <c r="F1740" s="26"/>
      <c r="G1740" s="26"/>
      <c r="H1740" s="5"/>
    </row>
    <row r="1741" spans="2:38" ht="14.25" customHeight="1">
      <c r="C1741" s="245"/>
      <c r="D1741" s="26"/>
      <c r="E1741" s="26"/>
      <c r="F1741" s="26"/>
      <c r="G1741" s="26"/>
      <c r="H1741" s="5"/>
    </row>
    <row r="1742" spans="2:38" ht="14.25" customHeight="1">
      <c r="C1742" s="245"/>
      <c r="D1742" s="26"/>
      <c r="E1742" s="26"/>
      <c r="F1742" s="26"/>
      <c r="G1742" s="26"/>
      <c r="H1742" s="5"/>
    </row>
    <row r="1743" spans="2:38" ht="14.25" customHeight="1">
      <c r="C1743" s="245"/>
      <c r="D1743" s="26"/>
      <c r="E1743" s="26"/>
      <c r="F1743" s="26"/>
      <c r="G1743" s="26"/>
      <c r="H1743" s="5"/>
    </row>
    <row r="1744" spans="2:38" ht="14.25" customHeight="1">
      <c r="C1744" s="245"/>
      <c r="D1744" s="26"/>
      <c r="E1744" s="26"/>
      <c r="F1744" s="26"/>
      <c r="G1744" s="26"/>
      <c r="H1744" s="5"/>
    </row>
    <row r="1745" spans="3:8" ht="14.25" customHeight="1">
      <c r="C1745" s="245"/>
      <c r="D1745" s="26"/>
      <c r="E1745" s="26"/>
      <c r="F1745" s="26"/>
      <c r="G1745" s="26"/>
      <c r="H1745" s="5"/>
    </row>
    <row r="1746" spans="3:8" ht="14.25" customHeight="1">
      <c r="C1746" s="245"/>
      <c r="D1746" s="26"/>
      <c r="E1746" s="26"/>
      <c r="F1746" s="26"/>
      <c r="G1746" s="26"/>
      <c r="H1746" s="5"/>
    </row>
    <row r="1747" spans="3:8" ht="14.25" customHeight="1">
      <c r="C1747" s="245"/>
      <c r="D1747" s="26"/>
      <c r="E1747" s="26"/>
      <c r="F1747" s="26"/>
      <c r="G1747" s="26"/>
      <c r="H1747" s="5"/>
    </row>
    <row r="1748" spans="3:8" ht="14.25" customHeight="1">
      <c r="C1748" s="245"/>
      <c r="D1748" s="26"/>
      <c r="E1748" s="26"/>
      <c r="F1748" s="26"/>
      <c r="G1748" s="26"/>
      <c r="H1748" s="5"/>
    </row>
    <row r="1749" spans="3:8" ht="14.25" customHeight="1">
      <c r="C1749" s="245"/>
      <c r="D1749" s="26"/>
      <c r="E1749" s="26"/>
      <c r="F1749" s="26"/>
      <c r="G1749" s="26"/>
      <c r="H1749" s="5"/>
    </row>
    <row r="1750" spans="3:8" ht="14.25" customHeight="1">
      <c r="C1750" s="245"/>
      <c r="D1750" s="26"/>
      <c r="E1750" s="26"/>
      <c r="F1750" s="26"/>
      <c r="G1750" s="26"/>
      <c r="H1750" s="5"/>
    </row>
    <row r="1751" spans="3:8" ht="14.25" customHeight="1">
      <c r="C1751" s="245"/>
      <c r="D1751" s="26"/>
      <c r="E1751" s="26"/>
      <c r="F1751" s="26"/>
      <c r="G1751" s="26"/>
      <c r="H1751" s="5"/>
    </row>
    <row r="1752" spans="3:8" ht="14.25" customHeight="1">
      <c r="C1752" s="245"/>
      <c r="D1752" s="26"/>
      <c r="E1752" s="26"/>
      <c r="F1752" s="26"/>
      <c r="G1752" s="26"/>
      <c r="H1752" s="5"/>
    </row>
    <row r="1753" spans="3:8" ht="14.25" customHeight="1">
      <c r="C1753" s="245"/>
      <c r="D1753" s="26"/>
      <c r="E1753" s="26"/>
      <c r="F1753" s="26"/>
      <c r="G1753" s="26"/>
      <c r="H1753" s="5"/>
    </row>
    <row r="1754" spans="3:8" ht="14.25" customHeight="1">
      <c r="C1754" s="245"/>
      <c r="D1754" s="26"/>
      <c r="E1754" s="26"/>
      <c r="F1754" s="26"/>
      <c r="G1754" s="26"/>
      <c r="H1754" s="5"/>
    </row>
    <row r="1755" spans="3:8" ht="14.25" customHeight="1">
      <c r="C1755" s="245"/>
      <c r="D1755" s="26"/>
      <c r="E1755" s="26"/>
      <c r="F1755" s="26"/>
      <c r="G1755" s="26"/>
      <c r="H1755" s="5"/>
    </row>
    <row r="1756" spans="3:8" ht="14.25" customHeight="1">
      <c r="C1756" s="245"/>
      <c r="D1756" s="26"/>
      <c r="E1756" s="26"/>
      <c r="F1756" s="26"/>
      <c r="G1756" s="26"/>
      <c r="H1756" s="5"/>
    </row>
    <row r="1757" spans="3:8" ht="14.25" customHeight="1">
      <c r="C1757" s="245"/>
      <c r="D1757" s="26"/>
      <c r="E1757" s="26"/>
      <c r="F1757" s="26"/>
      <c r="G1757" s="26"/>
      <c r="H1757" s="5"/>
    </row>
    <row r="1758" spans="3:8" ht="14.25" customHeight="1">
      <c r="C1758" s="245"/>
      <c r="D1758" s="26"/>
      <c r="E1758" s="26"/>
      <c r="F1758" s="26"/>
      <c r="G1758" s="26"/>
      <c r="H1758" s="5"/>
    </row>
    <row r="1759" spans="3:8" ht="14.25" customHeight="1">
      <c r="C1759" s="245"/>
      <c r="D1759" s="26"/>
      <c r="E1759" s="26"/>
      <c r="F1759" s="26"/>
      <c r="G1759" s="26"/>
      <c r="H1759" s="5"/>
    </row>
    <row r="1760" spans="3:8" ht="14.25" customHeight="1">
      <c r="C1760" s="245"/>
      <c r="D1760" s="26"/>
      <c r="E1760" s="26"/>
      <c r="F1760" s="26"/>
      <c r="G1760" s="26"/>
      <c r="H1760" s="5"/>
    </row>
    <row r="1761" spans="3:8" ht="14.25" customHeight="1">
      <c r="C1761" s="245"/>
      <c r="D1761" s="26"/>
      <c r="E1761" s="26"/>
      <c r="F1761" s="26"/>
      <c r="G1761" s="26"/>
      <c r="H1761" s="5"/>
    </row>
    <row r="1762" spans="3:8" ht="14.25" customHeight="1">
      <c r="C1762" s="245"/>
      <c r="D1762" s="26"/>
      <c r="E1762" s="26"/>
      <c r="F1762" s="26"/>
      <c r="G1762" s="26"/>
      <c r="H1762" s="5"/>
    </row>
    <row r="1763" spans="3:8" ht="14.25" customHeight="1">
      <c r="C1763" s="245"/>
      <c r="D1763" s="26"/>
      <c r="E1763" s="26"/>
      <c r="F1763" s="26"/>
      <c r="G1763" s="26"/>
      <c r="H1763" s="5"/>
    </row>
    <row r="1764" spans="3:8" ht="14.25" customHeight="1">
      <c r="C1764" s="245"/>
      <c r="D1764" s="26"/>
      <c r="E1764" s="26"/>
      <c r="F1764" s="26"/>
      <c r="G1764" s="26"/>
      <c r="H1764" s="5"/>
    </row>
    <row r="1765" spans="3:8" ht="14.25" customHeight="1">
      <c r="C1765" s="245"/>
      <c r="D1765" s="26"/>
      <c r="E1765" s="26"/>
      <c r="F1765" s="26"/>
      <c r="G1765" s="26"/>
      <c r="H1765" s="5"/>
    </row>
    <row r="1766" spans="3:8" ht="14.25" customHeight="1">
      <c r="C1766" s="245"/>
      <c r="D1766" s="26"/>
      <c r="E1766" s="26"/>
      <c r="F1766" s="26"/>
      <c r="G1766" s="26"/>
      <c r="H1766" s="5"/>
    </row>
    <row r="1767" spans="3:8" ht="14.25" customHeight="1">
      <c r="C1767" s="245"/>
      <c r="D1767" s="26"/>
      <c r="E1767" s="26"/>
      <c r="F1767" s="26"/>
      <c r="G1767" s="26"/>
      <c r="H1767" s="5"/>
    </row>
    <row r="1768" spans="3:8" ht="14.25" customHeight="1">
      <c r="C1768" s="245"/>
      <c r="D1768" s="26"/>
      <c r="E1768" s="26"/>
      <c r="F1768" s="26"/>
      <c r="G1768" s="26"/>
      <c r="H1768" s="5"/>
    </row>
    <row r="1769" spans="3:8" ht="14.25" customHeight="1">
      <c r="C1769" s="245"/>
      <c r="D1769" s="26"/>
      <c r="E1769" s="26"/>
      <c r="F1769" s="26"/>
      <c r="G1769" s="26"/>
      <c r="H1769" s="5"/>
    </row>
    <row r="1770" spans="3:8" ht="14.25" customHeight="1">
      <c r="C1770" s="245"/>
      <c r="D1770" s="26"/>
      <c r="E1770" s="26"/>
      <c r="F1770" s="26"/>
      <c r="G1770" s="26"/>
      <c r="H1770" s="5"/>
    </row>
    <row r="1771" spans="3:8" ht="14.25" customHeight="1">
      <c r="C1771" s="245"/>
      <c r="D1771" s="26"/>
      <c r="E1771" s="26"/>
      <c r="F1771" s="26"/>
      <c r="G1771" s="26"/>
      <c r="H1771" s="5"/>
    </row>
    <row r="1772" spans="3:8" ht="14.25" customHeight="1">
      <c r="C1772" s="245"/>
      <c r="D1772" s="26"/>
      <c r="E1772" s="26"/>
      <c r="F1772" s="26"/>
      <c r="G1772" s="26"/>
      <c r="H1772" s="5"/>
    </row>
    <row r="1773" spans="3:8" ht="14.25" customHeight="1">
      <c r="C1773" s="245"/>
      <c r="D1773" s="26"/>
      <c r="E1773" s="26"/>
      <c r="F1773" s="26"/>
      <c r="G1773" s="26"/>
      <c r="H1773" s="5"/>
    </row>
    <row r="1774" spans="3:8" ht="14.25" customHeight="1">
      <c r="C1774" s="245"/>
      <c r="D1774" s="26"/>
      <c r="E1774" s="26"/>
      <c r="F1774" s="26"/>
      <c r="G1774" s="26"/>
      <c r="H1774" s="5"/>
    </row>
    <row r="1775" spans="3:8" ht="14.25" customHeight="1">
      <c r="C1775" s="245"/>
      <c r="D1775" s="26"/>
      <c r="E1775" s="26"/>
      <c r="F1775" s="26"/>
      <c r="G1775" s="26"/>
      <c r="H1775" s="5"/>
    </row>
    <row r="1776" spans="3:8" ht="14.25" customHeight="1">
      <c r="C1776" s="245"/>
      <c r="D1776" s="26"/>
      <c r="E1776" s="26"/>
      <c r="F1776" s="26"/>
      <c r="G1776" s="26"/>
      <c r="H1776" s="5"/>
    </row>
    <row r="1777" spans="1:46" ht="14.25" customHeight="1">
      <c r="C1777" s="245"/>
      <c r="D1777" s="26"/>
      <c r="E1777" s="26"/>
      <c r="F1777" s="26"/>
      <c r="G1777" s="26"/>
      <c r="H1777" s="5"/>
    </row>
    <row r="1778" spans="1:46" ht="14.25" customHeight="1">
      <c r="C1778" s="245"/>
      <c r="D1778" s="26"/>
      <c r="E1778" s="26"/>
      <c r="F1778" s="26"/>
      <c r="G1778" s="26"/>
      <c r="H1778" s="5"/>
    </row>
    <row r="1779" spans="1:46" s="8" customFormat="1">
      <c r="B1779" s="1"/>
      <c r="C1779" s="245"/>
      <c r="D1779" s="26"/>
      <c r="E1779" s="26"/>
      <c r="F1779" s="26"/>
      <c r="G1779" s="26"/>
      <c r="H1779" s="5"/>
      <c r="I1779" s="1"/>
      <c r="J1779" s="1"/>
      <c r="K1779" s="1"/>
      <c r="AN1779" s="280"/>
      <c r="AO1779" s="280"/>
      <c r="AP1779" s="280"/>
      <c r="AQ1779" s="280"/>
      <c r="AR1779" s="280"/>
      <c r="AS1779" s="280"/>
      <c r="AT1779" s="280"/>
    </row>
    <row r="1780" spans="1:46" s="8" customFormat="1" ht="12.75" customHeight="1">
      <c r="B1780" s="451" t="str">
        <f>TITLE!$C$32</f>
        <v>Полотна скляні: ЕЛЕГАНТ</v>
      </c>
      <c r="C1780" s="451"/>
      <c r="D1780" s="118"/>
      <c r="E1780" s="118"/>
      <c r="F1780" s="118"/>
      <c r="G1780" s="118"/>
      <c r="H1780" s="118"/>
      <c r="I1780" s="121"/>
      <c r="J1780" s="121"/>
      <c r="K1780" s="121"/>
      <c r="L1780" s="121"/>
      <c r="M1780" s="121"/>
      <c r="N1780" s="121"/>
      <c r="O1780" s="121"/>
      <c r="P1780" s="121"/>
      <c r="Q1780" s="121"/>
      <c r="R1780" s="121"/>
      <c r="S1780" s="121"/>
      <c r="T1780" s="462" t="str">
        <f>IF($C$1="ENG",CONCATENATE("up to: ",B1703),CONCATENATE("вгору до: ",B1703))</f>
        <v>вгору до: Полотна скляні: ЛАЙН</v>
      </c>
      <c r="U1780" s="462"/>
      <c r="V1780" s="462"/>
      <c r="W1780" s="462"/>
      <c r="AN1780" s="280"/>
      <c r="AO1780" s="280"/>
      <c r="AP1780" s="280"/>
      <c r="AQ1780" s="280"/>
      <c r="AR1780" s="280"/>
      <c r="AS1780" s="280"/>
      <c r="AT1780" s="280"/>
    </row>
    <row r="1781" spans="1:46" ht="4.5" customHeight="1">
      <c r="A1781" s="8"/>
      <c r="B1781" s="117"/>
      <c r="C1781" s="420"/>
      <c r="D1781" s="9"/>
      <c r="E1781" s="9"/>
      <c r="F1781" s="10"/>
      <c r="G1781" s="10"/>
      <c r="H1781" s="10"/>
      <c r="I1781" s="8"/>
      <c r="J1781" s="8"/>
      <c r="K1781" s="8"/>
      <c r="L1781" s="8"/>
      <c r="M1781" s="11"/>
      <c r="P1781" s="8"/>
      <c r="Q1781" s="11"/>
    </row>
    <row r="1782" spans="1:46" ht="12.75" customHeight="1">
      <c r="A1782" s="8"/>
      <c r="B1782" s="452" t="str">
        <f>IF($C$1="ENG","model","модель")</f>
        <v>модель</v>
      </c>
      <c r="C1782" s="122" t="str">
        <f>IF($C$1="ENG","cover:","покриття:")</f>
        <v>покриття:</v>
      </c>
      <c r="D1782" s="458" t="str">
        <f>IF($C$1="ENG","VERTO-CELL","VERTO-CELL")</f>
        <v>VERTO-CELL</v>
      </c>
      <c r="E1782" s="459"/>
      <c r="F1782" s="458" t="str">
        <f>IF($C$1="ENG","RESIST","RESIST")</f>
        <v>RESIST</v>
      </c>
      <c r="G1782" s="459"/>
      <c r="H1782" s="458" t="str">
        <f>IF($C$1="ENG","Verto LINE-3D","Verto LINE-3D")</f>
        <v>Verto LINE-3D</v>
      </c>
      <c r="I1782" s="459"/>
      <c r="J1782" s="458" t="str">
        <f>IF($C$1="ENG","ECO Shpon","ЕКО Шпон")</f>
        <v>ЕКО Шпон</v>
      </c>
      <c r="K1782" s="459"/>
      <c r="L1782" s="8"/>
      <c r="M1782" s="11"/>
      <c r="P1782" s="8"/>
      <c r="Q1782" s="11"/>
    </row>
    <row r="1783" spans="1:46" ht="24.75" customHeight="1">
      <c r="A1783" s="8"/>
      <c r="B1783" s="453"/>
      <c r="C1783" s="123" t="str">
        <f>IF($C$1="ENG","filling:","заповнення:")</f>
        <v>заповнення:</v>
      </c>
      <c r="D1783" s="460" t="str">
        <f>IF($C$1="ENG","softwood","клеєний сосновий брус")</f>
        <v>клеєний сосновий брус</v>
      </c>
      <c r="E1783" s="461"/>
      <c r="F1783" s="460" t="str">
        <f>IF($C$1="ENG","softwood","клеєний сосновий брус")</f>
        <v>клеєний сосновий брус</v>
      </c>
      <c r="G1783" s="461"/>
      <c r="H1783" s="460" t="str">
        <f>IF($C$1="ENG","softwood","клеєний сосновий брус")</f>
        <v>клеєний сосновий брус</v>
      </c>
      <c r="I1783" s="461"/>
      <c r="J1783" s="460" t="str">
        <f>IF($C$1="ENG","softwood","клеєний сосновий брус")</f>
        <v>клеєний сосновий брус</v>
      </c>
      <c r="K1783" s="461"/>
      <c r="L1783" s="8"/>
      <c r="M1783" s="11"/>
      <c r="P1783" s="8"/>
      <c r="Q1783" s="11"/>
    </row>
    <row r="1784" spans="1:46">
      <c r="A1784" s="8"/>
      <c r="B1784" s="454"/>
      <c r="C1784" s="124" t="str">
        <f>IF($C$1="ENG","glazing:","скління:")</f>
        <v>скління:</v>
      </c>
      <c r="D1784" s="449" t="str">
        <f>IF($C$1="ENG","Drawing / Satin (1)","Малюнок / Сатин (1)")</f>
        <v>Малюнок / Сатин (1)</v>
      </c>
      <c r="E1784" s="450"/>
      <c r="F1784" s="449" t="str">
        <f>IF($C$1="ENG","Drawing / Satin (1)","Малюнок / Сатин (1)")</f>
        <v>Малюнок / Сатин (1)</v>
      </c>
      <c r="G1784" s="450"/>
      <c r="H1784" s="449" t="str">
        <f>IF($C$1="ENG","Drawing / Satin (1)","Малюнок / Сатин (1)")</f>
        <v>Малюнок / Сатин (1)</v>
      </c>
      <c r="I1784" s="450"/>
      <c r="J1784" s="449" t="str">
        <f>IF($C$1="ENG","Drawing / Satin (1)","Малюнок / Сатин (1)")</f>
        <v>Малюнок / Сатин (1)</v>
      </c>
      <c r="K1784" s="450"/>
      <c r="L1784" s="104"/>
      <c r="M1784" s="20"/>
      <c r="N1784" s="104"/>
      <c r="O1784" s="20"/>
      <c r="P1784" s="104"/>
      <c r="Q1784" s="20"/>
      <c r="R1784" s="104"/>
      <c r="S1784" s="20"/>
      <c r="T1784" s="104"/>
      <c r="V1784" s="104"/>
      <c r="W1784" s="20"/>
      <c r="X1784" s="22"/>
      <c r="Y1784" s="22"/>
      <c r="Z1784" s="22"/>
      <c r="AA1784" s="22"/>
      <c r="AB1784" s="22"/>
    </row>
    <row r="1785" spans="1:46" ht="35.1" customHeight="1">
      <c r="A1785" s="8"/>
      <c r="B1785" s="13">
        <v>1</v>
      </c>
      <c r="C1785" s="14"/>
      <c r="D1785" s="15">
        <f t="shared" ref="D1785:D1791" si="251">IF(AC1785="","",(1-$W$2)*(AC1785/1.2))</f>
        <v>6500</v>
      </c>
      <c r="E1785" s="64">
        <f t="shared" ref="E1785:E1791" si="252">IF($W$5=0.2,D1785*1.2,D1785)/$W$4</f>
        <v>7800</v>
      </c>
      <c r="F1785" s="15">
        <f t="shared" ref="F1785:F1791" si="253">IF(AD1785="","",(1-$W$2)*(AD1785/1.2))</f>
        <v>7266.666666666667</v>
      </c>
      <c r="G1785" s="64">
        <f t="shared" ref="G1785:G1791" si="254">IF($W$5=0.2,F1785*1.2,F1785)/$W$4</f>
        <v>8720</v>
      </c>
      <c r="H1785" s="15">
        <f t="shared" ref="H1785:H1791" si="255">IF(AE1785="","",(1-$W$2)*(AE1785/1.2))</f>
        <v>7625</v>
      </c>
      <c r="I1785" s="64">
        <f t="shared" ref="I1785:I1791" si="256">IF($W$5=0.2,H1785*1.2,H1785)/$W$4</f>
        <v>9150</v>
      </c>
      <c r="J1785" s="15">
        <f>IF(AF1785="","",(1-$W$2)*(AF1785/1.2))</f>
        <v>7991.666666666667</v>
      </c>
      <c r="K1785" s="64">
        <f t="shared" ref="K1785:K1791" si="257">IF($W$5=0.2,J1785*1.2,J1785)/$W$4</f>
        <v>9590</v>
      </c>
      <c r="L1785" s="104"/>
      <c r="M1785" s="20"/>
      <c r="N1785" s="104"/>
      <c r="O1785" s="20"/>
      <c r="P1785" s="104"/>
      <c r="Q1785" s="20"/>
      <c r="R1785" s="104"/>
      <c r="S1785" s="20"/>
      <c r="T1785" s="104"/>
      <c r="V1785" s="104"/>
      <c r="W1785" s="20"/>
      <c r="AC1785" s="332">
        <v>7800</v>
      </c>
      <c r="AD1785" s="332">
        <v>8720</v>
      </c>
      <c r="AE1785" s="332">
        <v>9150</v>
      </c>
      <c r="AF1785" s="332">
        <v>9590</v>
      </c>
      <c r="AG1785" s="289">
        <v>7800</v>
      </c>
      <c r="AH1785" s="289">
        <f>AG1785/AC1785-1</f>
        <v>0</v>
      </c>
      <c r="AI1785" s="289">
        <v>8720</v>
      </c>
      <c r="AJ1785" s="289">
        <f>AI1785/AD1785-1</f>
        <v>0</v>
      </c>
      <c r="AK1785" s="289">
        <v>9150</v>
      </c>
      <c r="AL1785" s="289">
        <f>AK1785/AE1785-1</f>
        <v>0</v>
      </c>
      <c r="AM1785" s="289">
        <v>9590</v>
      </c>
      <c r="AN1785" s="289">
        <f>AM1785/AF1785-1</f>
        <v>0</v>
      </c>
      <c r="AO1785" s="1"/>
      <c r="AP1785" s="1"/>
    </row>
    <row r="1786" spans="1:46" ht="35.1" customHeight="1">
      <c r="A1786" s="8"/>
      <c r="B1786" s="16">
        <v>2</v>
      </c>
      <c r="C1786" s="17"/>
      <c r="D1786" s="18">
        <f t="shared" si="251"/>
        <v>7133.3333333333339</v>
      </c>
      <c r="E1786" s="66">
        <f t="shared" si="252"/>
        <v>8560</v>
      </c>
      <c r="F1786" s="18">
        <f t="shared" si="253"/>
        <v>7991.666666666667</v>
      </c>
      <c r="G1786" s="66">
        <f t="shared" si="254"/>
        <v>9590</v>
      </c>
      <c r="H1786" s="18">
        <f t="shared" si="255"/>
        <v>8333.3333333333339</v>
      </c>
      <c r="I1786" s="66">
        <f t="shared" si="256"/>
        <v>10000</v>
      </c>
      <c r="J1786" s="18">
        <f t="shared" ref="J1786:J1791" si="258">IF(AF1786="","",(1-$W$2)*(AF1786/1.2))</f>
        <v>8700</v>
      </c>
      <c r="K1786" s="66">
        <f t="shared" si="257"/>
        <v>10440</v>
      </c>
      <c r="L1786" s="104"/>
      <c r="M1786" s="20"/>
      <c r="N1786" s="104"/>
      <c r="O1786" s="20"/>
      <c r="P1786" s="104"/>
      <c r="Q1786" s="20"/>
      <c r="R1786" s="104"/>
      <c r="S1786" s="20"/>
      <c r="T1786" s="104"/>
      <c r="V1786" s="104"/>
      <c r="W1786" s="20"/>
      <c r="AC1786" s="332">
        <v>8560</v>
      </c>
      <c r="AD1786" s="332">
        <v>9590</v>
      </c>
      <c r="AE1786" s="332">
        <v>10000</v>
      </c>
      <c r="AF1786" s="332">
        <v>10440</v>
      </c>
      <c r="AG1786" s="289">
        <v>8560</v>
      </c>
      <c r="AH1786" s="289">
        <f t="shared" ref="AH1786:AH1791" si="259">AG1786/AC1786-1</f>
        <v>0</v>
      </c>
      <c r="AI1786" s="289">
        <v>9590</v>
      </c>
      <c r="AJ1786" s="289">
        <f t="shared" ref="AJ1786:AJ1791" si="260">AI1786/AD1786-1</f>
        <v>0</v>
      </c>
      <c r="AK1786" s="289">
        <v>10000</v>
      </c>
      <c r="AL1786" s="289">
        <f t="shared" ref="AL1786:AL1791" si="261">AK1786/AE1786-1</f>
        <v>0</v>
      </c>
      <c r="AM1786" s="289">
        <v>10440</v>
      </c>
      <c r="AN1786" s="289">
        <f t="shared" ref="AN1786:AN1791" si="262">AM1786/AF1786-1</f>
        <v>0</v>
      </c>
      <c r="AO1786" s="1"/>
      <c r="AP1786" s="1"/>
    </row>
    <row r="1787" spans="1:46" ht="35.1" customHeight="1">
      <c r="A1787" s="8"/>
      <c r="B1787" s="16">
        <v>3</v>
      </c>
      <c r="C1787" s="17"/>
      <c r="D1787" s="18">
        <f t="shared" si="251"/>
        <v>7133.3333333333339</v>
      </c>
      <c r="E1787" s="66">
        <f t="shared" si="252"/>
        <v>8560</v>
      </c>
      <c r="F1787" s="18">
        <f t="shared" si="253"/>
        <v>7991.666666666667</v>
      </c>
      <c r="G1787" s="66">
        <f t="shared" si="254"/>
        <v>9590</v>
      </c>
      <c r="H1787" s="18">
        <f t="shared" si="255"/>
        <v>8333.3333333333339</v>
      </c>
      <c r="I1787" s="66">
        <f t="shared" si="256"/>
        <v>10000</v>
      </c>
      <c r="J1787" s="18">
        <f t="shared" si="258"/>
        <v>8700</v>
      </c>
      <c r="K1787" s="66">
        <f t="shared" si="257"/>
        <v>10440</v>
      </c>
      <c r="L1787" s="104"/>
      <c r="M1787" s="20"/>
      <c r="N1787" s="104"/>
      <c r="O1787" s="20"/>
      <c r="P1787" s="104"/>
      <c r="Q1787" s="20"/>
      <c r="R1787" s="104"/>
      <c r="S1787" s="20"/>
      <c r="T1787" s="104"/>
      <c r="V1787" s="104"/>
      <c r="W1787" s="20"/>
      <c r="AC1787" s="332">
        <v>8560</v>
      </c>
      <c r="AD1787" s="332">
        <v>9590</v>
      </c>
      <c r="AE1787" s="332">
        <v>10000</v>
      </c>
      <c r="AF1787" s="332">
        <v>10440</v>
      </c>
      <c r="AG1787" s="289">
        <v>8560</v>
      </c>
      <c r="AH1787" s="289">
        <f t="shared" si="259"/>
        <v>0</v>
      </c>
      <c r="AI1787" s="289">
        <v>9590</v>
      </c>
      <c r="AJ1787" s="289">
        <f t="shared" si="260"/>
        <v>0</v>
      </c>
      <c r="AK1787" s="289">
        <v>10000</v>
      </c>
      <c r="AL1787" s="289">
        <f t="shared" si="261"/>
        <v>0</v>
      </c>
      <c r="AM1787" s="289">
        <v>10440</v>
      </c>
      <c r="AN1787" s="289">
        <f t="shared" si="262"/>
        <v>0</v>
      </c>
      <c r="AO1787" s="1"/>
      <c r="AP1787" s="1"/>
    </row>
    <row r="1788" spans="1:46" ht="35.1" customHeight="1">
      <c r="A1788" s="8"/>
      <c r="B1788" s="16">
        <v>4</v>
      </c>
      <c r="C1788" s="17"/>
      <c r="D1788" s="18">
        <f t="shared" si="251"/>
        <v>7133.3333333333339</v>
      </c>
      <c r="E1788" s="66">
        <f t="shared" si="252"/>
        <v>8560</v>
      </c>
      <c r="F1788" s="18">
        <f t="shared" si="253"/>
        <v>7991.666666666667</v>
      </c>
      <c r="G1788" s="66">
        <f t="shared" si="254"/>
        <v>9590</v>
      </c>
      <c r="H1788" s="18">
        <f t="shared" si="255"/>
        <v>8333.3333333333339</v>
      </c>
      <c r="I1788" s="66">
        <f t="shared" si="256"/>
        <v>10000</v>
      </c>
      <c r="J1788" s="18">
        <f t="shared" si="258"/>
        <v>8700</v>
      </c>
      <c r="K1788" s="66">
        <f t="shared" si="257"/>
        <v>10440</v>
      </c>
      <c r="L1788" s="104"/>
      <c r="M1788" s="20"/>
      <c r="N1788" s="104"/>
      <c r="O1788" s="20"/>
      <c r="P1788" s="104"/>
      <c r="Q1788" s="20"/>
      <c r="R1788" s="104"/>
      <c r="S1788" s="20"/>
      <c r="T1788" s="104"/>
      <c r="V1788" s="104"/>
      <c r="W1788" s="20"/>
      <c r="AC1788" s="332">
        <v>8560</v>
      </c>
      <c r="AD1788" s="332">
        <v>9590</v>
      </c>
      <c r="AE1788" s="332">
        <v>10000</v>
      </c>
      <c r="AF1788" s="332">
        <v>10440</v>
      </c>
      <c r="AG1788" s="289">
        <v>8560</v>
      </c>
      <c r="AH1788" s="289">
        <f t="shared" si="259"/>
        <v>0</v>
      </c>
      <c r="AI1788" s="289">
        <v>9590</v>
      </c>
      <c r="AJ1788" s="289">
        <f t="shared" si="260"/>
        <v>0</v>
      </c>
      <c r="AK1788" s="289">
        <v>10000</v>
      </c>
      <c r="AL1788" s="289">
        <f t="shared" si="261"/>
        <v>0</v>
      </c>
      <c r="AM1788" s="289">
        <v>10440</v>
      </c>
      <c r="AN1788" s="289">
        <f t="shared" si="262"/>
        <v>0</v>
      </c>
      <c r="AO1788" s="1"/>
      <c r="AP1788" s="1"/>
    </row>
    <row r="1789" spans="1:46" ht="35.1" customHeight="1">
      <c r="A1789" s="8"/>
      <c r="B1789" s="16">
        <v>5</v>
      </c>
      <c r="C1789" s="17"/>
      <c r="D1789" s="18">
        <f t="shared" si="251"/>
        <v>7133.3333333333339</v>
      </c>
      <c r="E1789" s="66">
        <f t="shared" si="252"/>
        <v>8560</v>
      </c>
      <c r="F1789" s="18">
        <f t="shared" si="253"/>
        <v>7991.666666666667</v>
      </c>
      <c r="G1789" s="66">
        <f t="shared" si="254"/>
        <v>9590</v>
      </c>
      <c r="H1789" s="18">
        <f t="shared" si="255"/>
        <v>8333.3333333333339</v>
      </c>
      <c r="I1789" s="66">
        <f t="shared" si="256"/>
        <v>10000</v>
      </c>
      <c r="J1789" s="18">
        <f t="shared" si="258"/>
        <v>8700</v>
      </c>
      <c r="K1789" s="66">
        <f t="shared" si="257"/>
        <v>10440</v>
      </c>
      <c r="L1789" s="104"/>
      <c r="M1789" s="20"/>
      <c r="N1789" s="104"/>
      <c r="O1789" s="20"/>
      <c r="P1789" s="104"/>
      <c r="Q1789" s="20"/>
      <c r="R1789" s="104"/>
      <c r="S1789" s="20"/>
      <c r="T1789" s="42"/>
      <c r="V1789" s="104"/>
      <c r="W1789" s="20"/>
      <c r="AC1789" s="332">
        <v>8560</v>
      </c>
      <c r="AD1789" s="332">
        <v>9590</v>
      </c>
      <c r="AE1789" s="332">
        <v>10000</v>
      </c>
      <c r="AF1789" s="332">
        <v>10440</v>
      </c>
      <c r="AG1789" s="289">
        <v>8560</v>
      </c>
      <c r="AH1789" s="289">
        <f t="shared" si="259"/>
        <v>0</v>
      </c>
      <c r="AI1789" s="289">
        <v>9590</v>
      </c>
      <c r="AJ1789" s="289">
        <f t="shared" si="260"/>
        <v>0</v>
      </c>
      <c r="AK1789" s="289">
        <v>10000</v>
      </c>
      <c r="AL1789" s="289">
        <f t="shared" si="261"/>
        <v>0</v>
      </c>
      <c r="AM1789" s="289">
        <v>10440</v>
      </c>
      <c r="AN1789" s="289">
        <f t="shared" si="262"/>
        <v>0</v>
      </c>
      <c r="AO1789" s="1"/>
      <c r="AP1789" s="1"/>
    </row>
    <row r="1790" spans="1:46" ht="35.1" customHeight="1">
      <c r="A1790" s="8"/>
      <c r="B1790" s="16">
        <v>6</v>
      </c>
      <c r="C1790" s="17"/>
      <c r="D1790" s="18">
        <f t="shared" si="251"/>
        <v>7133.3333333333339</v>
      </c>
      <c r="E1790" s="66">
        <f t="shared" si="252"/>
        <v>8560</v>
      </c>
      <c r="F1790" s="18">
        <f t="shared" si="253"/>
        <v>7991.666666666667</v>
      </c>
      <c r="G1790" s="66">
        <f t="shared" si="254"/>
        <v>9590</v>
      </c>
      <c r="H1790" s="18">
        <f t="shared" si="255"/>
        <v>8333.3333333333339</v>
      </c>
      <c r="I1790" s="66">
        <f t="shared" si="256"/>
        <v>10000</v>
      </c>
      <c r="J1790" s="18">
        <f t="shared" si="258"/>
        <v>8700</v>
      </c>
      <c r="K1790" s="66">
        <f t="shared" si="257"/>
        <v>10440</v>
      </c>
      <c r="L1790" s="104"/>
      <c r="M1790" s="20"/>
      <c r="N1790" s="104"/>
      <c r="O1790" s="20"/>
      <c r="P1790" s="104"/>
      <c r="Q1790" s="20"/>
      <c r="R1790" s="104"/>
      <c r="S1790" s="20"/>
      <c r="T1790" s="42"/>
      <c r="V1790" s="104"/>
      <c r="W1790" s="20"/>
      <c r="AC1790" s="332">
        <v>8560</v>
      </c>
      <c r="AD1790" s="332">
        <v>9590</v>
      </c>
      <c r="AE1790" s="332">
        <v>10000</v>
      </c>
      <c r="AF1790" s="332">
        <v>10440</v>
      </c>
      <c r="AG1790" s="289">
        <v>8560</v>
      </c>
      <c r="AH1790" s="289">
        <f t="shared" si="259"/>
        <v>0</v>
      </c>
      <c r="AI1790" s="289">
        <v>9590</v>
      </c>
      <c r="AJ1790" s="289">
        <f t="shared" si="260"/>
        <v>0</v>
      </c>
      <c r="AK1790" s="289">
        <v>10000</v>
      </c>
      <c r="AL1790" s="289">
        <f t="shared" si="261"/>
        <v>0</v>
      </c>
      <c r="AM1790" s="289">
        <v>10440</v>
      </c>
      <c r="AN1790" s="289">
        <f t="shared" si="262"/>
        <v>0</v>
      </c>
      <c r="AO1790" s="1"/>
      <c r="AP1790" s="1"/>
    </row>
    <row r="1791" spans="1:46" ht="34.5" customHeight="1">
      <c r="B1791" s="23">
        <v>7</v>
      </c>
      <c r="C1791" s="24"/>
      <c r="D1791" s="25">
        <f t="shared" si="251"/>
        <v>7133.3333333333339</v>
      </c>
      <c r="E1791" s="69">
        <f t="shared" si="252"/>
        <v>8560</v>
      </c>
      <c r="F1791" s="25">
        <f t="shared" si="253"/>
        <v>7991.666666666667</v>
      </c>
      <c r="G1791" s="69">
        <f t="shared" si="254"/>
        <v>9590</v>
      </c>
      <c r="H1791" s="25">
        <f t="shared" si="255"/>
        <v>8333.3333333333339</v>
      </c>
      <c r="I1791" s="69">
        <f t="shared" si="256"/>
        <v>10000</v>
      </c>
      <c r="J1791" s="25">
        <f t="shared" si="258"/>
        <v>8700</v>
      </c>
      <c r="K1791" s="69">
        <f t="shared" si="257"/>
        <v>10440</v>
      </c>
      <c r="L1791" s="8"/>
      <c r="P1791" s="8"/>
      <c r="AC1791" s="332">
        <v>8560</v>
      </c>
      <c r="AD1791" s="332">
        <v>9590</v>
      </c>
      <c r="AE1791" s="332">
        <v>10000</v>
      </c>
      <c r="AF1791" s="332">
        <v>10440</v>
      </c>
      <c r="AG1791" s="289">
        <v>8560</v>
      </c>
      <c r="AH1791" s="289">
        <f t="shared" si="259"/>
        <v>0</v>
      </c>
      <c r="AI1791" s="289">
        <v>9590</v>
      </c>
      <c r="AJ1791" s="289">
        <f t="shared" si="260"/>
        <v>0</v>
      </c>
      <c r="AK1791" s="289">
        <v>10000</v>
      </c>
      <c r="AL1791" s="289">
        <f t="shared" si="261"/>
        <v>0</v>
      </c>
      <c r="AM1791" s="289">
        <v>10440</v>
      </c>
      <c r="AN1791" s="289">
        <f t="shared" si="262"/>
        <v>0</v>
      </c>
      <c r="AO1791" s="1"/>
      <c r="AP1791" s="1"/>
    </row>
    <row r="1792" spans="1:46">
      <c r="C1792" s="245"/>
      <c r="D1792" s="26"/>
      <c r="E1792" s="57"/>
      <c r="F1792" s="10"/>
      <c r="G1792" s="10"/>
      <c r="H1792" s="10"/>
      <c r="I1792" s="8"/>
      <c r="J1792" s="8"/>
      <c r="K1792" s="8"/>
      <c r="L1792" s="8"/>
      <c r="P1792" s="8"/>
    </row>
    <row r="1793" spans="2:38" ht="12.75" customHeight="1">
      <c r="B1793" s="212" t="str">
        <f>IF($C$1="ENG","For additonal charge:","Послуги за додаткову плату:")</f>
        <v>Послуги за додаткову плату:</v>
      </c>
      <c r="C1793" s="421"/>
      <c r="D1793" s="213"/>
      <c r="E1793" s="214"/>
      <c r="F1793" s="26"/>
      <c r="G1793" s="57"/>
      <c r="H1793" s="10"/>
      <c r="I1793" s="8"/>
      <c r="J1793" s="8"/>
      <c r="K1793" s="8"/>
    </row>
    <row r="1794" spans="2:38" ht="4.5" customHeight="1">
      <c r="B1794" s="99"/>
      <c r="C1794" s="423"/>
      <c r="D1794" s="26"/>
      <c r="E1794" s="57"/>
      <c r="F1794" s="26"/>
      <c r="G1794" s="26"/>
      <c r="H1794" s="10"/>
      <c r="I1794" s="8"/>
      <c r="J1794" s="8"/>
      <c r="K1794" s="8"/>
    </row>
    <row r="1795" spans="2:38">
      <c r="B1795" s="447" t="str">
        <f>IF($C$1="ENG","glazing Triplex mat / black","скло Триплекс матовий / чорний")</f>
        <v>скло Триплекс матовий / чорний</v>
      </c>
      <c r="C1795" s="448"/>
      <c r="D1795" s="101">
        <f t="shared" ref="D1795:D1804" si="263">IF(AC1795="","",(1-$W$2)*(AC1795/1.2))</f>
        <v>1125</v>
      </c>
      <c r="E1795" s="92">
        <f t="shared" ref="E1795:E1803" si="264">IF($W$5=0.2,D1795*1.2,D1795)/$W$4</f>
        <v>1350</v>
      </c>
      <c r="F1795" s="26"/>
      <c r="G1795" s="26"/>
      <c r="I1795" s="11"/>
      <c r="J1795" s="11"/>
      <c r="K1795" s="19"/>
      <c r="AC1795" s="289">
        <v>1350</v>
      </c>
      <c r="AD1795" s="289">
        <v>1350</v>
      </c>
      <c r="AE1795" s="289">
        <f>AD1795/AC1795-1</f>
        <v>0</v>
      </c>
      <c r="AF1795" s="289"/>
      <c r="AG1795" s="289"/>
      <c r="AH1795" s="289"/>
      <c r="AI1795" s="289"/>
      <c r="AJ1795" s="289"/>
      <c r="AK1795" s="289"/>
      <c r="AL1795" s="289"/>
    </row>
    <row r="1796" spans="2:38">
      <c r="B1796" s="445" t="str">
        <f>IF($C$1="ENG","glazing Graphite / Bronze","скло Графіт / Бронза")</f>
        <v>скло Графіт / Бронза</v>
      </c>
      <c r="C1796" s="446"/>
      <c r="D1796" s="102">
        <f t="shared" si="263"/>
        <v>766.66666666666674</v>
      </c>
      <c r="E1796" s="93">
        <f t="shared" si="264"/>
        <v>920.00000000000011</v>
      </c>
      <c r="F1796" s="26"/>
      <c r="G1796" s="141"/>
      <c r="AC1796" s="289">
        <v>920</v>
      </c>
      <c r="AD1796" s="289">
        <v>920</v>
      </c>
      <c r="AE1796" s="289">
        <f t="shared" ref="AE1796:AE1803" si="265">AD1796/AC1796-1</f>
        <v>0</v>
      </c>
      <c r="AF1796" s="289"/>
      <c r="AG1796" s="289"/>
      <c r="AH1796" s="289"/>
      <c r="AI1796" s="289"/>
      <c r="AJ1796" s="289"/>
      <c r="AK1796" s="289"/>
      <c r="AL1796" s="289"/>
    </row>
    <row r="1797" spans="2:38">
      <c r="B1797" s="445" t="str">
        <f>IF($C$1="ENG","door lock Soft","замок Soft")</f>
        <v>замок Soft</v>
      </c>
      <c r="C1797" s="446"/>
      <c r="D1797" s="102">
        <f t="shared" si="263"/>
        <v>466.66666666666669</v>
      </c>
      <c r="E1797" s="93">
        <f t="shared" si="264"/>
        <v>560</v>
      </c>
      <c r="F1797" s="26"/>
      <c r="G1797" s="26"/>
      <c r="H1797" s="5"/>
      <c r="AC1797" s="289">
        <v>560</v>
      </c>
      <c r="AD1797" s="289">
        <v>560</v>
      </c>
      <c r="AE1797" s="289">
        <f t="shared" si="265"/>
        <v>0</v>
      </c>
      <c r="AF1797" s="289"/>
      <c r="AG1797" s="289"/>
      <c r="AH1797" s="289"/>
      <c r="AI1797" s="289"/>
      <c r="AJ1797" s="289"/>
      <c r="AK1797" s="289"/>
      <c r="AL1797" s="289"/>
    </row>
    <row r="1798" spans="2:38">
      <c r="B1798" s="445" t="str">
        <f>IF($C$1="ENG","door lock Soft black","замок Soft чорн.")</f>
        <v>замок Soft чорн.</v>
      </c>
      <c r="C1798" s="446"/>
      <c r="D1798" s="102">
        <f t="shared" ref="D1798" si="266">IF(AC1798="","",(1-$W$2)*(AC1798/1.2))</f>
        <v>566.66666666666674</v>
      </c>
      <c r="E1798" s="93">
        <f t="shared" ref="E1798" si="267">IF($W$5=0.2,D1798*1.2,D1798)/$W$4</f>
        <v>680.00000000000011</v>
      </c>
      <c r="F1798" s="26"/>
      <c r="G1798" s="26"/>
      <c r="H1798" s="5"/>
      <c r="AC1798" s="289">
        <v>680</v>
      </c>
      <c r="AD1798" s="289"/>
      <c r="AE1798" s="289"/>
      <c r="AF1798" s="289"/>
      <c r="AG1798" s="289"/>
      <c r="AH1798" s="289"/>
      <c r="AI1798" s="289"/>
      <c r="AJ1798" s="289"/>
      <c r="AK1798" s="289"/>
      <c r="AL1798" s="289"/>
    </row>
    <row r="1799" spans="2:38">
      <c r="B1799" s="445" t="str">
        <f>IF($C$1="ENG","door lock Magnet","замок Magnet")</f>
        <v>замок Magnet</v>
      </c>
      <c r="C1799" s="446"/>
      <c r="D1799" s="102">
        <f t="shared" si="263"/>
        <v>666.66666666666674</v>
      </c>
      <c r="E1799" s="93">
        <f t="shared" si="264"/>
        <v>800.00000000000011</v>
      </c>
      <c r="F1799" s="26"/>
      <c r="G1799" s="26"/>
      <c r="H1799" s="5"/>
      <c r="AC1799" s="289">
        <v>800</v>
      </c>
      <c r="AD1799" s="289">
        <v>800</v>
      </c>
      <c r="AE1799" s="289">
        <f t="shared" si="265"/>
        <v>0</v>
      </c>
      <c r="AF1799" s="289"/>
      <c r="AG1799" s="289"/>
      <c r="AH1799" s="289"/>
      <c r="AI1799" s="289"/>
      <c r="AJ1799" s="289"/>
      <c r="AK1799" s="289"/>
      <c r="AL1799" s="289"/>
    </row>
    <row r="1800" spans="2:38">
      <c r="B1800" s="445" t="s">
        <v>76</v>
      </c>
      <c r="C1800" s="446"/>
      <c r="D1800" s="102">
        <f t="shared" ref="D1800" si="268">IF(AC1800="","",(1-$W$2)*(AC1800/1.2))</f>
        <v>833.33333333333337</v>
      </c>
      <c r="E1800" s="93">
        <f t="shared" ref="E1800" si="269">IF($W$5=0.2,D1800*1.2,D1800)/$W$4</f>
        <v>1000</v>
      </c>
      <c r="F1800" s="26"/>
      <c r="G1800" s="26"/>
      <c r="H1800" s="5"/>
      <c r="AC1800" s="289">
        <v>1000</v>
      </c>
      <c r="AD1800" s="289"/>
      <c r="AE1800" s="289"/>
      <c r="AF1800" s="289"/>
      <c r="AG1800" s="289"/>
      <c r="AH1800" s="289"/>
      <c r="AI1800" s="289"/>
      <c r="AJ1800" s="289"/>
      <c r="AK1800" s="289"/>
      <c r="AL1800" s="289"/>
    </row>
    <row r="1801" spans="2:38">
      <c r="B1801" s="445" t="str">
        <f>IF($C$1="ENG","cylinder incert","циліндр несиметричний")</f>
        <v>циліндр несиметричний</v>
      </c>
      <c r="C1801" s="446"/>
      <c r="D1801" s="133">
        <f t="shared" si="263"/>
        <v>325</v>
      </c>
      <c r="E1801" s="66">
        <f t="shared" si="264"/>
        <v>390</v>
      </c>
      <c r="F1801" s="26"/>
      <c r="G1801" s="26"/>
      <c r="AC1801" s="289">
        <v>390</v>
      </c>
      <c r="AD1801" s="289">
        <v>390</v>
      </c>
      <c r="AE1801" s="289">
        <f t="shared" si="265"/>
        <v>0</v>
      </c>
      <c r="AF1801" s="289"/>
      <c r="AG1801" s="289"/>
      <c r="AH1801" s="289"/>
      <c r="AI1801" s="289"/>
      <c r="AJ1801" s="289"/>
      <c r="AK1801" s="289"/>
      <c r="AL1801" s="289"/>
    </row>
    <row r="1802" spans="2:38">
      <c r="B1802" s="445" t="str">
        <f>IF($C$1="ENG","door hindge Prestige (1 unit)","завіса Prestige (1 шт)")</f>
        <v>завіса Prestige (1 шт)</v>
      </c>
      <c r="C1802" s="446"/>
      <c r="D1802" s="135">
        <f t="shared" si="263"/>
        <v>216.66666666666669</v>
      </c>
      <c r="E1802" s="66">
        <f t="shared" si="264"/>
        <v>260</v>
      </c>
      <c r="F1802" s="26"/>
      <c r="G1802" s="26"/>
      <c r="AC1802" s="289">
        <v>260</v>
      </c>
      <c r="AD1802" s="289">
        <v>260</v>
      </c>
      <c r="AE1802" s="289">
        <f t="shared" si="265"/>
        <v>0</v>
      </c>
      <c r="AF1802" s="289"/>
      <c r="AG1802" s="289"/>
      <c r="AH1802" s="289"/>
      <c r="AI1802" s="289"/>
      <c r="AJ1802" s="289"/>
      <c r="AK1802" s="289"/>
      <c r="AL1802" s="289"/>
    </row>
    <row r="1803" spans="2:38">
      <c r="B1803" s="445" t="str">
        <f>IF($C$1="ENG","door hinge caps (1 set)","накладка на завіси (1 к-т)")</f>
        <v>накладка на завіси (1 к-т)</v>
      </c>
      <c r="C1803" s="446"/>
      <c r="D1803" s="135">
        <f t="shared" si="263"/>
        <v>66.666666666666671</v>
      </c>
      <c r="E1803" s="66">
        <f t="shared" si="264"/>
        <v>80</v>
      </c>
      <c r="F1803" s="26"/>
      <c r="G1803" s="26"/>
      <c r="AC1803" s="289">
        <v>80</v>
      </c>
      <c r="AD1803" s="289">
        <v>80</v>
      </c>
      <c r="AE1803" s="289">
        <f t="shared" si="265"/>
        <v>0</v>
      </c>
      <c r="AF1803" s="289"/>
      <c r="AG1803" s="289"/>
      <c r="AH1803" s="289"/>
      <c r="AI1803" s="289"/>
      <c r="AJ1803" s="289"/>
      <c r="AK1803" s="289"/>
      <c r="AL1803" s="289"/>
    </row>
    <row r="1804" spans="2:38">
      <c r="B1804" s="445" t="str">
        <f>IF($C$1="ENG","door handle","дверна ручка")</f>
        <v>дверна ручка</v>
      </c>
      <c r="C1804" s="446"/>
      <c r="D1804" s="134" t="str">
        <f t="shared" si="263"/>
        <v/>
      </c>
      <c r="E1804" s="247" t="str">
        <f>IF($C$1="ENG","see Handles Price","див. Таблицю Ручки")</f>
        <v>див. Таблицю Ручки</v>
      </c>
      <c r="F1804" s="26"/>
      <c r="G1804" s="26"/>
      <c r="AC1804" s="289"/>
      <c r="AD1804" s="289"/>
      <c r="AE1804" s="289"/>
      <c r="AF1804" s="289"/>
      <c r="AG1804" s="289"/>
      <c r="AH1804" s="289"/>
      <c r="AI1804" s="289"/>
      <c r="AJ1804" s="289"/>
      <c r="AK1804" s="289"/>
      <c r="AL1804" s="289"/>
    </row>
    <row r="1805" spans="2:38" ht="14.25" customHeight="1">
      <c r="C1805" s="245"/>
      <c r="D1805" s="26"/>
      <c r="E1805" s="26"/>
      <c r="F1805" s="26"/>
      <c r="G1805" s="26"/>
      <c r="H1805" s="5"/>
      <c r="T1805" s="465" t="str">
        <f>IF($C$1="ENG",CONCATENATE("down to: ",B1855),CONCATENATE("вниз до: ",B1855))</f>
        <v>вниз до: Полотна скляні: ГЛАСФОРД</v>
      </c>
      <c r="U1805" s="465"/>
      <c r="V1805" s="465"/>
      <c r="W1805" s="465"/>
    </row>
    <row r="1806" spans="2:38" ht="14.25" customHeight="1">
      <c r="C1806" s="245"/>
      <c r="D1806" s="26"/>
      <c r="E1806" s="26"/>
      <c r="F1806" s="26"/>
      <c r="G1806" s="26"/>
      <c r="H1806" s="5"/>
    </row>
    <row r="1807" spans="2:38" ht="14.25" customHeight="1">
      <c r="C1807" s="245"/>
      <c r="D1807" s="26"/>
      <c r="E1807" s="26"/>
      <c r="F1807" s="26"/>
      <c r="G1807" s="26"/>
      <c r="H1807" s="5"/>
    </row>
    <row r="1808" spans="2:38" ht="14.25" customHeight="1">
      <c r="C1808" s="245"/>
      <c r="D1808" s="26"/>
      <c r="E1808" s="26"/>
      <c r="F1808" s="26"/>
      <c r="G1808" s="26"/>
      <c r="H1808" s="5"/>
    </row>
    <row r="1809" spans="3:8" ht="14.25" customHeight="1">
      <c r="C1809" s="245"/>
      <c r="D1809" s="26"/>
      <c r="E1809" s="26"/>
      <c r="F1809" s="26"/>
      <c r="G1809" s="26"/>
      <c r="H1809" s="5"/>
    </row>
    <row r="1810" spans="3:8" ht="14.25" customHeight="1">
      <c r="C1810" s="245"/>
      <c r="D1810" s="26"/>
      <c r="E1810" s="26"/>
      <c r="F1810" s="26"/>
      <c r="G1810" s="26"/>
      <c r="H1810" s="5"/>
    </row>
    <row r="1811" spans="3:8" ht="14.25" customHeight="1">
      <c r="C1811" s="245"/>
      <c r="D1811" s="26"/>
      <c r="E1811" s="26"/>
      <c r="F1811" s="26"/>
      <c r="G1811" s="26"/>
      <c r="H1811" s="5"/>
    </row>
    <row r="1812" spans="3:8" ht="14.25" customHeight="1">
      <c r="C1812" s="245"/>
      <c r="D1812" s="26"/>
      <c r="E1812" s="26"/>
      <c r="F1812" s="26"/>
      <c r="G1812" s="26"/>
      <c r="H1812" s="5"/>
    </row>
    <row r="1813" spans="3:8" ht="14.25" customHeight="1">
      <c r="C1813" s="245"/>
      <c r="D1813" s="26"/>
      <c r="E1813" s="26"/>
      <c r="F1813" s="26"/>
      <c r="G1813" s="26"/>
      <c r="H1813" s="5"/>
    </row>
    <row r="1814" spans="3:8" ht="14.25" customHeight="1">
      <c r="C1814" s="245"/>
      <c r="D1814" s="26"/>
      <c r="E1814" s="26"/>
      <c r="F1814" s="26"/>
      <c r="G1814" s="26"/>
      <c r="H1814" s="5"/>
    </row>
    <row r="1815" spans="3:8" ht="14.25" customHeight="1">
      <c r="C1815" s="245"/>
      <c r="D1815" s="26"/>
      <c r="E1815" s="26"/>
      <c r="F1815" s="26"/>
      <c r="G1815" s="26"/>
      <c r="H1815" s="5"/>
    </row>
    <row r="1816" spans="3:8" ht="14.25" customHeight="1">
      <c r="C1816" s="245"/>
      <c r="D1816" s="26"/>
      <c r="E1816" s="26"/>
      <c r="F1816" s="26"/>
      <c r="G1816" s="26"/>
      <c r="H1816" s="5"/>
    </row>
    <row r="1817" spans="3:8" ht="14.25" customHeight="1">
      <c r="C1817" s="245"/>
      <c r="D1817" s="26"/>
      <c r="E1817" s="26"/>
      <c r="F1817" s="26"/>
      <c r="G1817" s="26"/>
      <c r="H1817" s="5"/>
    </row>
    <row r="1818" spans="3:8" ht="14.25" customHeight="1">
      <c r="C1818" s="245"/>
      <c r="D1818" s="26"/>
      <c r="E1818" s="26"/>
      <c r="F1818" s="26"/>
      <c r="G1818" s="26"/>
      <c r="H1818" s="5"/>
    </row>
    <row r="1819" spans="3:8" ht="14.25" customHeight="1">
      <c r="C1819" s="245"/>
      <c r="D1819" s="26"/>
      <c r="E1819" s="26"/>
      <c r="F1819" s="26"/>
      <c r="G1819" s="26"/>
      <c r="H1819" s="5"/>
    </row>
    <row r="1820" spans="3:8" ht="14.25" customHeight="1">
      <c r="C1820" s="245"/>
      <c r="D1820" s="26"/>
      <c r="E1820" s="26"/>
      <c r="F1820" s="26"/>
      <c r="G1820" s="26"/>
      <c r="H1820" s="5"/>
    </row>
    <row r="1821" spans="3:8" ht="14.25" customHeight="1">
      <c r="C1821" s="245"/>
      <c r="D1821" s="26"/>
      <c r="E1821" s="26"/>
      <c r="F1821" s="26"/>
      <c r="G1821" s="26"/>
      <c r="H1821" s="5"/>
    </row>
    <row r="1822" spans="3:8" ht="14.25" customHeight="1">
      <c r="C1822" s="245"/>
      <c r="D1822" s="26"/>
      <c r="E1822" s="26"/>
      <c r="F1822" s="26"/>
      <c r="G1822" s="26"/>
      <c r="H1822" s="5"/>
    </row>
    <row r="1823" spans="3:8" ht="14.25" customHeight="1">
      <c r="C1823" s="245"/>
      <c r="D1823" s="26"/>
      <c r="E1823" s="26"/>
      <c r="F1823" s="26"/>
      <c r="G1823" s="26"/>
      <c r="H1823" s="5"/>
    </row>
    <row r="1824" spans="3:8" ht="14.25" customHeight="1">
      <c r="C1824" s="245"/>
      <c r="D1824" s="26"/>
      <c r="E1824" s="26"/>
      <c r="F1824" s="26"/>
      <c r="G1824" s="26"/>
      <c r="H1824" s="5"/>
    </row>
    <row r="1825" spans="3:8" ht="14.25" customHeight="1">
      <c r="C1825" s="245"/>
      <c r="D1825" s="26"/>
      <c r="E1825" s="26"/>
      <c r="F1825" s="26"/>
      <c r="G1825" s="26"/>
      <c r="H1825" s="5"/>
    </row>
    <row r="1826" spans="3:8" ht="14.25" customHeight="1">
      <c r="C1826" s="245"/>
      <c r="D1826" s="26"/>
      <c r="E1826" s="26"/>
      <c r="F1826" s="26"/>
      <c r="G1826" s="26"/>
      <c r="H1826" s="5"/>
    </row>
    <row r="1827" spans="3:8" ht="14.25" customHeight="1">
      <c r="C1827" s="245"/>
      <c r="D1827" s="26"/>
      <c r="E1827" s="26"/>
      <c r="F1827" s="26"/>
      <c r="G1827" s="26"/>
      <c r="H1827" s="5"/>
    </row>
    <row r="1828" spans="3:8" ht="14.25" customHeight="1">
      <c r="C1828" s="245"/>
      <c r="D1828" s="26"/>
      <c r="E1828" s="26"/>
      <c r="F1828" s="26"/>
      <c r="G1828" s="26"/>
      <c r="H1828" s="5"/>
    </row>
    <row r="1829" spans="3:8" ht="14.25" customHeight="1">
      <c r="C1829" s="245"/>
      <c r="D1829" s="26"/>
      <c r="E1829" s="26"/>
      <c r="F1829" s="26"/>
      <c r="G1829" s="26"/>
      <c r="H1829" s="5"/>
    </row>
    <row r="1830" spans="3:8" ht="14.25" customHeight="1">
      <c r="C1830" s="245"/>
      <c r="D1830" s="26"/>
      <c r="E1830" s="26"/>
      <c r="F1830" s="26"/>
      <c r="G1830" s="26"/>
      <c r="H1830" s="5"/>
    </row>
    <row r="1831" spans="3:8" ht="14.25" customHeight="1">
      <c r="C1831" s="245"/>
      <c r="D1831" s="26"/>
      <c r="E1831" s="26"/>
      <c r="F1831" s="26"/>
      <c r="G1831" s="26"/>
      <c r="H1831" s="5"/>
    </row>
    <row r="1832" spans="3:8" ht="14.25" customHeight="1">
      <c r="C1832" s="245"/>
      <c r="D1832" s="26"/>
      <c r="E1832" s="26"/>
      <c r="F1832" s="26"/>
      <c r="G1832" s="26"/>
      <c r="H1832" s="5"/>
    </row>
    <row r="1833" spans="3:8" ht="14.25" customHeight="1">
      <c r="C1833" s="245"/>
      <c r="D1833" s="26"/>
      <c r="E1833" s="26"/>
      <c r="F1833" s="26"/>
      <c r="G1833" s="26"/>
      <c r="H1833" s="5"/>
    </row>
    <row r="1834" spans="3:8" ht="14.25" customHeight="1">
      <c r="C1834" s="245"/>
      <c r="D1834" s="26"/>
      <c r="E1834" s="26"/>
      <c r="F1834" s="26"/>
      <c r="G1834" s="26"/>
      <c r="H1834" s="5"/>
    </row>
    <row r="1835" spans="3:8" ht="14.25" customHeight="1">
      <c r="C1835" s="245"/>
      <c r="D1835" s="26"/>
      <c r="E1835" s="26"/>
      <c r="F1835" s="26"/>
      <c r="G1835" s="26"/>
      <c r="H1835" s="5"/>
    </row>
    <row r="1836" spans="3:8" ht="14.25" customHeight="1">
      <c r="C1836" s="245"/>
      <c r="D1836" s="26"/>
      <c r="E1836" s="26"/>
      <c r="F1836" s="26"/>
      <c r="G1836" s="26"/>
      <c r="H1836" s="5"/>
    </row>
    <row r="1837" spans="3:8" ht="14.25" customHeight="1">
      <c r="C1837" s="245"/>
      <c r="D1837" s="26"/>
      <c r="E1837" s="26"/>
      <c r="F1837" s="26"/>
      <c r="G1837" s="26"/>
      <c r="H1837" s="5"/>
    </row>
    <row r="1838" spans="3:8" ht="14.25" customHeight="1">
      <c r="C1838" s="245"/>
      <c r="D1838" s="26"/>
      <c r="E1838" s="26"/>
      <c r="F1838" s="26"/>
      <c r="G1838" s="26"/>
      <c r="H1838" s="5"/>
    </row>
    <row r="1839" spans="3:8" ht="14.25" customHeight="1">
      <c r="C1839" s="245"/>
      <c r="D1839" s="26"/>
      <c r="E1839" s="26"/>
      <c r="F1839" s="26"/>
      <c r="G1839" s="26"/>
      <c r="H1839" s="5"/>
    </row>
    <row r="1840" spans="3:8" ht="14.25" customHeight="1">
      <c r="C1840" s="245"/>
      <c r="D1840" s="26"/>
      <c r="E1840" s="26"/>
      <c r="F1840" s="26"/>
      <c r="G1840" s="26"/>
      <c r="H1840" s="5"/>
    </row>
    <row r="1841" spans="2:46" ht="14.25" customHeight="1">
      <c r="C1841" s="245"/>
      <c r="D1841" s="26"/>
      <c r="E1841" s="26"/>
      <c r="F1841" s="26"/>
      <c r="G1841" s="26"/>
      <c r="H1841" s="5"/>
    </row>
    <row r="1842" spans="2:46" ht="14.25" customHeight="1">
      <c r="C1842" s="245"/>
      <c r="D1842" s="26"/>
      <c r="E1842" s="26"/>
      <c r="F1842" s="26"/>
      <c r="G1842" s="26"/>
      <c r="H1842" s="5"/>
    </row>
    <row r="1843" spans="2:46" ht="14.25" customHeight="1">
      <c r="C1843" s="245"/>
      <c r="D1843" s="26"/>
      <c r="E1843" s="26"/>
      <c r="F1843" s="26"/>
      <c r="G1843" s="26"/>
      <c r="H1843" s="5"/>
    </row>
    <row r="1844" spans="2:46" ht="14.25" customHeight="1">
      <c r="C1844" s="245"/>
      <c r="D1844" s="26"/>
      <c r="E1844" s="26"/>
      <c r="F1844" s="26"/>
      <c r="G1844" s="26"/>
      <c r="H1844" s="5"/>
    </row>
    <row r="1845" spans="2:46" ht="14.25" customHeight="1">
      <c r="C1845" s="245"/>
      <c r="D1845" s="26"/>
      <c r="E1845" s="26"/>
      <c r="F1845" s="26"/>
      <c r="G1845" s="26"/>
      <c r="H1845" s="5"/>
    </row>
    <row r="1846" spans="2:46" ht="14.25" customHeight="1">
      <c r="C1846" s="245"/>
      <c r="D1846" s="26"/>
      <c r="E1846" s="26"/>
      <c r="F1846" s="26"/>
      <c r="G1846" s="26"/>
      <c r="H1846" s="5"/>
    </row>
    <row r="1847" spans="2:46" ht="14.25" customHeight="1">
      <c r="C1847" s="245"/>
      <c r="D1847" s="26"/>
      <c r="E1847" s="26"/>
      <c r="F1847" s="26"/>
      <c r="G1847" s="26"/>
      <c r="H1847" s="5"/>
    </row>
    <row r="1848" spans="2:46" ht="14.25" customHeight="1">
      <c r="C1848" s="245"/>
      <c r="D1848" s="26"/>
      <c r="E1848" s="26"/>
      <c r="F1848" s="26"/>
      <c r="G1848" s="26"/>
      <c r="H1848" s="5"/>
    </row>
    <row r="1849" spans="2:46" ht="14.25" customHeight="1">
      <c r="C1849" s="245"/>
      <c r="D1849" s="26"/>
      <c r="E1849" s="26"/>
      <c r="F1849" s="26"/>
      <c r="G1849" s="26"/>
      <c r="H1849" s="5"/>
    </row>
    <row r="1850" spans="2:46" ht="14.25" customHeight="1">
      <c r="C1850" s="245"/>
      <c r="D1850" s="26"/>
      <c r="E1850" s="26"/>
      <c r="F1850" s="26"/>
      <c r="G1850" s="26"/>
      <c r="H1850" s="5"/>
    </row>
    <row r="1851" spans="2:46" ht="14.25" customHeight="1">
      <c r="C1851" s="245"/>
      <c r="D1851" s="26"/>
      <c r="E1851" s="26"/>
      <c r="F1851" s="26"/>
      <c r="G1851" s="26"/>
      <c r="H1851" s="5"/>
    </row>
    <row r="1852" spans="2:46" ht="14.25" customHeight="1">
      <c r="C1852" s="245"/>
      <c r="D1852" s="26"/>
      <c r="E1852" s="26"/>
      <c r="F1852" s="26"/>
      <c r="G1852" s="26"/>
      <c r="H1852" s="5"/>
    </row>
    <row r="1853" spans="2:46" ht="14.25" customHeight="1">
      <c r="C1853" s="245"/>
      <c r="D1853" s="26"/>
      <c r="E1853" s="26"/>
      <c r="F1853" s="26"/>
      <c r="G1853" s="26"/>
      <c r="H1853" s="5"/>
    </row>
    <row r="1854" spans="2:46" ht="14.25" customHeight="1">
      <c r="C1854" s="245"/>
      <c r="D1854" s="26"/>
      <c r="E1854" s="26"/>
      <c r="F1854" s="26"/>
      <c r="G1854" s="26"/>
      <c r="H1854" s="5"/>
    </row>
    <row r="1855" spans="2:46" s="8" customFormat="1">
      <c r="B1855" s="451" t="str">
        <f>TITLE!$C$33</f>
        <v>Полотна скляні: ГЛАСФОРД</v>
      </c>
      <c r="C1855" s="451"/>
      <c r="D1855" s="118"/>
      <c r="E1855" s="118"/>
      <c r="F1855" s="118"/>
      <c r="G1855" s="118"/>
      <c r="H1855" s="118"/>
      <c r="I1855" s="121"/>
      <c r="J1855" s="121"/>
      <c r="K1855" s="121"/>
      <c r="L1855" s="121"/>
      <c r="M1855" s="121"/>
      <c r="N1855" s="121"/>
      <c r="O1855" s="121"/>
      <c r="P1855" s="121"/>
      <c r="Q1855" s="121"/>
      <c r="R1855" s="121"/>
      <c r="S1855" s="121"/>
      <c r="T1855" s="462" t="str">
        <f>IF($C$1="ENG",CONCATENATE("up to: ",B1780),CONCATENATE("вгору до: ",B1780))</f>
        <v>вгору до: Полотна скляні: ЕЛЕГАНТ</v>
      </c>
      <c r="U1855" s="462"/>
      <c r="V1855" s="462"/>
      <c r="W1855" s="462"/>
      <c r="AE1855" s="289">
        <f>AD1855/100*12+AD1855</f>
        <v>0</v>
      </c>
      <c r="AF1855" s="289" t="e">
        <f>AE1855/AD1855-1</f>
        <v>#DIV/0!</v>
      </c>
      <c r="AN1855" s="280"/>
      <c r="AO1855" s="280"/>
      <c r="AP1855" s="280"/>
      <c r="AQ1855" s="280"/>
      <c r="AR1855" s="280"/>
      <c r="AS1855" s="280"/>
      <c r="AT1855" s="280"/>
    </row>
    <row r="1856" spans="2:46" s="8" customFormat="1" ht="5.0999999999999996" customHeight="1">
      <c r="C1856" s="424"/>
      <c r="T1856" s="115"/>
      <c r="U1856" s="115"/>
      <c r="V1856" s="115"/>
      <c r="W1856" s="115"/>
      <c r="AN1856" s="280"/>
      <c r="AO1856" s="280"/>
      <c r="AP1856" s="280"/>
      <c r="AQ1856" s="280"/>
      <c r="AR1856" s="280"/>
      <c r="AS1856" s="280"/>
      <c r="AT1856" s="280"/>
    </row>
    <row r="1857" spans="1:38" ht="12.75" customHeight="1">
      <c r="A1857" s="8"/>
      <c r="B1857" s="452" t="str">
        <f>IF($C$1="ENG","model","модель")</f>
        <v>модель</v>
      </c>
      <c r="C1857" s="122" t="str">
        <f>IF($C$1="ENG","cover:","покриття:")</f>
        <v>покриття:</v>
      </c>
      <c r="D1857" s="458" t="str">
        <f>IF($C$1="ENG","GLASS","СКЛО")</f>
        <v>СКЛО</v>
      </c>
      <c r="E1857" s="459"/>
      <c r="F1857" s="10"/>
      <c r="G1857" s="10"/>
      <c r="H1857" s="10"/>
      <c r="I1857" s="8"/>
      <c r="J1857" s="8"/>
      <c r="K1857" s="8"/>
      <c r="L1857" s="8"/>
      <c r="M1857" s="11"/>
      <c r="P1857" s="8"/>
      <c r="Q1857" s="11"/>
    </row>
    <row r="1858" spans="1:38" ht="12.75" customHeight="1">
      <c r="A1858" s="8"/>
      <c r="B1858" s="453"/>
      <c r="C1858" s="123" t="str">
        <f>IF($C$1="ENG","filling:","заповнення:")</f>
        <v>заповнення:</v>
      </c>
      <c r="D1858" s="460" t="str">
        <f>IF($C$1="ENG","tempered glass","гартоване скло")</f>
        <v>гартоване скло</v>
      </c>
      <c r="E1858" s="461"/>
      <c r="F1858" s="10"/>
      <c r="G1858" s="10"/>
      <c r="H1858" s="10"/>
      <c r="I1858" s="8"/>
      <c r="J1858" s="8"/>
      <c r="K1858" s="8"/>
      <c r="L1858" s="8"/>
      <c r="M1858" s="11"/>
      <c r="P1858" s="8"/>
      <c r="Q1858" s="11"/>
    </row>
    <row r="1859" spans="1:38">
      <c r="A1859" s="8"/>
      <c r="B1859" s="454"/>
      <c r="C1859" s="124" t="str">
        <f>IF($C$1="ENG","glazing:","скління:")</f>
        <v>скління:</v>
      </c>
      <c r="D1859" s="449" t="str">
        <f>IF($C$1="ENG","Drawing / Satin (1)","Малюнок / Сатин (1)")</f>
        <v>Малюнок / Сатин (1)</v>
      </c>
      <c r="E1859" s="450"/>
      <c r="F1859" s="10"/>
      <c r="G1859" s="10"/>
      <c r="H1859" s="10"/>
      <c r="I1859" s="8"/>
      <c r="J1859" s="8"/>
      <c r="K1859" s="8"/>
      <c r="L1859" s="40"/>
      <c r="M1859" s="41"/>
      <c r="N1859" s="19"/>
      <c r="O1859" s="19"/>
      <c r="P1859" s="40"/>
      <c r="Q1859" s="41"/>
      <c r="R1859" s="19"/>
      <c r="S1859" s="19"/>
      <c r="T1859" s="42"/>
      <c r="U1859" s="30"/>
      <c r="W1859" s="20"/>
      <c r="X1859" s="22"/>
      <c r="Y1859" s="22"/>
      <c r="Z1859" s="22"/>
      <c r="AA1859" s="22"/>
      <c r="AB1859" s="22"/>
    </row>
    <row r="1860" spans="1:38" ht="35.1" customHeight="1">
      <c r="A1860" s="8"/>
      <c r="B1860" s="13">
        <v>1</v>
      </c>
      <c r="C1860" s="14"/>
      <c r="D1860" s="15">
        <f>IF(AC1860="","",(1-$W$2)*(AC1860/1.2))</f>
        <v>13750</v>
      </c>
      <c r="E1860" s="64">
        <f>IF($W$5=0.2,D1860*1.2,D1860)/$W$4</f>
        <v>16500</v>
      </c>
      <c r="F1860" s="10"/>
      <c r="G1860" s="10"/>
      <c r="H1860" s="10"/>
      <c r="I1860" s="45"/>
      <c r="J1860" s="8"/>
      <c r="K1860" s="43"/>
      <c r="L1860" s="8"/>
      <c r="M1860" s="44"/>
      <c r="N1860" s="19"/>
      <c r="O1860" s="11"/>
      <c r="P1860" s="8"/>
      <c r="Q1860" s="44"/>
      <c r="R1860" s="19"/>
      <c r="S1860" s="11"/>
      <c r="T1860" s="42"/>
      <c r="U1860" s="30"/>
      <c r="W1860" s="20"/>
      <c r="AC1860" s="332">
        <v>16500</v>
      </c>
      <c r="AD1860" s="289">
        <v>16500</v>
      </c>
      <c r="AE1860" s="289">
        <f>AD1860/AC1860-1</f>
        <v>0</v>
      </c>
      <c r="AF1860" s="289"/>
      <c r="AG1860" s="289"/>
      <c r="AH1860" s="289"/>
      <c r="AI1860" s="289"/>
      <c r="AJ1860" s="289"/>
      <c r="AK1860" s="289"/>
      <c r="AL1860" s="289"/>
    </row>
    <row r="1861" spans="1:38" ht="35.1" customHeight="1">
      <c r="A1861" s="8"/>
      <c r="B1861" s="16">
        <v>2</v>
      </c>
      <c r="C1861" s="17"/>
      <c r="D1861" s="18">
        <f>IF(AC1861="","",(1-$W$2)*(AC1861/1.2))</f>
        <v>14375</v>
      </c>
      <c r="E1861" s="66">
        <f>IF($W$5=0.2,D1861*1.2,D1861)/$W$4</f>
        <v>17250</v>
      </c>
      <c r="F1861" s="10"/>
      <c r="G1861" s="10"/>
      <c r="H1861" s="10"/>
      <c r="I1861" s="45"/>
      <c r="J1861" s="8"/>
      <c r="K1861" s="43"/>
      <c r="L1861" s="8"/>
      <c r="M1861" s="41"/>
      <c r="N1861" s="19"/>
      <c r="O1861" s="11"/>
      <c r="P1861" s="8"/>
      <c r="Q1861" s="41"/>
      <c r="R1861" s="19"/>
      <c r="S1861" s="11"/>
      <c r="T1861" s="42"/>
      <c r="U1861" s="30"/>
      <c r="W1861" s="20"/>
      <c r="AC1861" s="332">
        <v>17250</v>
      </c>
      <c r="AD1861" s="289">
        <v>17250</v>
      </c>
      <c r="AE1861" s="289">
        <f t="shared" ref="AE1861:AE1864" si="270">AD1861/AC1861-1</f>
        <v>0</v>
      </c>
      <c r="AF1861" s="289"/>
      <c r="AG1861" s="289"/>
      <c r="AH1861" s="289"/>
      <c r="AI1861" s="289"/>
      <c r="AJ1861" s="289"/>
      <c r="AK1861" s="289"/>
      <c r="AL1861" s="289"/>
    </row>
    <row r="1862" spans="1:38" ht="35.1" customHeight="1">
      <c r="A1862" s="8"/>
      <c r="B1862" s="16">
        <v>3</v>
      </c>
      <c r="C1862" s="17"/>
      <c r="D1862" s="18">
        <f>IF(AC1862="","",(1-$W$2)*(AC1862/1.2))</f>
        <v>14375</v>
      </c>
      <c r="E1862" s="66">
        <f>IF($W$5=0.2,D1862*1.2,D1862)/$W$4</f>
        <v>17250</v>
      </c>
      <c r="F1862" s="10"/>
      <c r="G1862" s="10"/>
      <c r="H1862" s="10"/>
      <c r="I1862" s="45"/>
      <c r="J1862" s="8"/>
      <c r="K1862" s="8"/>
      <c r="L1862" s="8"/>
      <c r="M1862" s="41"/>
      <c r="N1862" s="19"/>
      <c r="O1862" s="11"/>
      <c r="P1862" s="8"/>
      <c r="Q1862" s="41"/>
      <c r="R1862" s="19"/>
      <c r="S1862" s="11"/>
      <c r="T1862" s="42"/>
      <c r="U1862" s="30"/>
      <c r="W1862" s="20"/>
      <c r="AC1862" s="332">
        <v>17250</v>
      </c>
      <c r="AD1862" s="289">
        <v>17250</v>
      </c>
      <c r="AE1862" s="289">
        <f t="shared" si="270"/>
        <v>0</v>
      </c>
      <c r="AF1862" s="289"/>
      <c r="AG1862" s="289"/>
      <c r="AH1862" s="289"/>
      <c r="AI1862" s="289"/>
      <c r="AJ1862" s="289"/>
      <c r="AK1862" s="289"/>
      <c r="AL1862" s="289"/>
    </row>
    <row r="1863" spans="1:38" ht="35.1" customHeight="1">
      <c r="A1863" s="8"/>
      <c r="B1863" s="16">
        <v>4</v>
      </c>
      <c r="C1863" s="17"/>
      <c r="D1863" s="18">
        <f>IF(AC1863="","",(1-$W$2)*(AC1863/1.2))</f>
        <v>14375</v>
      </c>
      <c r="E1863" s="66">
        <f>IF($W$5=0.2,D1863*1.2,D1863)/$W$4</f>
        <v>17250</v>
      </c>
      <c r="F1863" s="10"/>
      <c r="G1863" s="10"/>
      <c r="H1863" s="10"/>
      <c r="I1863" s="45"/>
      <c r="J1863" s="8"/>
      <c r="K1863" s="8"/>
      <c r="L1863" s="8"/>
      <c r="M1863" s="41"/>
      <c r="N1863" s="19"/>
      <c r="O1863" s="11"/>
      <c r="P1863" s="8"/>
      <c r="Q1863" s="41"/>
      <c r="R1863" s="19"/>
      <c r="S1863" s="11"/>
      <c r="T1863" s="42"/>
      <c r="U1863" s="30"/>
      <c r="W1863" s="20"/>
      <c r="AC1863" s="332">
        <v>17250</v>
      </c>
      <c r="AD1863" s="289">
        <v>17250</v>
      </c>
      <c r="AE1863" s="289">
        <f t="shared" si="270"/>
        <v>0</v>
      </c>
      <c r="AF1863" s="289"/>
      <c r="AG1863" s="289"/>
      <c r="AH1863" s="289"/>
      <c r="AI1863" s="289"/>
      <c r="AJ1863" s="289"/>
      <c r="AK1863" s="289"/>
      <c r="AL1863" s="289"/>
    </row>
    <row r="1864" spans="1:38" ht="34.5" customHeight="1">
      <c r="B1864" s="23">
        <v>5</v>
      </c>
      <c r="C1864" s="24"/>
      <c r="D1864" s="25">
        <f>IF(AC1864="","",(1-$W$2)*(AC1864/1.2))</f>
        <v>14375</v>
      </c>
      <c r="E1864" s="69">
        <f>IF($W$5=0.2,D1864*1.2,D1864)/$W$4</f>
        <v>17250</v>
      </c>
      <c r="F1864" s="10"/>
      <c r="G1864" s="10"/>
      <c r="H1864" s="10"/>
      <c r="I1864" s="45"/>
      <c r="J1864" s="8"/>
      <c r="K1864" s="8"/>
      <c r="L1864" s="8"/>
      <c r="P1864" s="8"/>
      <c r="AC1864" s="332">
        <v>17250</v>
      </c>
      <c r="AD1864" s="289">
        <v>17250</v>
      </c>
      <c r="AE1864" s="289">
        <f t="shared" si="270"/>
        <v>0</v>
      </c>
      <c r="AF1864" s="289"/>
      <c r="AG1864" s="289"/>
      <c r="AH1864" s="289"/>
      <c r="AI1864" s="289"/>
      <c r="AJ1864" s="289"/>
      <c r="AK1864" s="289"/>
      <c r="AL1864" s="289"/>
    </row>
    <row r="1865" spans="1:38">
      <c r="C1865" s="245"/>
      <c r="D1865" s="26"/>
      <c r="E1865" s="57"/>
      <c r="F1865" s="10"/>
      <c r="G1865" s="10"/>
      <c r="H1865" s="10"/>
      <c r="I1865" s="8"/>
      <c r="J1865" s="8"/>
      <c r="K1865" s="8"/>
      <c r="L1865" s="8"/>
      <c r="P1865" s="8"/>
    </row>
    <row r="1866" spans="1:38" ht="12.75" customHeight="1">
      <c r="B1866" s="212" t="str">
        <f>IF($C$1="ENG","For additonal charge:","Послуги за додаткову плату:")</f>
        <v>Послуги за додаткову плату:</v>
      </c>
      <c r="C1866" s="421"/>
      <c r="D1866" s="213"/>
      <c r="E1866" s="214"/>
      <c r="F1866" s="39"/>
      <c r="G1866" s="39"/>
      <c r="H1866" s="10"/>
      <c r="I1866" s="8"/>
      <c r="J1866" s="8"/>
      <c r="K1866" s="8"/>
    </row>
    <row r="1867" spans="1:38" ht="4.5" customHeight="1">
      <c r="B1867" s="27"/>
      <c r="C1867" s="245"/>
      <c r="D1867" s="26"/>
      <c r="E1867" s="57"/>
      <c r="F1867" s="26"/>
      <c r="G1867" s="26"/>
      <c r="H1867" s="10"/>
      <c r="I1867" s="8"/>
      <c r="J1867" s="8"/>
      <c r="K1867" s="8"/>
    </row>
    <row r="1868" spans="1:38">
      <c r="B1868" s="447" t="str">
        <f>IF($C$1="ENG","door leaf with width 100","полотно розміром 100")</f>
        <v>полотно розміром 100</v>
      </c>
      <c r="C1868" s="448"/>
      <c r="D1868" s="101">
        <f t="shared" ref="D1868:D1873" si="271">IF(AC1868="","",(1-$W$2)*(AC1868/1.2))</f>
        <v>2750</v>
      </c>
      <c r="E1868" s="64">
        <f t="shared" ref="E1868:E1873" si="272">IF($W$5=0.2,D1868*1.2,D1868)/$W$4</f>
        <v>3300</v>
      </c>
      <c r="F1868" s="26"/>
      <c r="G1868" s="26"/>
      <c r="H1868" s="10"/>
      <c r="I1868" s="8"/>
      <c r="J1868" s="8"/>
      <c r="K1868" s="8"/>
      <c r="AC1868" s="298">
        <v>3300</v>
      </c>
      <c r="AD1868" s="289">
        <v>3300</v>
      </c>
      <c r="AE1868" s="289">
        <f>AD1868/AC1868-1</f>
        <v>0</v>
      </c>
      <c r="AF1868" s="289"/>
      <c r="AG1868" s="289"/>
      <c r="AH1868" s="289"/>
      <c r="AI1868" s="289"/>
      <c r="AJ1868" s="289"/>
      <c r="AK1868" s="289"/>
      <c r="AL1868" s="289"/>
    </row>
    <row r="1869" spans="1:38">
      <c r="B1869" s="445" t="str">
        <f>IF($C$1="ENG","glazing Triplex mat / black","скло Триплекс матовий / чорний")</f>
        <v>скло Триплекс матовий / чорний</v>
      </c>
      <c r="C1869" s="446"/>
      <c r="D1869" s="102">
        <f t="shared" si="271"/>
        <v>1725</v>
      </c>
      <c r="E1869" s="66">
        <f t="shared" si="272"/>
        <v>2070</v>
      </c>
      <c r="F1869" s="26"/>
      <c r="G1869" s="26"/>
      <c r="I1869" s="11"/>
      <c r="J1869" s="11"/>
      <c r="K1869" s="19"/>
      <c r="AC1869" s="298">
        <v>2070</v>
      </c>
      <c r="AD1869" s="289">
        <v>2070</v>
      </c>
      <c r="AE1869" s="289">
        <f>AD1869/AC1869-1</f>
        <v>0</v>
      </c>
      <c r="AF1869" s="289"/>
      <c r="AG1869" s="289"/>
      <c r="AH1869" s="289"/>
      <c r="AI1869" s="289"/>
      <c r="AJ1869" s="289"/>
      <c r="AK1869" s="289"/>
      <c r="AL1869" s="289"/>
    </row>
    <row r="1870" spans="1:38">
      <c r="B1870" s="445" t="str">
        <f>IF($C$1="ENG","glazing Graphite / Bronze","скло Графіт / Бронза")</f>
        <v>скло Графіт / Бронза</v>
      </c>
      <c r="C1870" s="446"/>
      <c r="D1870" s="102">
        <f t="shared" si="271"/>
        <v>1375</v>
      </c>
      <c r="E1870" s="66">
        <f t="shared" si="272"/>
        <v>1650</v>
      </c>
      <c r="F1870" s="26"/>
      <c r="G1870" s="26"/>
      <c r="AC1870" s="298">
        <v>1650</v>
      </c>
      <c r="AD1870" s="289">
        <v>1650</v>
      </c>
      <c r="AE1870" s="289">
        <f t="shared" ref="AE1870:AE1873" si="273">AD1870/AC1870-1</f>
        <v>0</v>
      </c>
      <c r="AF1870" s="289"/>
      <c r="AG1870" s="289"/>
      <c r="AH1870" s="289"/>
      <c r="AI1870" s="289"/>
      <c r="AJ1870" s="289"/>
      <c r="AK1870" s="289"/>
      <c r="AL1870" s="289"/>
    </row>
    <row r="1871" spans="1:38">
      <c r="B1871" s="445" t="str">
        <f>IF($C$1="ENG","glazing Mirror","скло Дзеркало")</f>
        <v>скло Дзеркало</v>
      </c>
      <c r="C1871" s="446"/>
      <c r="D1871" s="102">
        <f t="shared" si="271"/>
        <v>4500</v>
      </c>
      <c r="E1871" s="66">
        <f t="shared" si="272"/>
        <v>5400</v>
      </c>
      <c r="F1871" s="26"/>
      <c r="G1871" s="26"/>
      <c r="AC1871" s="298">
        <v>5400</v>
      </c>
      <c r="AD1871" s="289">
        <v>5400</v>
      </c>
      <c r="AE1871" s="289">
        <f t="shared" si="273"/>
        <v>0</v>
      </c>
      <c r="AF1871" s="289"/>
      <c r="AG1871" s="289"/>
      <c r="AH1871" s="289"/>
      <c r="AI1871" s="289"/>
      <c r="AJ1871" s="289"/>
      <c r="AK1871" s="289"/>
      <c r="AL1871" s="289"/>
    </row>
    <row r="1872" spans="1:38">
      <c r="B1872" s="445" t="str">
        <f>IF($C$1="ENG","door lock Glass regular key / cylinder","замок Glass під ключ / циліндр")</f>
        <v>замок Glass під ключ / циліндр</v>
      </c>
      <c r="C1872" s="446"/>
      <c r="D1872" s="18">
        <f t="shared" si="271"/>
        <v>1033.3333333333335</v>
      </c>
      <c r="E1872" s="66">
        <f t="shared" si="272"/>
        <v>1240.0000000000002</v>
      </c>
      <c r="F1872" s="26"/>
      <c r="G1872" s="26"/>
      <c r="AC1872" s="298">
        <v>1240</v>
      </c>
      <c r="AD1872" s="289">
        <v>1240</v>
      </c>
      <c r="AE1872" s="289">
        <f t="shared" si="273"/>
        <v>0</v>
      </c>
      <c r="AF1872" s="289"/>
      <c r="AG1872" s="289"/>
      <c r="AH1872" s="289"/>
      <c r="AI1872" s="289"/>
      <c r="AJ1872" s="289"/>
      <c r="AK1872" s="289"/>
      <c r="AL1872" s="289"/>
    </row>
    <row r="1873" spans="2:38" ht="14.25" customHeight="1">
      <c r="B1873" s="445" t="str">
        <f>IF($C$1="ENG","door lock Glass bathroom lock","замок Glass сантехнічний")</f>
        <v>замок Glass сантехнічний</v>
      </c>
      <c r="C1873" s="446"/>
      <c r="D1873" s="25">
        <f t="shared" si="271"/>
        <v>2450</v>
      </c>
      <c r="E1873" s="69">
        <f t="shared" si="272"/>
        <v>2940</v>
      </c>
      <c r="F1873" s="141"/>
      <c r="G1873" s="26"/>
      <c r="T1873" s="465" t="str">
        <f>IF($C$1="ENG",CONCATENATE("down to: ",B1923),CONCATENATE("вниз до: ",B1923))</f>
        <v>вниз до: Полотна: ДОБОР LADA</v>
      </c>
      <c r="U1873" s="465"/>
      <c r="V1873" s="465"/>
      <c r="W1873" s="465"/>
      <c r="AC1873" s="298">
        <v>2940</v>
      </c>
      <c r="AD1873" s="289">
        <v>2940</v>
      </c>
      <c r="AE1873" s="289">
        <f t="shared" si="273"/>
        <v>0</v>
      </c>
      <c r="AF1873" s="289"/>
      <c r="AG1873" s="289"/>
      <c r="AH1873" s="289"/>
      <c r="AI1873" s="289"/>
      <c r="AJ1873" s="289"/>
      <c r="AK1873" s="289"/>
      <c r="AL1873" s="289"/>
    </row>
    <row r="1874" spans="2:38" ht="14.25" customHeight="1">
      <c r="C1874" s="245"/>
      <c r="D1874" s="26"/>
      <c r="E1874" s="26"/>
      <c r="F1874" s="26"/>
      <c r="G1874" s="26"/>
      <c r="H1874" s="5"/>
    </row>
    <row r="1875" spans="2:38" ht="14.25" customHeight="1">
      <c r="C1875" s="245"/>
      <c r="D1875" s="26"/>
      <c r="E1875" s="26"/>
      <c r="F1875" s="26"/>
      <c r="G1875" s="26"/>
      <c r="H1875" s="5"/>
    </row>
    <row r="1876" spans="2:38" ht="14.25" customHeight="1">
      <c r="C1876" s="245"/>
      <c r="D1876" s="26"/>
      <c r="E1876" s="26"/>
      <c r="F1876" s="26"/>
      <c r="G1876" s="26"/>
      <c r="H1876" s="5"/>
    </row>
    <row r="1877" spans="2:38" ht="14.25" customHeight="1">
      <c r="C1877" s="245"/>
      <c r="D1877" s="26"/>
      <c r="E1877" s="26"/>
      <c r="F1877" s="26"/>
      <c r="G1877" s="26"/>
      <c r="H1877" s="5"/>
    </row>
    <row r="1878" spans="2:38" ht="14.25" customHeight="1">
      <c r="C1878" s="245"/>
      <c r="D1878" s="26"/>
      <c r="E1878" s="26"/>
      <c r="F1878" s="26"/>
      <c r="G1878" s="26"/>
      <c r="H1878" s="5"/>
    </row>
    <row r="1879" spans="2:38" ht="14.25" customHeight="1">
      <c r="C1879" s="245"/>
      <c r="D1879" s="26"/>
      <c r="E1879" s="26"/>
      <c r="F1879" s="26"/>
      <c r="G1879" s="26"/>
      <c r="H1879" s="5"/>
    </row>
    <row r="1880" spans="2:38" ht="14.25" customHeight="1">
      <c r="C1880" s="245"/>
      <c r="D1880" s="26"/>
      <c r="E1880" s="26"/>
      <c r="F1880" s="26"/>
      <c r="G1880" s="26"/>
      <c r="H1880" s="5"/>
    </row>
    <row r="1881" spans="2:38" ht="14.25" customHeight="1">
      <c r="C1881" s="245"/>
      <c r="D1881" s="26"/>
      <c r="E1881" s="26"/>
      <c r="F1881" s="26"/>
      <c r="G1881" s="26"/>
      <c r="H1881" s="5"/>
    </row>
    <row r="1882" spans="2:38" ht="14.25" customHeight="1">
      <c r="C1882" s="245"/>
      <c r="D1882" s="26"/>
      <c r="E1882" s="26"/>
      <c r="F1882" s="26"/>
      <c r="G1882" s="26"/>
      <c r="H1882" s="5"/>
    </row>
    <row r="1883" spans="2:38" ht="14.25" customHeight="1">
      <c r="C1883" s="245"/>
      <c r="D1883" s="26"/>
      <c r="E1883" s="26"/>
      <c r="F1883" s="26"/>
      <c r="G1883" s="26"/>
      <c r="H1883" s="5"/>
    </row>
    <row r="1884" spans="2:38" ht="14.25" customHeight="1">
      <c r="C1884" s="245"/>
      <c r="D1884" s="26"/>
      <c r="E1884" s="26"/>
      <c r="F1884" s="26"/>
      <c r="G1884" s="26"/>
      <c r="H1884" s="5"/>
    </row>
    <row r="1885" spans="2:38" ht="14.25" customHeight="1">
      <c r="C1885" s="245"/>
      <c r="D1885" s="26"/>
      <c r="E1885" s="26"/>
      <c r="F1885" s="26"/>
      <c r="G1885" s="26"/>
      <c r="H1885" s="5"/>
    </row>
    <row r="1886" spans="2:38" ht="14.25" customHeight="1">
      <c r="C1886" s="245"/>
      <c r="D1886" s="26"/>
      <c r="E1886" s="26"/>
      <c r="F1886" s="26"/>
      <c r="G1886" s="26"/>
      <c r="H1886" s="5"/>
    </row>
    <row r="1887" spans="2:38" ht="14.25" customHeight="1">
      <c r="C1887" s="245"/>
      <c r="D1887" s="26"/>
      <c r="E1887" s="26"/>
      <c r="F1887" s="26"/>
      <c r="G1887" s="26"/>
      <c r="H1887" s="5"/>
    </row>
    <row r="1888" spans="2:38" ht="14.25" customHeight="1">
      <c r="C1888" s="245"/>
      <c r="D1888" s="26"/>
      <c r="E1888" s="26"/>
      <c r="F1888" s="26"/>
      <c r="G1888" s="26"/>
      <c r="H1888" s="5"/>
    </row>
    <row r="1889" spans="3:8" ht="14.25" customHeight="1">
      <c r="C1889" s="245"/>
      <c r="D1889" s="26"/>
      <c r="E1889" s="26"/>
      <c r="F1889" s="26"/>
      <c r="G1889" s="26"/>
      <c r="H1889" s="5"/>
    </row>
    <row r="1890" spans="3:8" ht="14.25" customHeight="1">
      <c r="C1890" s="245"/>
      <c r="D1890" s="26"/>
      <c r="E1890" s="26"/>
      <c r="F1890" s="26"/>
      <c r="G1890" s="26"/>
      <c r="H1890" s="5"/>
    </row>
    <row r="1891" spans="3:8" ht="14.25" customHeight="1">
      <c r="C1891" s="245"/>
      <c r="D1891" s="26"/>
      <c r="E1891" s="26"/>
      <c r="F1891" s="26"/>
      <c r="G1891" s="26"/>
      <c r="H1891" s="5"/>
    </row>
    <row r="1892" spans="3:8" ht="14.25" customHeight="1">
      <c r="C1892" s="245"/>
      <c r="D1892" s="26"/>
      <c r="E1892" s="26"/>
      <c r="F1892" s="26"/>
      <c r="G1892" s="26"/>
      <c r="H1892" s="5"/>
    </row>
    <row r="1893" spans="3:8" ht="14.25" customHeight="1">
      <c r="C1893" s="245"/>
      <c r="D1893" s="26"/>
      <c r="E1893" s="26"/>
      <c r="F1893" s="26"/>
      <c r="G1893" s="26"/>
      <c r="H1893" s="5"/>
    </row>
    <row r="1894" spans="3:8" ht="14.25" customHeight="1">
      <c r="C1894" s="245"/>
      <c r="D1894" s="26"/>
      <c r="E1894" s="26"/>
      <c r="F1894" s="26"/>
      <c r="G1894" s="26"/>
      <c r="H1894" s="5"/>
    </row>
    <row r="1895" spans="3:8" ht="14.25" customHeight="1">
      <c r="C1895" s="245"/>
      <c r="D1895" s="26"/>
      <c r="E1895" s="26"/>
      <c r="F1895" s="26"/>
      <c r="G1895" s="26"/>
      <c r="H1895" s="5"/>
    </row>
    <row r="1896" spans="3:8" ht="14.25" customHeight="1">
      <c r="C1896" s="245"/>
      <c r="D1896" s="26"/>
      <c r="E1896" s="26"/>
      <c r="F1896" s="26"/>
      <c r="G1896" s="26"/>
      <c r="H1896" s="5"/>
    </row>
    <row r="1897" spans="3:8" ht="14.25" customHeight="1">
      <c r="C1897" s="245"/>
      <c r="D1897" s="26"/>
      <c r="E1897" s="26"/>
      <c r="F1897" s="26"/>
      <c r="G1897" s="26"/>
      <c r="H1897" s="5"/>
    </row>
    <row r="1898" spans="3:8" ht="14.25" customHeight="1">
      <c r="C1898" s="245"/>
      <c r="D1898" s="26"/>
      <c r="E1898" s="26"/>
      <c r="F1898" s="26"/>
      <c r="G1898" s="26"/>
      <c r="H1898" s="5"/>
    </row>
    <row r="1899" spans="3:8" ht="14.25" customHeight="1">
      <c r="C1899" s="245"/>
      <c r="D1899" s="26"/>
      <c r="E1899" s="26"/>
      <c r="F1899" s="26"/>
      <c r="G1899" s="26"/>
      <c r="H1899" s="5"/>
    </row>
    <row r="1900" spans="3:8" ht="14.25" customHeight="1">
      <c r="C1900" s="245"/>
      <c r="D1900" s="26"/>
      <c r="E1900" s="26"/>
      <c r="F1900" s="26"/>
      <c r="G1900" s="26"/>
      <c r="H1900" s="5"/>
    </row>
    <row r="1901" spans="3:8" ht="14.25" customHeight="1">
      <c r="C1901" s="245"/>
      <c r="D1901" s="26"/>
      <c r="E1901" s="26"/>
      <c r="F1901" s="26"/>
      <c r="G1901" s="26"/>
      <c r="H1901" s="5"/>
    </row>
    <row r="1902" spans="3:8" ht="14.25" customHeight="1">
      <c r="C1902" s="245"/>
      <c r="D1902" s="26"/>
      <c r="E1902" s="26"/>
      <c r="F1902" s="26"/>
      <c r="G1902" s="26"/>
      <c r="H1902" s="5"/>
    </row>
    <row r="1903" spans="3:8" ht="14.25" customHeight="1">
      <c r="C1903" s="245"/>
      <c r="D1903" s="26"/>
      <c r="E1903" s="26"/>
      <c r="F1903" s="26"/>
      <c r="G1903" s="26"/>
      <c r="H1903" s="5"/>
    </row>
    <row r="1904" spans="3:8" ht="14.25" customHeight="1">
      <c r="C1904" s="245"/>
      <c r="D1904" s="26"/>
      <c r="E1904" s="26"/>
      <c r="F1904" s="26"/>
      <c r="G1904" s="26"/>
      <c r="H1904" s="5"/>
    </row>
    <row r="1905" spans="3:8" ht="14.25" customHeight="1">
      <c r="C1905" s="245"/>
      <c r="D1905" s="26"/>
      <c r="E1905" s="26"/>
      <c r="F1905" s="26"/>
      <c r="G1905" s="26"/>
      <c r="H1905" s="5"/>
    </row>
    <row r="1906" spans="3:8" ht="14.25" customHeight="1">
      <c r="C1906" s="245"/>
      <c r="D1906" s="26"/>
      <c r="E1906" s="26"/>
      <c r="F1906" s="26"/>
      <c r="G1906" s="26"/>
      <c r="H1906" s="5"/>
    </row>
    <row r="1907" spans="3:8" ht="14.25" customHeight="1">
      <c r="C1907" s="245"/>
      <c r="D1907" s="26"/>
      <c r="E1907" s="26"/>
      <c r="F1907" s="26"/>
      <c r="G1907" s="26"/>
      <c r="H1907" s="5"/>
    </row>
    <row r="1908" spans="3:8" ht="14.25" customHeight="1">
      <c r="C1908" s="245"/>
      <c r="D1908" s="26"/>
      <c r="E1908" s="26"/>
      <c r="F1908" s="26"/>
      <c r="G1908" s="26"/>
      <c r="H1908" s="5"/>
    </row>
    <row r="1909" spans="3:8" ht="14.25" customHeight="1">
      <c r="C1909" s="245"/>
      <c r="D1909" s="26"/>
      <c r="E1909" s="26"/>
      <c r="F1909" s="26"/>
      <c r="G1909" s="26"/>
      <c r="H1909" s="5"/>
    </row>
    <row r="1910" spans="3:8" ht="14.25" customHeight="1">
      <c r="C1910" s="245"/>
      <c r="D1910" s="26"/>
      <c r="E1910" s="26"/>
      <c r="F1910" s="26"/>
      <c r="G1910" s="26"/>
      <c r="H1910" s="5"/>
    </row>
    <row r="1911" spans="3:8" ht="14.25" customHeight="1">
      <c r="C1911" s="245"/>
      <c r="D1911" s="26"/>
      <c r="E1911" s="26"/>
      <c r="F1911" s="26"/>
      <c r="G1911" s="26"/>
      <c r="H1911" s="5"/>
    </row>
    <row r="1912" spans="3:8" ht="14.25" customHeight="1">
      <c r="C1912" s="245"/>
      <c r="D1912" s="26"/>
      <c r="E1912" s="26"/>
      <c r="F1912" s="26"/>
      <c r="G1912" s="26"/>
      <c r="H1912" s="5"/>
    </row>
    <row r="1913" spans="3:8" ht="14.25" customHeight="1">
      <c r="C1913" s="245"/>
      <c r="D1913" s="26"/>
      <c r="E1913" s="26"/>
      <c r="F1913" s="26"/>
      <c r="G1913" s="26"/>
      <c r="H1913" s="5"/>
    </row>
    <row r="1914" spans="3:8" ht="14.25" customHeight="1">
      <c r="C1914" s="245"/>
      <c r="D1914" s="26"/>
      <c r="E1914" s="26"/>
      <c r="F1914" s="26"/>
      <c r="G1914" s="26"/>
      <c r="H1914" s="5"/>
    </row>
    <row r="1915" spans="3:8" ht="14.25" customHeight="1">
      <c r="C1915" s="245"/>
      <c r="D1915" s="26"/>
      <c r="E1915" s="26"/>
      <c r="F1915" s="26"/>
      <c r="G1915" s="26"/>
      <c r="H1915" s="5"/>
    </row>
    <row r="1916" spans="3:8" ht="14.25" customHeight="1">
      <c r="C1916" s="245"/>
      <c r="D1916" s="26"/>
      <c r="E1916" s="26"/>
      <c r="F1916" s="26"/>
      <c r="G1916" s="26"/>
      <c r="H1916" s="5"/>
    </row>
    <row r="1917" spans="3:8" ht="14.25" customHeight="1">
      <c r="C1917" s="245"/>
      <c r="D1917" s="26"/>
      <c r="E1917" s="26"/>
      <c r="F1917" s="26"/>
      <c r="G1917" s="26"/>
      <c r="H1917" s="5"/>
    </row>
    <row r="1918" spans="3:8" ht="14.25" customHeight="1">
      <c r="C1918" s="245"/>
      <c r="D1918" s="26"/>
      <c r="E1918" s="26"/>
      <c r="F1918" s="26"/>
      <c r="G1918" s="26"/>
      <c r="H1918" s="5"/>
    </row>
    <row r="1919" spans="3:8" ht="14.25" customHeight="1">
      <c r="C1919" s="245"/>
      <c r="D1919" s="26"/>
      <c r="E1919" s="26"/>
      <c r="F1919" s="26"/>
      <c r="G1919" s="26"/>
      <c r="H1919" s="5"/>
    </row>
    <row r="1920" spans="3:8" ht="14.25" customHeight="1">
      <c r="C1920" s="245"/>
      <c r="D1920" s="26"/>
      <c r="E1920" s="26"/>
      <c r="F1920" s="26"/>
      <c r="G1920" s="26"/>
      <c r="H1920" s="5"/>
    </row>
    <row r="1921" spans="2:44" ht="14.25" customHeight="1">
      <c r="C1921" s="245"/>
      <c r="D1921" s="26"/>
      <c r="E1921" s="26"/>
      <c r="F1921" s="26"/>
      <c r="G1921" s="26"/>
      <c r="H1921" s="5"/>
    </row>
    <row r="1922" spans="2:44" ht="14.25" customHeight="1">
      <c r="C1922" s="245"/>
      <c r="D1922" s="26"/>
      <c r="E1922" s="26"/>
      <c r="F1922" s="26"/>
      <c r="G1922" s="26"/>
      <c r="H1922" s="5"/>
    </row>
    <row r="1923" spans="2:44" ht="14.25" customHeight="1">
      <c r="B1923" s="491" t="str">
        <f>TITLE!$C$34</f>
        <v>Полотна: ДОБОР LADA</v>
      </c>
      <c r="C1923" s="492"/>
      <c r="D1923" s="118"/>
      <c r="E1923" s="118"/>
      <c r="F1923" s="118"/>
      <c r="G1923" s="118"/>
      <c r="H1923" s="118"/>
      <c r="I1923" s="121"/>
      <c r="J1923" s="121"/>
      <c r="K1923" s="121"/>
      <c r="L1923" s="121"/>
      <c r="M1923" s="121"/>
      <c r="N1923" s="121"/>
      <c r="O1923" s="121"/>
      <c r="P1923" s="121"/>
      <c r="Q1923" s="121"/>
      <c r="R1923" s="121"/>
      <c r="S1923" s="462" t="str">
        <f>IF($C$1="ENG",CONCATENATE("up to: ",B1855),CONCATENATE("вгору до: ",B1855))</f>
        <v>вгору до: Полотна скляні: ГЛАСФОРД</v>
      </c>
      <c r="T1923" s="462"/>
      <c r="U1923" s="462"/>
      <c r="V1923" s="462"/>
      <c r="W1923" s="462"/>
    </row>
    <row r="1924" spans="2:44" ht="14.25" customHeight="1">
      <c r="B1924" s="147"/>
      <c r="C1924" s="425"/>
      <c r="D1924" s="9"/>
      <c r="E1924" s="9"/>
      <c r="F1924" s="10"/>
      <c r="G1924" s="10"/>
      <c r="H1924" s="10"/>
      <c r="I1924" s="8"/>
      <c r="J1924" s="8"/>
      <c r="K1924" s="8"/>
      <c r="L1924" s="8"/>
      <c r="M1924" s="11"/>
      <c r="P1924" s="8"/>
      <c r="Q1924" s="11"/>
    </row>
    <row r="1925" spans="2:44" ht="14.25" customHeight="1">
      <c r="B1925" s="452" t="str">
        <f>IF($C$1="ENG","model","модель")</f>
        <v>модель</v>
      </c>
      <c r="C1925" s="122" t="str">
        <f>IF($C$1="ENG","cover:","покриття:")</f>
        <v>покриття:</v>
      </c>
      <c r="D1925" s="458" t="str">
        <f>IF($C$1="ENG","Verto-CELL","Verto-CELL")</f>
        <v>Verto-CELL</v>
      </c>
      <c r="E1925" s="459"/>
      <c r="F1925" s="458" t="str">
        <f>IF($C$1="ENG","UNI-MAT","UNI-MAT")</f>
        <v>UNI-MAT</v>
      </c>
      <c r="G1925" s="459"/>
      <c r="H1925" s="458" t="str">
        <f>IF($C$1="ENG","RESIST","RESIST")</f>
        <v>RESIST</v>
      </c>
      <c r="I1925" s="459"/>
      <c r="J1925" s="458" t="str">
        <f>IF($C$1="ENG","Verto LINE-3D","Verto LINE-3D")</f>
        <v>Verto LINE-3D</v>
      </c>
      <c r="K1925" s="459"/>
      <c r="L1925" s="458" t="str">
        <f>IF($C$1="ENG","ECO Shpon","ЕКО Шпон")</f>
        <v>ЕКО Шпон</v>
      </c>
      <c r="M1925" s="459"/>
      <c r="P1925" s="20"/>
      <c r="Q1925" s="20"/>
    </row>
    <row r="1926" spans="2:44" ht="27.75" customHeight="1">
      <c r="B1926" s="453"/>
      <c r="C1926" s="123" t="str">
        <f>IF($C$1="ENG","filling:","заповнення:")</f>
        <v>заповнення:</v>
      </c>
      <c r="D1926" s="460" t="str">
        <f>IF($C$1="ENG","softwood","клеєний сосновий брус")</f>
        <v>клеєний сосновий брус</v>
      </c>
      <c r="E1926" s="461"/>
      <c r="F1926" s="460" t="str">
        <f>IF($C$1="ENG","softwood","клеєний сосновий брус")</f>
        <v>клеєний сосновий брус</v>
      </c>
      <c r="G1926" s="461"/>
      <c r="H1926" s="460" t="str">
        <f>IF($C$1="ENG","softwood","клеєний сосновий брус")</f>
        <v>клеєний сосновий брус</v>
      </c>
      <c r="I1926" s="461"/>
      <c r="J1926" s="460" t="str">
        <f>IF($C$1="ENG","softwood","клеєний сосновий брус")</f>
        <v>клеєний сосновий брус</v>
      </c>
      <c r="K1926" s="461"/>
      <c r="L1926" s="460" t="str">
        <f>IF($C$1="ENG","softwood","клеєний сосновий брус")</f>
        <v>клеєний сосновий брус</v>
      </c>
      <c r="M1926" s="461"/>
      <c r="P1926" s="20"/>
      <c r="Q1926" s="20"/>
      <c r="X1926" s="385"/>
    </row>
    <row r="1927" spans="2:44" ht="14.25" customHeight="1">
      <c r="B1927" s="454"/>
      <c r="C1927" s="124" t="str">
        <f>IF($C$1="ENG","glazing:","скління:")</f>
        <v>скління:</v>
      </c>
      <c r="D1927" s="449" t="str">
        <f>IF($C$1="ENG","Satin","Сатин")</f>
        <v>Сатин</v>
      </c>
      <c r="E1927" s="450"/>
      <c r="F1927" s="449" t="str">
        <f>IF($C$1="ENG","Satin","Сатин")</f>
        <v>Сатин</v>
      </c>
      <c r="G1927" s="450"/>
      <c r="H1927" s="449" t="str">
        <f>IF($C$1="ENG","Satin","Сатин")</f>
        <v>Сатин</v>
      </c>
      <c r="I1927" s="450"/>
      <c r="J1927" s="449" t="str">
        <f>IF($C$1="ENG","Satin","Сатин")</f>
        <v>Сатин</v>
      </c>
      <c r="K1927" s="450"/>
      <c r="L1927" s="449" t="str">
        <f>IF($C$1="ENG","Satin","Сатин")</f>
        <v>Сатин</v>
      </c>
      <c r="M1927" s="450"/>
      <c r="N1927" s="104"/>
      <c r="O1927" s="20"/>
      <c r="P1927" s="20"/>
      <c r="Q1927" s="20"/>
      <c r="R1927" s="104"/>
      <c r="S1927" s="20"/>
      <c r="T1927" s="104"/>
      <c r="V1927" s="104"/>
      <c r="W1927" s="20"/>
    </row>
    <row r="1928" spans="2:44" ht="34.5" customHeight="1">
      <c r="B1928" s="13" t="s">
        <v>53</v>
      </c>
      <c r="C1928" s="14"/>
      <c r="D1928" s="15">
        <f>IF(AC1928="","",(1-$W$2)*(AC1928/1.2))</f>
        <v>4933.3333333333339</v>
      </c>
      <c r="E1928" s="64">
        <f>IF($W$5=0.2,D1928*1.2,D1928)/$W$4</f>
        <v>5920.0000000000009</v>
      </c>
      <c r="F1928" s="15">
        <f>IF(AD1928="","",(1-$W$2)*(AD1928/1.2))</f>
        <v>5658.3333333333339</v>
      </c>
      <c r="G1928" s="64">
        <f>IF($W$5=0.2,F1928*1.2,F1928)/$W$4</f>
        <v>6790.0000000000009</v>
      </c>
      <c r="H1928" s="15">
        <f>IF(AE1928="","",(1-$W$2)*(AE1928/1.2))</f>
        <v>5841.666666666667</v>
      </c>
      <c r="I1928" s="64">
        <f>IF($W$5=0.2,H1928*1.2,H1928)/$W$4</f>
        <v>7010</v>
      </c>
      <c r="J1928" s="15">
        <f>IF(AF1928="","",(1-$W$2)*(AF1928/1.2))</f>
        <v>6200</v>
      </c>
      <c r="K1928" s="64">
        <f>IF($W$5=0.2,J1928*1.2,J1928)/$W$4</f>
        <v>7440</v>
      </c>
      <c r="L1928" s="15">
        <f>IF(AG1928="","",(1-$W$2)*(AG1928/1.2))</f>
        <v>6433.3333333333339</v>
      </c>
      <c r="M1928" s="64">
        <f>IF($W$5=0.2,L1928*1.2,L1928)/$W$4</f>
        <v>7720</v>
      </c>
      <c r="N1928" s="104"/>
      <c r="O1928" s="20"/>
      <c r="P1928" s="20"/>
      <c r="Q1928" s="20"/>
      <c r="R1928" s="104"/>
      <c r="S1928" s="20"/>
      <c r="T1928" s="104"/>
      <c r="V1928" s="104"/>
      <c r="W1928" s="20"/>
      <c r="AC1928" s="332">
        <v>5920</v>
      </c>
      <c r="AD1928" s="332">
        <v>6790</v>
      </c>
      <c r="AE1928" s="332">
        <v>7010</v>
      </c>
      <c r="AF1928" s="332">
        <v>7440</v>
      </c>
      <c r="AG1928" s="332">
        <v>7720</v>
      </c>
      <c r="AH1928" s="289">
        <v>5920</v>
      </c>
      <c r="AI1928" s="289">
        <f>AH1928/AC1928-1</f>
        <v>0</v>
      </c>
      <c r="AJ1928" s="289">
        <v>6790</v>
      </c>
      <c r="AK1928" s="289">
        <f>AJ1928/AD1928-1</f>
        <v>0</v>
      </c>
      <c r="AL1928" s="289">
        <v>7010</v>
      </c>
      <c r="AM1928" s="289">
        <f>AL1928/AE1928-1</f>
        <v>0</v>
      </c>
      <c r="AN1928" s="289">
        <v>7440</v>
      </c>
      <c r="AO1928" s="289">
        <f>AN1928/AF1928-1</f>
        <v>0</v>
      </c>
      <c r="AP1928" s="289">
        <v>7720</v>
      </c>
      <c r="AQ1928" s="289">
        <f>AP1928/AG1928-1</f>
        <v>0</v>
      </c>
      <c r="AR1928" s="333"/>
    </row>
    <row r="1929" spans="2:44" ht="34.5" customHeight="1">
      <c r="B1929" s="16" t="s">
        <v>54</v>
      </c>
      <c r="C1929" s="17"/>
      <c r="D1929" s="18">
        <f>IF(AC1929="","",(1-$W$2)*(AC1929/1.2))</f>
        <v>5033.3333333333339</v>
      </c>
      <c r="E1929" s="66">
        <f>IF($W$5=0.2,D1929*1.2,D1929)/$W$4</f>
        <v>6040.0000000000009</v>
      </c>
      <c r="F1929" s="18">
        <f>IF(AD1929="","",(1-$W$2)*(AD1929/1.2))</f>
        <v>5766.666666666667</v>
      </c>
      <c r="G1929" s="66">
        <f>IF($W$5=0.2,F1929*1.2,F1929)/$W$4</f>
        <v>6920</v>
      </c>
      <c r="H1929" s="18">
        <f>IF(AE1929="","",(1-$W$2)*(AE1929/1.2))</f>
        <v>5966.666666666667</v>
      </c>
      <c r="I1929" s="66">
        <f>IF($W$5=0.2,H1929*1.2,H1929)/$W$4</f>
        <v>7160</v>
      </c>
      <c r="J1929" s="18">
        <f>IF(AF1929="","",(1-$W$2)*(AF1929/1.2))</f>
        <v>6325</v>
      </c>
      <c r="K1929" s="66">
        <f>IF($W$5=0.2,J1929*1.2,J1929)/$W$4</f>
        <v>7590</v>
      </c>
      <c r="L1929" s="18">
        <f>IF(AG1929="","",(1-$W$2)*(AG1929/1.2))</f>
        <v>6958.3333333333339</v>
      </c>
      <c r="M1929" s="66">
        <f>IF($W$5=0.2,L1929*1.2,L1929)/$W$4</f>
        <v>8350</v>
      </c>
      <c r="N1929" s="104"/>
      <c r="O1929" s="20"/>
      <c r="P1929" s="20"/>
      <c r="Q1929" s="20"/>
      <c r="R1929" s="104"/>
      <c r="S1929" s="20"/>
      <c r="T1929" s="104"/>
      <c r="V1929" s="104"/>
      <c r="W1929" s="20"/>
      <c r="AC1929" s="332">
        <v>6040</v>
      </c>
      <c r="AD1929" s="332">
        <v>6920</v>
      </c>
      <c r="AE1929" s="332">
        <v>7160</v>
      </c>
      <c r="AF1929" s="332">
        <v>7590</v>
      </c>
      <c r="AG1929" s="332">
        <v>8350</v>
      </c>
      <c r="AH1929" s="289">
        <v>6040</v>
      </c>
      <c r="AI1929" s="289">
        <f t="shared" ref="AI1929:AI1932" si="274">AH1929/AC1929-1</f>
        <v>0</v>
      </c>
      <c r="AJ1929" s="289">
        <v>6920</v>
      </c>
      <c r="AK1929" s="289">
        <f t="shared" ref="AK1929:AK1932" si="275">AJ1929/AD1929-1</f>
        <v>0</v>
      </c>
      <c r="AL1929" s="289">
        <v>7160</v>
      </c>
      <c r="AM1929" s="289">
        <f t="shared" ref="AM1929:AM1932" si="276">AL1929/AE1929-1</f>
        <v>0</v>
      </c>
      <c r="AN1929" s="289">
        <v>7590</v>
      </c>
      <c r="AO1929" s="289">
        <f t="shared" ref="AO1929:AO1932" si="277">AN1929/AF1929-1</f>
        <v>0</v>
      </c>
      <c r="AP1929" s="289">
        <v>8350</v>
      </c>
      <c r="AQ1929" s="289">
        <f t="shared" ref="AQ1929:AQ1932" si="278">AP1929/AG1929-1</f>
        <v>0</v>
      </c>
      <c r="AR1929" s="333"/>
    </row>
    <row r="1930" spans="2:44" ht="34.5" customHeight="1">
      <c r="B1930" s="16" t="s">
        <v>55</v>
      </c>
      <c r="C1930" s="17"/>
      <c r="D1930" s="18">
        <f>IF(AC1930="","",(1-$W$2)*(AC1930/1.2))</f>
        <v>4933.3333333333339</v>
      </c>
      <c r="E1930" s="66">
        <f>IF($W$5=0.2,D1930*1.2,D1930)/$W$4</f>
        <v>5920.0000000000009</v>
      </c>
      <c r="F1930" s="18">
        <f>IF(AD1930="","",(1-$W$2)*(AD1930/1.2))</f>
        <v>5650</v>
      </c>
      <c r="G1930" s="66">
        <f>IF($W$5=0.2,F1930*1.2,F1930)/$W$4</f>
        <v>6780</v>
      </c>
      <c r="H1930" s="18">
        <f>IF(AE1930="","",(1-$W$2)*(AE1930/1.2))</f>
        <v>5841.666666666667</v>
      </c>
      <c r="I1930" s="66">
        <f>IF($W$5=0.2,H1930*1.2,H1930)/$W$4</f>
        <v>7010</v>
      </c>
      <c r="J1930" s="18">
        <f>IF(AF1930="","",(1-$W$2)*(AF1930/1.2))</f>
        <v>6200</v>
      </c>
      <c r="K1930" s="66">
        <f>IF($W$5=0.2,J1930*1.2,J1930)/$W$4</f>
        <v>7440</v>
      </c>
      <c r="L1930" s="18">
        <f>IF(AG1930="","",(1-$W$2)*(AG1930/1.2))</f>
        <v>6433.3333333333339</v>
      </c>
      <c r="M1930" s="66">
        <f>IF($W$5=0.2,L1930*1.2,L1930)/$W$4</f>
        <v>7720</v>
      </c>
      <c r="N1930" s="104"/>
      <c r="O1930" s="20"/>
      <c r="P1930" s="20"/>
      <c r="Q1930" s="20"/>
      <c r="R1930" s="104"/>
      <c r="S1930" s="20"/>
      <c r="T1930" s="104"/>
      <c r="V1930" s="104"/>
      <c r="W1930" s="20"/>
      <c r="AC1930" s="332">
        <v>5920</v>
      </c>
      <c r="AD1930" s="332">
        <v>6780</v>
      </c>
      <c r="AE1930" s="332">
        <v>7010</v>
      </c>
      <c r="AF1930" s="332">
        <v>7440</v>
      </c>
      <c r="AG1930" s="332">
        <v>7720</v>
      </c>
      <c r="AH1930" s="289">
        <v>5920</v>
      </c>
      <c r="AI1930" s="289">
        <f t="shared" si="274"/>
        <v>0</v>
      </c>
      <c r="AJ1930" s="289">
        <v>6780</v>
      </c>
      <c r="AK1930" s="289">
        <f t="shared" si="275"/>
        <v>0</v>
      </c>
      <c r="AL1930" s="289">
        <v>7010</v>
      </c>
      <c r="AM1930" s="289">
        <f t="shared" si="276"/>
        <v>0</v>
      </c>
      <c r="AN1930" s="289">
        <v>7440</v>
      </c>
      <c r="AO1930" s="289">
        <f t="shared" si="277"/>
        <v>0</v>
      </c>
      <c r="AP1930" s="289">
        <v>7720</v>
      </c>
      <c r="AQ1930" s="289">
        <f t="shared" si="278"/>
        <v>0</v>
      </c>
      <c r="AR1930" s="333"/>
    </row>
    <row r="1931" spans="2:44" ht="34.5" customHeight="1">
      <c r="B1931" s="16" t="s">
        <v>56</v>
      </c>
      <c r="C1931" s="17"/>
      <c r="D1931" s="18">
        <f>IF(AC1931="","",(1-$W$2)*(AC1931/1.2))</f>
        <v>5108.3333333333339</v>
      </c>
      <c r="E1931" s="66">
        <f>IF($W$5=0.2,D1931*1.2,D1931)/$W$4</f>
        <v>6130.0000000000009</v>
      </c>
      <c r="F1931" s="18">
        <f>IF(AD1931="","",(1-$W$2)*(AD1931/1.2))</f>
        <v>5875</v>
      </c>
      <c r="G1931" s="66">
        <f>IF($W$5=0.2,F1931*1.2,F1931)/$W$4</f>
        <v>7050</v>
      </c>
      <c r="H1931" s="18">
        <f>IF(AE1931="","",(1-$W$2)*(AE1931/1.2))</f>
        <v>6033.3333333333339</v>
      </c>
      <c r="I1931" s="66">
        <f>IF($W$5=0.2,H1931*1.2,H1931)/$W$4</f>
        <v>7240.0000000000009</v>
      </c>
      <c r="J1931" s="18">
        <f>IF(AF1931="","",(1-$W$2)*(AF1931/1.2))</f>
        <v>6383.3333333333339</v>
      </c>
      <c r="K1931" s="66">
        <f>IF($W$5=0.2,J1931*1.2,J1931)/$W$4</f>
        <v>7660</v>
      </c>
      <c r="L1931" s="18">
        <f>IF(AG1931="","",(1-$W$2)*(AG1931/1.2))</f>
        <v>6591.666666666667</v>
      </c>
      <c r="M1931" s="66">
        <f>IF($W$5=0.2,L1931*1.2,L1931)/$W$4</f>
        <v>7910</v>
      </c>
      <c r="N1931" s="104"/>
      <c r="O1931" s="20"/>
      <c r="P1931" s="20"/>
      <c r="Q1931" s="20"/>
      <c r="R1931" s="104"/>
      <c r="S1931" s="20"/>
      <c r="T1931" s="104"/>
      <c r="V1931" s="104"/>
      <c r="W1931" s="20"/>
      <c r="AC1931" s="332">
        <v>6130</v>
      </c>
      <c r="AD1931" s="332">
        <v>7050</v>
      </c>
      <c r="AE1931" s="332">
        <v>7240</v>
      </c>
      <c r="AF1931" s="332">
        <v>7660</v>
      </c>
      <c r="AG1931" s="332">
        <v>7910</v>
      </c>
      <c r="AH1931" s="289">
        <v>6130</v>
      </c>
      <c r="AI1931" s="289">
        <f t="shared" si="274"/>
        <v>0</v>
      </c>
      <c r="AJ1931" s="289">
        <v>7050</v>
      </c>
      <c r="AK1931" s="289">
        <f t="shared" si="275"/>
        <v>0</v>
      </c>
      <c r="AL1931" s="289">
        <v>7240</v>
      </c>
      <c r="AM1931" s="289">
        <f t="shared" si="276"/>
        <v>0</v>
      </c>
      <c r="AN1931" s="289">
        <v>7660</v>
      </c>
      <c r="AO1931" s="289">
        <f t="shared" si="277"/>
        <v>0</v>
      </c>
      <c r="AP1931" s="289">
        <v>7910</v>
      </c>
      <c r="AQ1931" s="289">
        <f t="shared" si="278"/>
        <v>0</v>
      </c>
      <c r="AR1931" s="333"/>
    </row>
    <row r="1932" spans="2:44" ht="34.5" customHeight="1">
      <c r="B1932" s="23" t="s">
        <v>57</v>
      </c>
      <c r="C1932" s="24"/>
      <c r="D1932" s="25">
        <f>IF(AC1932="","",(1-$W$2)*(AC1932/1.2))</f>
        <v>5291.666666666667</v>
      </c>
      <c r="E1932" s="69">
        <f>IF($W$5=0.2,D1932*1.2,D1932)/$W$4</f>
        <v>6350</v>
      </c>
      <c r="F1932" s="25">
        <f>IF(AD1932="","",(1-$W$2)*(AD1932/1.2))</f>
        <v>6066.666666666667</v>
      </c>
      <c r="G1932" s="69">
        <f>IF($W$5=0.2,F1932*1.2,F1932)/$W$4</f>
        <v>7280</v>
      </c>
      <c r="H1932" s="25">
        <f>IF(AE1932="","",(1-$W$2)*(AE1932/1.2))</f>
        <v>6216.666666666667</v>
      </c>
      <c r="I1932" s="69">
        <f>IF($W$5=0.2,H1932*1.2,H1932)/$W$4</f>
        <v>7460</v>
      </c>
      <c r="J1932" s="25">
        <f>IF(AF1932="","",(1-$W$2)*(AF1932/1.2))</f>
        <v>6591.666666666667</v>
      </c>
      <c r="K1932" s="69">
        <f>IF($W$5=0.2,J1932*1.2,J1932)/$W$4</f>
        <v>7910</v>
      </c>
      <c r="L1932" s="25">
        <f>IF(AG1932="","",(1-$W$2)*(AG1932/1.2))</f>
        <v>6791.666666666667</v>
      </c>
      <c r="M1932" s="69">
        <f>IF($W$5=0.2,L1932*1.2,L1932)/$W$4</f>
        <v>8150</v>
      </c>
      <c r="P1932" s="20"/>
      <c r="Q1932" s="20"/>
      <c r="AC1932" s="332">
        <v>6350</v>
      </c>
      <c r="AD1932" s="332">
        <v>7280</v>
      </c>
      <c r="AE1932" s="332">
        <v>7460</v>
      </c>
      <c r="AF1932" s="332">
        <v>7910</v>
      </c>
      <c r="AG1932" s="332">
        <v>8150</v>
      </c>
      <c r="AH1932" s="289">
        <v>6350</v>
      </c>
      <c r="AI1932" s="289">
        <f t="shared" si="274"/>
        <v>0</v>
      </c>
      <c r="AJ1932" s="289">
        <v>7280</v>
      </c>
      <c r="AK1932" s="289">
        <f t="shared" si="275"/>
        <v>0</v>
      </c>
      <c r="AL1932" s="289">
        <v>7460</v>
      </c>
      <c r="AM1932" s="289">
        <f t="shared" si="276"/>
        <v>0</v>
      </c>
      <c r="AN1932" s="289">
        <v>7910</v>
      </c>
      <c r="AO1932" s="289">
        <f t="shared" si="277"/>
        <v>0</v>
      </c>
      <c r="AP1932" s="289">
        <v>8150</v>
      </c>
      <c r="AQ1932" s="289">
        <f t="shared" si="278"/>
        <v>0</v>
      </c>
      <c r="AR1932" s="333"/>
    </row>
    <row r="1933" spans="2:44" ht="14.25" customHeight="1">
      <c r="C1933" s="245"/>
      <c r="D1933" s="26"/>
      <c r="E1933" s="57"/>
      <c r="F1933" s="10"/>
      <c r="G1933" s="10"/>
      <c r="H1933" s="10"/>
      <c r="I1933" s="143"/>
      <c r="J1933" s="48"/>
      <c r="K1933" s="48"/>
      <c r="L1933" s="8"/>
      <c r="P1933" s="20"/>
      <c r="Q1933" s="20"/>
    </row>
    <row r="1934" spans="2:44">
      <c r="B1934" s="212" t="str">
        <f>IF($C$1="ENG","For additonal charge:","Послуги за додаткову плату:")</f>
        <v>Послуги за додаткову плату:</v>
      </c>
      <c r="C1934" s="421"/>
      <c r="D1934" s="213"/>
      <c r="E1934" s="214"/>
      <c r="F1934" s="26"/>
      <c r="G1934" s="57"/>
      <c r="H1934" s="10"/>
      <c r="I1934" s="8"/>
      <c r="J1934" s="8"/>
      <c r="K1934" s="8"/>
    </row>
    <row r="1935" spans="2:44" ht="5.0999999999999996" customHeight="1">
      <c r="B1935" s="27"/>
      <c r="C1935" s="245"/>
      <c r="D1935" s="26"/>
      <c r="E1935" s="57"/>
      <c r="F1935" s="26"/>
      <c r="G1935" s="26"/>
      <c r="H1935" s="10"/>
      <c r="I1935" s="8"/>
      <c r="J1935" s="8"/>
      <c r="K1935" s="8"/>
    </row>
    <row r="1936" spans="2:44">
      <c r="B1936" s="445" t="str">
        <f>IF($C$1="ENG","glazing Graphite / Bronze","скло Графіт / Бронза")</f>
        <v>скло Графіт / Бронза</v>
      </c>
      <c r="C1936" s="446"/>
      <c r="D1936" s="102">
        <f>IF(AC1936="","",(1-$W$2)*(AC1936/1.2))</f>
        <v>425</v>
      </c>
      <c r="E1936" s="92">
        <f>IF($W$5=0.2,D1936*1.2,D1936)/$W$4</f>
        <v>510</v>
      </c>
      <c r="F1936" s="26"/>
      <c r="G1936" s="26"/>
      <c r="H1936" s="5"/>
      <c r="AC1936" s="298">
        <v>510</v>
      </c>
      <c r="AD1936" s="289">
        <v>510</v>
      </c>
      <c r="AE1936" s="289">
        <f>AD1936/AC1936-1</f>
        <v>0</v>
      </c>
      <c r="AF1936" s="289"/>
      <c r="AG1936" s="289"/>
      <c r="AH1936" s="289"/>
      <c r="AI1936" s="289"/>
      <c r="AJ1936" s="289"/>
      <c r="AK1936" s="289"/>
      <c r="AL1936" s="289"/>
    </row>
    <row r="1937" spans="2:38">
      <c r="B1937" s="445" t="str">
        <f>IF($C$1="ENG","glazing Lacobel black ","скло Lacobel чорне")</f>
        <v>скло Lacobel чорне</v>
      </c>
      <c r="C1937" s="446"/>
      <c r="D1937" s="407">
        <f t="shared" ref="D1937" si="279">IF(AC1937="","",(1-$W$2)*(AC1937/1.2))</f>
        <v>458.33333333333337</v>
      </c>
      <c r="E1937" s="93">
        <f>IF($W$5=0.2,D1937*1.2,D1937)/$W$4</f>
        <v>550</v>
      </c>
      <c r="F1937" s="26"/>
      <c r="G1937" s="26"/>
      <c r="H1937" s="5"/>
      <c r="AC1937" s="298">
        <v>550</v>
      </c>
      <c r="AD1937" s="298">
        <v>550</v>
      </c>
      <c r="AE1937" s="289"/>
      <c r="AF1937" s="289"/>
      <c r="AG1937" s="289"/>
      <c r="AH1937" s="289"/>
      <c r="AI1937" s="289"/>
      <c r="AJ1937" s="289"/>
      <c r="AK1937" s="289"/>
      <c r="AL1937" s="289"/>
    </row>
    <row r="1938" spans="2:38">
      <c r="B1938" s="445" t="str">
        <f>IF($C$1="ENG","door hindge Prestige (1 unit)","завіса Prestige (1 шт)")</f>
        <v>завіса Prestige (1 шт)</v>
      </c>
      <c r="C1938" s="446"/>
      <c r="D1938" s="135">
        <f>IF(AC1938="","",(1-$W$2)*(AC1938/1.2))</f>
        <v>216.66666666666669</v>
      </c>
      <c r="E1938" s="93">
        <f>IF($W$5=0.2,D1938*1.2,D1938)/$W$4</f>
        <v>260</v>
      </c>
      <c r="F1938" s="26"/>
      <c r="G1938" s="26"/>
      <c r="AC1938" s="298">
        <v>260</v>
      </c>
      <c r="AD1938" s="289">
        <v>260</v>
      </c>
      <c r="AE1938" s="289">
        <f t="shared" ref="AE1938:AE1939" si="280">AD1938/AC1938-1</f>
        <v>0</v>
      </c>
      <c r="AF1938" s="289"/>
      <c r="AG1938" s="289"/>
      <c r="AH1938" s="289"/>
      <c r="AI1938" s="289"/>
      <c r="AJ1938" s="289"/>
      <c r="AK1938" s="289"/>
      <c r="AL1938" s="289"/>
    </row>
    <row r="1939" spans="2:38">
      <c r="B1939" s="445" t="str">
        <f>IF($C$1="ENG","door hinge caps (1 set)","накладка на завіси (1 к-т)")</f>
        <v>накладка на завіси (1 к-т)</v>
      </c>
      <c r="C1939" s="446"/>
      <c r="D1939" s="135">
        <f>IF(AC1939="","",(1-$W$2)*(AC1939/1.2))</f>
        <v>66.666666666666671</v>
      </c>
      <c r="E1939" s="324">
        <f>IF($W$5=0.2,D1939*1.2,D1939)/$W$4</f>
        <v>80</v>
      </c>
      <c r="F1939" s="26"/>
      <c r="G1939" s="26"/>
      <c r="AC1939" s="298">
        <v>80</v>
      </c>
      <c r="AD1939" s="289">
        <v>80</v>
      </c>
      <c r="AE1939" s="289">
        <f t="shared" si="280"/>
        <v>0</v>
      </c>
      <c r="AF1939" s="289"/>
      <c r="AG1939" s="289"/>
      <c r="AH1939" s="289"/>
      <c r="AI1939" s="289"/>
      <c r="AJ1939" s="289"/>
      <c r="AK1939" s="289"/>
      <c r="AL1939" s="289"/>
    </row>
    <row r="1940" spans="2:38" ht="14.25" customHeight="1">
      <c r="C1940" s="245"/>
      <c r="D1940" s="26"/>
      <c r="E1940" s="26"/>
      <c r="F1940" s="26"/>
      <c r="G1940" s="26"/>
      <c r="H1940" s="5"/>
      <c r="T1940" s="465" t="str">
        <f>IF($C$1="ENG",CONCATENATE("down to: ",B1990),CONCATENATE("вниз до: ",B1990))</f>
        <v>вниз до: Полотна: ДОБОРИ</v>
      </c>
      <c r="U1940" s="465"/>
      <c r="V1940" s="465"/>
      <c r="W1940" s="465"/>
    </row>
    <row r="1941" spans="2:38" ht="14.25" customHeight="1">
      <c r="C1941" s="245"/>
      <c r="D1941" s="26"/>
      <c r="E1941" s="26"/>
      <c r="F1941" s="26"/>
      <c r="G1941" s="26"/>
      <c r="H1941" s="5"/>
    </row>
    <row r="1942" spans="2:38" ht="14.25" customHeight="1">
      <c r="C1942" s="245"/>
      <c r="D1942" s="26"/>
      <c r="E1942" s="26"/>
      <c r="F1942" s="26"/>
      <c r="G1942" s="26"/>
      <c r="H1942" s="5"/>
    </row>
    <row r="1943" spans="2:38" ht="14.25" customHeight="1">
      <c r="C1943" s="245"/>
      <c r="D1943" s="26"/>
      <c r="E1943" s="26"/>
      <c r="F1943" s="26"/>
      <c r="G1943" s="26"/>
      <c r="H1943" s="5"/>
    </row>
    <row r="1944" spans="2:38" ht="14.25" customHeight="1">
      <c r="C1944" s="245"/>
      <c r="D1944" s="26"/>
      <c r="E1944" s="26"/>
      <c r="F1944" s="26"/>
      <c r="G1944" s="26"/>
      <c r="H1944" s="5"/>
    </row>
    <row r="1945" spans="2:38" ht="14.25" customHeight="1">
      <c r="C1945" s="245"/>
      <c r="D1945" s="26"/>
      <c r="E1945" s="26"/>
      <c r="F1945" s="26"/>
      <c r="G1945" s="26"/>
      <c r="H1945" s="5"/>
    </row>
    <row r="1946" spans="2:38" ht="14.25" customHeight="1">
      <c r="C1946" s="245"/>
      <c r="D1946" s="26"/>
      <c r="E1946" s="26"/>
      <c r="F1946" s="26"/>
      <c r="G1946" s="26"/>
      <c r="H1946" s="5"/>
    </row>
    <row r="1947" spans="2:38" ht="14.25" customHeight="1">
      <c r="C1947" s="245"/>
      <c r="D1947" s="26"/>
      <c r="E1947" s="26"/>
      <c r="F1947" s="26"/>
      <c r="G1947" s="26"/>
      <c r="H1947" s="5"/>
    </row>
    <row r="1948" spans="2:38" ht="14.25" customHeight="1">
      <c r="C1948" s="245"/>
      <c r="D1948" s="26"/>
      <c r="E1948" s="26"/>
      <c r="F1948" s="26"/>
      <c r="G1948" s="26"/>
      <c r="H1948" s="5"/>
    </row>
    <row r="1949" spans="2:38" ht="14.25" customHeight="1">
      <c r="C1949" s="245"/>
      <c r="D1949" s="26"/>
      <c r="E1949" s="26"/>
      <c r="F1949" s="26"/>
      <c r="G1949" s="26"/>
      <c r="H1949" s="5"/>
    </row>
    <row r="1950" spans="2:38" ht="14.25" customHeight="1">
      <c r="C1950" s="245"/>
      <c r="D1950" s="26"/>
      <c r="E1950" s="26"/>
      <c r="F1950" s="26"/>
      <c r="G1950" s="26"/>
      <c r="H1950" s="5"/>
    </row>
    <row r="1951" spans="2:38" ht="14.25" customHeight="1">
      <c r="C1951" s="245"/>
      <c r="D1951" s="26"/>
      <c r="E1951" s="26"/>
      <c r="F1951" s="26"/>
      <c r="G1951" s="26"/>
      <c r="H1951" s="5"/>
    </row>
    <row r="1952" spans="2:38" ht="14.25" customHeight="1">
      <c r="C1952" s="245"/>
      <c r="D1952" s="26"/>
      <c r="E1952" s="26"/>
      <c r="F1952" s="26"/>
      <c r="G1952" s="26"/>
      <c r="H1952" s="5"/>
    </row>
    <row r="1953" spans="3:8" ht="14.25" customHeight="1">
      <c r="C1953" s="245"/>
      <c r="D1953" s="26"/>
      <c r="E1953" s="26"/>
      <c r="F1953" s="26"/>
      <c r="G1953" s="26"/>
      <c r="H1953" s="5"/>
    </row>
    <row r="1954" spans="3:8" ht="14.25" customHeight="1">
      <c r="C1954" s="245"/>
      <c r="D1954" s="26"/>
      <c r="E1954" s="26"/>
      <c r="F1954" s="26"/>
      <c r="G1954" s="26"/>
      <c r="H1954" s="5"/>
    </row>
    <row r="1955" spans="3:8" ht="14.25" customHeight="1">
      <c r="C1955" s="245"/>
      <c r="D1955" s="26"/>
      <c r="E1955" s="26"/>
      <c r="F1955" s="26"/>
      <c r="G1955" s="26"/>
      <c r="H1955" s="5"/>
    </row>
    <row r="1956" spans="3:8" ht="14.25" customHeight="1">
      <c r="C1956" s="245"/>
      <c r="D1956" s="26"/>
      <c r="E1956" s="26"/>
      <c r="F1956" s="26"/>
      <c r="G1956" s="26"/>
      <c r="H1956" s="5"/>
    </row>
    <row r="1957" spans="3:8" ht="14.25" customHeight="1">
      <c r="C1957" s="245"/>
      <c r="D1957" s="26"/>
      <c r="E1957" s="26"/>
      <c r="F1957" s="26"/>
      <c r="G1957" s="26"/>
      <c r="H1957" s="5"/>
    </row>
    <row r="1958" spans="3:8" ht="14.25" customHeight="1">
      <c r="C1958" s="245"/>
      <c r="D1958" s="26"/>
      <c r="E1958" s="26"/>
      <c r="F1958" s="26"/>
      <c r="G1958" s="26"/>
      <c r="H1958" s="5"/>
    </row>
    <row r="1959" spans="3:8" ht="14.25" customHeight="1">
      <c r="C1959" s="245"/>
      <c r="D1959" s="26"/>
      <c r="E1959" s="26"/>
      <c r="F1959" s="26"/>
      <c r="G1959" s="26"/>
      <c r="H1959" s="5"/>
    </row>
    <row r="1960" spans="3:8" ht="14.25" customHeight="1">
      <c r="C1960" s="245"/>
      <c r="D1960" s="26"/>
      <c r="E1960" s="26"/>
      <c r="F1960" s="26"/>
      <c r="G1960" s="26"/>
      <c r="H1960" s="5"/>
    </row>
    <row r="1961" spans="3:8" ht="14.25" customHeight="1">
      <c r="C1961" s="245"/>
      <c r="D1961" s="26"/>
      <c r="E1961" s="26"/>
      <c r="F1961" s="26"/>
      <c r="G1961" s="26"/>
      <c r="H1961" s="5"/>
    </row>
    <row r="1962" spans="3:8" ht="14.25" customHeight="1">
      <c r="C1962" s="245"/>
      <c r="D1962" s="26"/>
      <c r="E1962" s="26"/>
      <c r="F1962" s="26"/>
      <c r="G1962" s="26"/>
      <c r="H1962" s="5"/>
    </row>
    <row r="1963" spans="3:8" ht="14.25" customHeight="1">
      <c r="C1963" s="245"/>
      <c r="D1963" s="26"/>
      <c r="E1963" s="26"/>
      <c r="F1963" s="26"/>
      <c r="G1963" s="26"/>
      <c r="H1963" s="5"/>
    </row>
    <row r="1964" spans="3:8" ht="14.25" customHeight="1">
      <c r="C1964" s="245"/>
      <c r="D1964" s="26"/>
      <c r="E1964" s="26"/>
      <c r="F1964" s="26"/>
      <c r="G1964" s="26"/>
      <c r="H1964" s="5"/>
    </row>
    <row r="1965" spans="3:8" ht="14.25" customHeight="1">
      <c r="C1965" s="245"/>
      <c r="D1965" s="26"/>
      <c r="E1965" s="26"/>
      <c r="F1965" s="26"/>
      <c r="G1965" s="26"/>
      <c r="H1965" s="5"/>
    </row>
    <row r="1966" spans="3:8" ht="14.25" customHeight="1">
      <c r="C1966" s="245"/>
      <c r="D1966" s="26"/>
      <c r="E1966" s="26"/>
      <c r="F1966" s="26"/>
      <c r="G1966" s="26"/>
      <c r="H1966" s="5"/>
    </row>
    <row r="1967" spans="3:8" ht="14.25" customHeight="1">
      <c r="C1967" s="245"/>
      <c r="D1967" s="26"/>
      <c r="E1967" s="26"/>
      <c r="F1967" s="26"/>
      <c r="G1967" s="26"/>
      <c r="H1967" s="5"/>
    </row>
    <row r="1968" spans="3:8" ht="14.25" customHeight="1">
      <c r="C1968" s="245"/>
      <c r="D1968" s="26"/>
      <c r="E1968" s="26"/>
      <c r="F1968" s="26"/>
      <c r="G1968" s="26"/>
      <c r="H1968" s="5"/>
    </row>
    <row r="1969" spans="3:8" ht="14.25" customHeight="1">
      <c r="C1969" s="245"/>
      <c r="D1969" s="26"/>
      <c r="E1969" s="26"/>
      <c r="F1969" s="26"/>
      <c r="G1969" s="26"/>
      <c r="H1969" s="5"/>
    </row>
    <row r="1970" spans="3:8" ht="14.25" customHeight="1">
      <c r="C1970" s="245"/>
      <c r="D1970" s="26"/>
      <c r="E1970" s="26"/>
      <c r="F1970" s="26"/>
      <c r="G1970" s="26"/>
      <c r="H1970" s="5"/>
    </row>
    <row r="1971" spans="3:8" ht="14.25" customHeight="1">
      <c r="C1971" s="245"/>
      <c r="D1971" s="26"/>
      <c r="E1971" s="26"/>
      <c r="F1971" s="26"/>
      <c r="G1971" s="26"/>
      <c r="H1971" s="5"/>
    </row>
    <row r="1972" spans="3:8" ht="14.25" customHeight="1">
      <c r="C1972" s="245"/>
      <c r="D1972" s="26"/>
      <c r="E1972" s="26"/>
      <c r="F1972" s="26"/>
      <c r="G1972" s="26"/>
      <c r="H1972" s="5"/>
    </row>
    <row r="1973" spans="3:8" ht="14.25" customHeight="1">
      <c r="C1973" s="245"/>
      <c r="D1973" s="26"/>
      <c r="E1973" s="26"/>
      <c r="F1973" s="26"/>
      <c r="G1973" s="26"/>
      <c r="H1973" s="5"/>
    </row>
    <row r="1974" spans="3:8" ht="14.25" customHeight="1">
      <c r="C1974" s="245"/>
      <c r="D1974" s="26"/>
      <c r="E1974" s="26"/>
      <c r="F1974" s="26"/>
      <c r="G1974" s="26"/>
      <c r="H1974" s="5"/>
    </row>
    <row r="1975" spans="3:8" ht="14.25" customHeight="1">
      <c r="C1975" s="245"/>
      <c r="D1975" s="26"/>
      <c r="E1975" s="26"/>
      <c r="F1975" s="26"/>
      <c r="G1975" s="26"/>
      <c r="H1975" s="5"/>
    </row>
    <row r="1976" spans="3:8" ht="14.25" customHeight="1">
      <c r="C1976" s="245"/>
      <c r="D1976" s="26"/>
      <c r="E1976" s="26"/>
      <c r="F1976" s="26"/>
      <c r="G1976" s="26"/>
      <c r="H1976" s="5"/>
    </row>
    <row r="1977" spans="3:8" ht="14.25" customHeight="1">
      <c r="C1977" s="245"/>
      <c r="D1977" s="26"/>
      <c r="E1977" s="26"/>
      <c r="F1977" s="26"/>
      <c r="G1977" s="26"/>
      <c r="H1977" s="5"/>
    </row>
    <row r="1978" spans="3:8" ht="14.25" customHeight="1">
      <c r="C1978" s="245"/>
      <c r="D1978" s="26"/>
      <c r="E1978" s="26"/>
      <c r="F1978" s="26"/>
      <c r="G1978" s="26"/>
      <c r="H1978" s="5"/>
    </row>
    <row r="1979" spans="3:8" ht="14.25" customHeight="1">
      <c r="C1979" s="245"/>
      <c r="D1979" s="26"/>
      <c r="E1979" s="26"/>
      <c r="F1979" s="26"/>
      <c r="G1979" s="26"/>
      <c r="H1979" s="5"/>
    </row>
    <row r="1980" spans="3:8" ht="14.25" customHeight="1">
      <c r="C1980" s="245"/>
      <c r="D1980" s="26"/>
      <c r="E1980" s="26"/>
      <c r="F1980" s="26"/>
      <c r="G1980" s="26"/>
      <c r="H1980" s="5"/>
    </row>
    <row r="1981" spans="3:8" ht="14.25" customHeight="1">
      <c r="C1981" s="245"/>
      <c r="D1981" s="26"/>
      <c r="E1981" s="26"/>
      <c r="F1981" s="26"/>
      <c r="G1981" s="26"/>
      <c r="H1981" s="5"/>
    </row>
    <row r="1982" spans="3:8" ht="14.25" customHeight="1">
      <c r="C1982" s="245"/>
      <c r="D1982" s="26"/>
      <c r="E1982" s="26"/>
      <c r="F1982" s="26"/>
      <c r="G1982" s="26"/>
      <c r="H1982" s="5"/>
    </row>
    <row r="1983" spans="3:8" ht="14.25" customHeight="1">
      <c r="C1983" s="245"/>
      <c r="D1983" s="26"/>
      <c r="E1983" s="26"/>
      <c r="F1983" s="26"/>
      <c r="G1983" s="26"/>
      <c r="H1983" s="5"/>
    </row>
    <row r="1984" spans="3:8" ht="14.25" customHeight="1">
      <c r="C1984" s="245"/>
      <c r="D1984" s="26"/>
      <c r="E1984" s="26"/>
      <c r="F1984" s="26"/>
      <c r="G1984" s="26"/>
      <c r="H1984" s="5"/>
    </row>
    <row r="1985" spans="1:46" ht="14.25" customHeight="1">
      <c r="C1985" s="245"/>
      <c r="D1985" s="26"/>
      <c r="E1985" s="26"/>
      <c r="F1985" s="26"/>
      <c r="G1985" s="26"/>
      <c r="H1985" s="5"/>
    </row>
    <row r="1986" spans="1:46" ht="14.25" customHeight="1">
      <c r="C1986" s="245"/>
      <c r="D1986" s="26"/>
      <c r="E1986" s="26"/>
      <c r="F1986" s="26"/>
      <c r="G1986" s="26"/>
      <c r="H1986" s="5"/>
    </row>
    <row r="1987" spans="1:46" ht="14.25" customHeight="1">
      <c r="C1987" s="245"/>
      <c r="D1987" s="26"/>
      <c r="E1987" s="26"/>
      <c r="F1987" s="26"/>
      <c r="G1987" s="26"/>
      <c r="H1987" s="5"/>
    </row>
    <row r="1988" spans="1:46" ht="14.25" customHeight="1">
      <c r="C1988" s="245"/>
      <c r="D1988" s="26"/>
      <c r="E1988" s="26"/>
      <c r="F1988" s="26"/>
      <c r="G1988" s="26"/>
      <c r="H1988" s="5"/>
      <c r="AE1988" s="289">
        <f>AD1988/100*12+AD1988</f>
        <v>0</v>
      </c>
      <c r="AF1988" s="289" t="e">
        <f>AE1988/AD1988-1</f>
        <v>#DIV/0!</v>
      </c>
    </row>
    <row r="1989" spans="1:46" s="8" customFormat="1">
      <c r="B1989" s="1"/>
      <c r="C1989" s="245"/>
      <c r="D1989" s="26"/>
      <c r="E1989" s="26"/>
      <c r="F1989" s="26"/>
      <c r="G1989" s="26"/>
      <c r="H1989" s="5"/>
      <c r="I1989" s="1"/>
      <c r="J1989" s="1"/>
      <c r="K1989" s="1"/>
      <c r="AN1989" s="280"/>
      <c r="AO1989" s="280"/>
      <c r="AP1989" s="280"/>
      <c r="AQ1989" s="280"/>
      <c r="AR1989" s="280"/>
      <c r="AS1989" s="280"/>
      <c r="AT1989" s="280"/>
    </row>
    <row r="1990" spans="1:46" s="8" customFormat="1" ht="12.75" customHeight="1">
      <c r="B1990" s="491" t="str">
        <f>TITLE!C35</f>
        <v>Полотна: ДОБОРИ</v>
      </c>
      <c r="C1990" s="492"/>
      <c r="D1990" s="118"/>
      <c r="E1990" s="118"/>
      <c r="F1990" s="118"/>
      <c r="G1990" s="118"/>
      <c r="H1990" s="118"/>
      <c r="I1990" s="121"/>
      <c r="J1990" s="121"/>
      <c r="K1990" s="121"/>
      <c r="L1990" s="121"/>
      <c r="M1990" s="121"/>
      <c r="N1990" s="121"/>
      <c r="O1990" s="121"/>
      <c r="P1990" s="121"/>
      <c r="Q1990" s="121"/>
      <c r="R1990" s="121"/>
      <c r="S1990" s="462" t="str">
        <f>IF($C$1="ENG",CONCATENATE("up to: ",B1923),CONCATENATE("вгору до: ",B1923))</f>
        <v>вгору до: Полотна: ДОБОР LADA</v>
      </c>
      <c r="T1990" s="462"/>
      <c r="U1990" s="462"/>
      <c r="V1990" s="462"/>
      <c r="W1990" s="462"/>
      <c r="AN1990" s="280"/>
      <c r="AO1990" s="280"/>
      <c r="AP1990" s="280"/>
      <c r="AQ1990" s="280"/>
      <c r="AR1990" s="280"/>
      <c r="AS1990" s="280"/>
      <c r="AT1990" s="280"/>
    </row>
    <row r="1991" spans="1:46" ht="4.5" customHeight="1">
      <c r="A1991" s="8"/>
      <c r="B1991" s="147"/>
      <c r="C1991" s="425"/>
      <c r="D1991" s="9"/>
      <c r="E1991" s="9"/>
      <c r="F1991" s="10"/>
      <c r="G1991" s="10"/>
      <c r="H1991" s="10"/>
      <c r="I1991" s="8"/>
      <c r="J1991" s="8"/>
      <c r="K1991" s="8"/>
      <c r="L1991" s="8"/>
      <c r="M1991" s="11"/>
      <c r="P1991" s="8"/>
      <c r="Q1991" s="11"/>
    </row>
    <row r="1992" spans="1:46" ht="12.75" customHeight="1">
      <c r="A1992" s="8"/>
      <c r="B1992" s="452" t="str">
        <f>IF($C$1="ENG","model","модель")</f>
        <v>модель</v>
      </c>
      <c r="C1992" s="122" t="str">
        <f>IF($C$1="ENG","cover:","покриття:")</f>
        <v>покриття:</v>
      </c>
      <c r="D1992" s="458" t="str">
        <f>IF($C$1="ENG","SIMPL / V-CELL","SIMPL / V-CELL")</f>
        <v>SIMPL / V-CELL</v>
      </c>
      <c r="E1992" s="459"/>
      <c r="F1992" s="458" t="str">
        <f>IF($C$1="ENG","UNI-MAT","UNI-MAT")</f>
        <v>UNI-MAT</v>
      </c>
      <c r="G1992" s="459"/>
      <c r="H1992" s="458" t="str">
        <f>IF($C$1="ENG","RESIST","RESIST")</f>
        <v>RESIST</v>
      </c>
      <c r="I1992" s="459"/>
      <c r="J1992" s="46"/>
      <c r="K1992" s="46"/>
      <c r="L1992" s="8"/>
      <c r="M1992" s="11"/>
      <c r="P1992" s="8"/>
      <c r="Q1992" s="11"/>
    </row>
    <row r="1993" spans="1:46" ht="12.75" customHeight="1">
      <c r="A1993" s="8"/>
      <c r="B1993" s="453"/>
      <c r="C1993" s="123" t="str">
        <f>IF($C$1="ENG","filling:","заповнення:")</f>
        <v>заповнення:</v>
      </c>
      <c r="D1993" s="460" t="str">
        <f>IF($C$1="ENG","honeycomb core ","сотове заповнення")</f>
        <v>сотове заповнення</v>
      </c>
      <c r="E1993" s="461"/>
      <c r="F1993" s="460" t="str">
        <f>IF($C$1="ENG","honeycomb core ","сотове заповнення")</f>
        <v>сотове заповнення</v>
      </c>
      <c r="G1993" s="461"/>
      <c r="H1993" s="460" t="str">
        <f>IF($C$1="ENG","honeycomb core ","сотове заповнення")</f>
        <v>сотове заповнення</v>
      </c>
      <c r="I1993" s="461"/>
      <c r="J1993" s="146"/>
      <c r="K1993" s="146"/>
      <c r="L1993" s="8"/>
      <c r="M1993" s="11"/>
      <c r="P1993" s="8"/>
      <c r="Q1993" s="11"/>
      <c r="Z1993" s="385"/>
    </row>
    <row r="1994" spans="1:46" ht="12.75" customHeight="1">
      <c r="A1994" s="8"/>
      <c r="B1994" s="454"/>
      <c r="C1994" s="124" t="str">
        <f>IF($C$1="ENG","glazing:","скління:")</f>
        <v>скління:</v>
      </c>
      <c r="D1994" s="449" t="str">
        <f>IF($C$1="ENG","Satin (Б)","Сатин (Б)")</f>
        <v>Сатин (Б)</v>
      </c>
      <c r="E1994" s="450"/>
      <c r="F1994" s="449" t="str">
        <f>IF($C$1="ENG","Satin (Б)","Сатин (Б)")</f>
        <v>Сатин (Б)</v>
      </c>
      <c r="G1994" s="450"/>
      <c r="H1994" s="449" t="str">
        <f>IF($C$1="ENG","Satin (Б)","Сатин (Б)")</f>
        <v>Сатин (Б)</v>
      </c>
      <c r="I1994" s="450"/>
      <c r="J1994" s="47"/>
      <c r="K1994" s="131"/>
      <c r="L1994" s="104"/>
      <c r="M1994" s="20"/>
      <c r="N1994" s="104"/>
      <c r="O1994" s="20"/>
      <c r="P1994" s="104"/>
      <c r="Q1994" s="20"/>
      <c r="R1994" s="104"/>
      <c r="S1994" s="20"/>
      <c r="T1994" s="104"/>
      <c r="V1994" s="104"/>
      <c r="W1994" s="20"/>
      <c r="X1994" s="22"/>
      <c r="Y1994" s="22"/>
      <c r="Z1994" s="22"/>
      <c r="AA1994" s="22"/>
      <c r="AB1994" s="22"/>
      <c r="AD1994" s="297">
        <f>AD1995/AC1995-1</f>
        <v>0.1515151515151516</v>
      </c>
      <c r="AE1994" s="297">
        <f>AE1995/AD1995-1</f>
        <v>0.10902255639097747</v>
      </c>
    </row>
    <row r="1995" spans="1:46" ht="35.1" customHeight="1">
      <c r="A1995" s="8"/>
      <c r="B1995" s="13" t="s">
        <v>4</v>
      </c>
      <c r="C1995" s="14"/>
      <c r="D1995" s="53">
        <f>IF(AC1995="","",(1-$W$2)*(AC1995/1.2))</f>
        <v>1925</v>
      </c>
      <c r="E1995" s="86">
        <f>IF($W$5=0.2,D1995*1.2,D1995)/$W$4</f>
        <v>2310</v>
      </c>
      <c r="F1995" s="15">
        <f>IF(AD1995="","",(1-$W$2)*(AD1995/1.2))</f>
        <v>2216.666666666667</v>
      </c>
      <c r="G1995" s="64">
        <f>IF($W$5=0.2,F1995*1.2,F1995)/$W$4</f>
        <v>2660.0000000000005</v>
      </c>
      <c r="H1995" s="15">
        <f>IF(AE1995="","",(1-$W$2)*(AE1995/1.2))</f>
        <v>2458.3333333333335</v>
      </c>
      <c r="I1995" s="64">
        <f>IF($W$5=0.2,H1995*1.2,H1995)/$W$4</f>
        <v>2950</v>
      </c>
      <c r="J1995" s="28"/>
      <c r="K1995" s="59"/>
      <c r="L1995" s="104"/>
      <c r="M1995" s="20"/>
      <c r="N1995" s="104"/>
      <c r="O1995" s="20"/>
      <c r="P1995" s="104"/>
      <c r="Q1995" s="20"/>
      <c r="R1995" s="104"/>
      <c r="S1995" s="20"/>
      <c r="T1995" s="104"/>
      <c r="V1995" s="104"/>
      <c r="W1995" s="20"/>
      <c r="AC1995" s="332">
        <v>2310</v>
      </c>
      <c r="AD1995" s="332">
        <v>2660</v>
      </c>
      <c r="AE1995" s="332">
        <v>2950</v>
      </c>
      <c r="AF1995" s="289">
        <v>2310</v>
      </c>
      <c r="AG1995" s="289">
        <f>AF1995/AC1995-1</f>
        <v>0</v>
      </c>
      <c r="AH1995" s="289">
        <v>2660</v>
      </c>
      <c r="AI1995" s="289">
        <f>AH1995/AD1995-1</f>
        <v>0</v>
      </c>
      <c r="AJ1995" s="289">
        <v>2950</v>
      </c>
      <c r="AK1995" s="289">
        <f>AJ1995/AE1995-1</f>
        <v>0</v>
      </c>
      <c r="AL1995" s="289"/>
      <c r="AO1995" s="1"/>
    </row>
    <row r="1996" spans="1:46" ht="34.5" customHeight="1">
      <c r="B1996" s="23" t="s">
        <v>5</v>
      </c>
      <c r="C1996" s="24"/>
      <c r="D1996" s="25">
        <f>IF(AC1996="","",(1-$W$2)*(AC1996/1.2))</f>
        <v>3858.3333333333335</v>
      </c>
      <c r="E1996" s="69">
        <f>IF($W$5=0.2,D1996*1.2,D1996)/$W$4</f>
        <v>4630</v>
      </c>
      <c r="F1996" s="25">
        <f>IF(AD1996="","",(1-$W$2)*(AD1996/1.2))</f>
        <v>4291.666666666667</v>
      </c>
      <c r="G1996" s="69">
        <f>IF($W$5=0.2,F1996*1.2,F1996)/$W$4</f>
        <v>5150</v>
      </c>
      <c r="H1996" s="25">
        <f>IF(AE1996="","",(1-$W$2)*(AE1996/1.2))</f>
        <v>4433.3333333333339</v>
      </c>
      <c r="I1996" s="69">
        <f>IF($W$5=0.2,H1996*1.2,H1996)/$W$4</f>
        <v>5320.0000000000009</v>
      </c>
      <c r="J1996" s="28"/>
      <c r="K1996" s="143"/>
      <c r="L1996" s="8"/>
      <c r="P1996" s="8"/>
      <c r="AC1996" s="332">
        <v>4630</v>
      </c>
      <c r="AD1996" s="332">
        <v>5150</v>
      </c>
      <c r="AE1996" s="332">
        <v>5320</v>
      </c>
      <c r="AF1996" s="289">
        <v>4630</v>
      </c>
      <c r="AG1996" s="289">
        <f>AF1996/AC1996-1</f>
        <v>0</v>
      </c>
      <c r="AH1996" s="289">
        <v>5150</v>
      </c>
      <c r="AI1996" s="289">
        <f>AH1996/AD1996-1</f>
        <v>0</v>
      </c>
      <c r="AJ1996" s="289">
        <v>5320</v>
      </c>
      <c r="AK1996" s="289">
        <f>AJ1996/AE1996-1</f>
        <v>0</v>
      </c>
      <c r="AL1996" s="289"/>
      <c r="AN1996" s="1"/>
      <c r="AO1996" s="1"/>
    </row>
    <row r="1997" spans="1:46">
      <c r="C1997" s="245"/>
      <c r="D1997" s="26"/>
      <c r="E1997" s="57"/>
      <c r="F1997" s="10"/>
      <c r="G1997" s="10"/>
      <c r="H1997" s="10"/>
      <c r="I1997" s="143"/>
      <c r="J1997" s="48"/>
      <c r="K1997" s="48"/>
      <c r="L1997" s="8"/>
      <c r="P1997" s="8"/>
    </row>
    <row r="1998" spans="1:46" ht="12.75" customHeight="1">
      <c r="B1998" s="212" t="str">
        <f>IF($C$1="ENG","For additonal charge:","Послуги за додаткову плату:")</f>
        <v>Послуги за додаткову плату:</v>
      </c>
      <c r="C1998" s="421"/>
      <c r="D1998" s="213"/>
      <c r="E1998" s="214"/>
      <c r="F1998" s="39"/>
      <c r="G1998" s="39"/>
      <c r="H1998" s="10"/>
      <c r="I1998" s="84"/>
      <c r="J1998" s="8"/>
      <c r="K1998" s="8"/>
    </row>
    <row r="1999" spans="1:46" ht="4.5" customHeight="1">
      <c r="B1999" s="27"/>
      <c r="C1999" s="245"/>
      <c r="D1999" s="26"/>
      <c r="E1999" s="57"/>
      <c r="F1999" s="39"/>
      <c r="G1999" s="26"/>
      <c r="H1999" s="10"/>
      <c r="I1999" s="8"/>
      <c r="J1999" s="8"/>
      <c r="K1999" s="8"/>
    </row>
    <row r="2000" spans="1:46">
      <c r="B2000" s="447" t="str">
        <f>IF($C$1="ENG","third door hindge","третя завіса")</f>
        <v>третя завіса</v>
      </c>
      <c r="C2000" s="448"/>
      <c r="D2000" s="132">
        <f t="shared" ref="D2000:D2005" si="281">IF(AC2000="","",(1-$W$2)*(AC2000/1.2))</f>
        <v>66.666666666666671</v>
      </c>
      <c r="E2000" s="92">
        <f t="shared" ref="E2000:E2005" si="282">IF($W$5=0.2,D2000*1.2,D2000)/$W$4</f>
        <v>80</v>
      </c>
      <c r="F2000" s="39"/>
      <c r="G2000" s="26"/>
      <c r="H2000" s="10"/>
      <c r="I2000" s="8"/>
      <c r="J2000" s="8"/>
      <c r="K2000" s="8"/>
      <c r="AC2000" s="298">
        <v>80</v>
      </c>
      <c r="AD2000" s="289">
        <v>80</v>
      </c>
      <c r="AE2000" s="289">
        <f>AD2000/AC2000-1</f>
        <v>0</v>
      </c>
      <c r="AF2000" s="289"/>
      <c r="AG2000" s="289"/>
      <c r="AH2000" s="289"/>
      <c r="AI2000" s="289"/>
      <c r="AJ2000" s="289"/>
      <c r="AK2000" s="289"/>
      <c r="AL2000" s="289"/>
    </row>
    <row r="2001" spans="2:38">
      <c r="B2001" s="439" t="str">
        <f>IF($C$1="ENG","glazing Triplex mat / black","скло Триплекс матовий / чорний")</f>
        <v>скло Триплекс матовий / чорний</v>
      </c>
      <c r="C2001" s="440" t="str">
        <f>IF($C$1="ENG","mod.Б","мод.Б")</f>
        <v>мод.Б</v>
      </c>
      <c r="D2001" s="274">
        <f t="shared" si="281"/>
        <v>941.66666666666674</v>
      </c>
      <c r="E2001" s="93">
        <f t="shared" si="282"/>
        <v>1130</v>
      </c>
      <c r="F2001" s="39"/>
      <c r="G2001" s="26"/>
      <c r="I2001" s="19"/>
      <c r="J2001" s="11"/>
      <c r="K2001" s="19"/>
      <c r="AC2001" s="332">
        <v>1130</v>
      </c>
      <c r="AD2001" s="289">
        <v>1130</v>
      </c>
      <c r="AE2001" s="289">
        <f t="shared" ref="AE2001:AE2005" si="283">AD2001/AC2001-1</f>
        <v>0</v>
      </c>
      <c r="AF2001" s="289"/>
      <c r="AG2001" s="289"/>
      <c r="AH2001" s="289"/>
      <c r="AI2001" s="289"/>
      <c r="AJ2001" s="289"/>
      <c r="AK2001" s="289"/>
      <c r="AL2001" s="289"/>
    </row>
    <row r="2002" spans="2:38">
      <c r="B2002" s="439" t="str">
        <f>IF($C$1="ENG","glazing Graphite / Bronze","скло Графіт / Бронза")</f>
        <v>скло Графіт / Бронза</v>
      </c>
      <c r="C2002" s="440" t="str">
        <f>IF($C$1="ENG","mod.Б","мод.Б")</f>
        <v>мод.Б</v>
      </c>
      <c r="D2002" s="274">
        <f t="shared" si="281"/>
        <v>616.66666666666674</v>
      </c>
      <c r="E2002" s="93">
        <f t="shared" si="282"/>
        <v>740.00000000000011</v>
      </c>
      <c r="F2002" s="39"/>
      <c r="G2002" s="26"/>
      <c r="I2002" s="19"/>
      <c r="J2002" s="11"/>
      <c r="K2002" s="19"/>
      <c r="AC2002" s="332">
        <v>740</v>
      </c>
      <c r="AD2002" s="289">
        <v>740</v>
      </c>
      <c r="AE2002" s="289">
        <f t="shared" si="283"/>
        <v>0</v>
      </c>
      <c r="AF2002" s="289"/>
      <c r="AG2002" s="289"/>
      <c r="AH2002" s="289"/>
      <c r="AI2002" s="289"/>
      <c r="AJ2002" s="289"/>
      <c r="AK2002" s="289"/>
      <c r="AL2002" s="289"/>
    </row>
    <row r="2003" spans="2:38">
      <c r="B2003" s="445" t="str">
        <f>IF($C$1="ENG","door hindge Prestige (1 unit)","завіса Prestige (1 шт)")</f>
        <v>завіса Prestige (1 шт)</v>
      </c>
      <c r="C2003" s="446"/>
      <c r="D2003" s="135">
        <f t="shared" si="281"/>
        <v>216.66666666666669</v>
      </c>
      <c r="E2003" s="93">
        <f t="shared" si="282"/>
        <v>260</v>
      </c>
      <c r="F2003" s="39"/>
      <c r="G2003" s="26"/>
      <c r="AC2003" s="298">
        <v>260</v>
      </c>
      <c r="AD2003" s="289">
        <v>260</v>
      </c>
      <c r="AE2003" s="289">
        <f t="shared" si="283"/>
        <v>0</v>
      </c>
      <c r="AF2003" s="289"/>
      <c r="AG2003" s="289"/>
      <c r="AH2003" s="289"/>
      <c r="AI2003" s="289"/>
      <c r="AJ2003" s="289"/>
      <c r="AK2003" s="289"/>
      <c r="AL2003" s="289"/>
    </row>
    <row r="2004" spans="2:38">
      <c r="B2004" s="445" t="str">
        <f>IF($C$1="ENG","door hinge caps (1 set)","накладка на завіси (1 к-т)")</f>
        <v>накладка на завіси (1 к-т)</v>
      </c>
      <c r="C2004" s="446"/>
      <c r="D2004" s="135">
        <f t="shared" si="281"/>
        <v>66.666666666666671</v>
      </c>
      <c r="E2004" s="93">
        <f t="shared" si="282"/>
        <v>80</v>
      </c>
      <c r="F2004" s="26"/>
      <c r="G2004" s="26"/>
      <c r="AC2004" s="298">
        <v>80</v>
      </c>
      <c r="AD2004" s="289">
        <v>80</v>
      </c>
      <c r="AE2004" s="289">
        <f t="shared" si="283"/>
        <v>0</v>
      </c>
      <c r="AF2004" s="289"/>
      <c r="AG2004" s="289"/>
      <c r="AH2004" s="289"/>
      <c r="AI2004" s="289"/>
      <c r="AJ2004" s="289"/>
      <c r="AK2004" s="289"/>
      <c r="AL2004" s="289"/>
    </row>
    <row r="2005" spans="2:38" ht="12" customHeight="1">
      <c r="B2005" s="439" t="str">
        <f>IF($C$1="ENG","perforated chipboard","ДСП трубчасте")</f>
        <v>ДСП трубчасте</v>
      </c>
      <c r="C2005" s="440" t="str">
        <f>IF($C$1="ENG","mod.A","мод.A")</f>
        <v>мод.A</v>
      </c>
      <c r="D2005" s="134">
        <f t="shared" si="281"/>
        <v>775</v>
      </c>
      <c r="E2005" s="94">
        <f t="shared" si="282"/>
        <v>930</v>
      </c>
      <c r="F2005" s="26"/>
      <c r="G2005" s="26"/>
      <c r="AC2005" s="298">
        <v>930</v>
      </c>
      <c r="AD2005" s="289">
        <v>930</v>
      </c>
      <c r="AE2005" s="289">
        <f t="shared" si="283"/>
        <v>0</v>
      </c>
      <c r="AF2005" s="289"/>
      <c r="AG2005" s="289"/>
      <c r="AH2005" s="289"/>
      <c r="AI2005" s="289"/>
      <c r="AJ2005" s="289"/>
      <c r="AK2005" s="289"/>
      <c r="AL2005" s="289"/>
    </row>
    <row r="2006" spans="2:38" ht="14.25" customHeight="1">
      <c r="C2006" s="245"/>
      <c r="D2006" s="26"/>
      <c r="E2006" s="26"/>
      <c r="F2006" s="26"/>
      <c r="G2006" s="26"/>
      <c r="H2006" s="5"/>
      <c r="T2006" s="465" t="str">
        <f>IF($C$1="ENG",CONCATENATE("down to: ",B2056),CONCATENATE("вниз до: ",B2056))</f>
        <v>вниз до: Розсувна система Verto-SLIDE</v>
      </c>
      <c r="U2006" s="465"/>
      <c r="V2006" s="465"/>
      <c r="W2006" s="465"/>
    </row>
    <row r="2007" spans="2:38" ht="14.25" customHeight="1">
      <c r="C2007" s="245"/>
      <c r="D2007" s="26"/>
      <c r="E2007" s="26"/>
      <c r="F2007" s="26"/>
      <c r="G2007" s="26"/>
      <c r="H2007" s="5"/>
    </row>
    <row r="2008" spans="2:38" ht="14.25" customHeight="1">
      <c r="C2008" s="245"/>
      <c r="D2008" s="26"/>
      <c r="E2008" s="26"/>
      <c r="F2008" s="26"/>
      <c r="G2008" s="26"/>
      <c r="H2008" s="5"/>
    </row>
    <row r="2009" spans="2:38" ht="14.25" customHeight="1">
      <c r="C2009" s="245"/>
      <c r="D2009" s="26"/>
      <c r="E2009" s="26"/>
      <c r="F2009" s="26"/>
      <c r="G2009" s="26"/>
      <c r="H2009" s="5"/>
    </row>
    <row r="2010" spans="2:38" ht="14.25" customHeight="1">
      <c r="C2010" s="245"/>
      <c r="D2010" s="26"/>
      <c r="E2010" s="26"/>
      <c r="F2010" s="26"/>
      <c r="G2010" s="26"/>
      <c r="H2010" s="5"/>
    </row>
    <row r="2011" spans="2:38" ht="14.25" customHeight="1">
      <c r="C2011" s="245"/>
      <c r="D2011" s="26"/>
      <c r="E2011" s="26"/>
      <c r="F2011" s="26"/>
      <c r="G2011" s="26"/>
      <c r="H2011" s="5"/>
    </row>
    <row r="2012" spans="2:38" ht="14.25" customHeight="1">
      <c r="C2012" s="245"/>
      <c r="D2012" s="26"/>
      <c r="E2012" s="26"/>
      <c r="F2012" s="26"/>
      <c r="G2012" s="26"/>
      <c r="H2012" s="5"/>
    </row>
    <row r="2013" spans="2:38" ht="14.25" customHeight="1">
      <c r="C2013" s="245"/>
      <c r="D2013" s="26"/>
      <c r="E2013" s="26"/>
      <c r="F2013" s="26"/>
      <c r="G2013" s="26"/>
      <c r="H2013" s="5"/>
    </row>
    <row r="2014" spans="2:38" ht="14.25" customHeight="1">
      <c r="C2014" s="245"/>
      <c r="D2014" s="26"/>
      <c r="E2014" s="26"/>
      <c r="F2014" s="26"/>
      <c r="G2014" s="26"/>
      <c r="H2014" s="5"/>
    </row>
    <row r="2015" spans="2:38" ht="14.25" customHeight="1">
      <c r="C2015" s="245"/>
      <c r="D2015" s="26"/>
      <c r="E2015" s="26"/>
      <c r="F2015" s="26"/>
      <c r="G2015" s="26"/>
      <c r="H2015" s="5"/>
    </row>
    <row r="2016" spans="2:38" ht="14.25" customHeight="1">
      <c r="C2016" s="245"/>
      <c r="D2016" s="26"/>
      <c r="E2016" s="26"/>
      <c r="F2016" s="26"/>
      <c r="G2016" s="26"/>
      <c r="H2016" s="5"/>
    </row>
    <row r="2017" spans="3:8" ht="14.25" customHeight="1">
      <c r="C2017" s="245"/>
      <c r="D2017" s="26"/>
      <c r="E2017" s="26"/>
      <c r="F2017" s="26"/>
      <c r="G2017" s="26"/>
      <c r="H2017" s="5"/>
    </row>
    <row r="2018" spans="3:8" ht="14.25" customHeight="1">
      <c r="C2018" s="245"/>
      <c r="D2018" s="26"/>
      <c r="E2018" s="26"/>
      <c r="F2018" s="26"/>
      <c r="G2018" s="26"/>
      <c r="H2018" s="5"/>
    </row>
    <row r="2019" spans="3:8" ht="14.25" customHeight="1">
      <c r="C2019" s="245"/>
      <c r="D2019" s="26"/>
      <c r="E2019" s="26"/>
      <c r="F2019" s="26"/>
      <c r="G2019" s="26"/>
      <c r="H2019" s="5"/>
    </row>
    <row r="2020" spans="3:8" ht="14.25" customHeight="1">
      <c r="C2020" s="245"/>
      <c r="D2020" s="26"/>
      <c r="E2020" s="26"/>
      <c r="F2020" s="26"/>
      <c r="G2020" s="26"/>
      <c r="H2020" s="5"/>
    </row>
    <row r="2021" spans="3:8" ht="14.25" customHeight="1">
      <c r="C2021" s="245"/>
      <c r="D2021" s="26"/>
      <c r="E2021" s="26"/>
      <c r="F2021" s="26"/>
      <c r="G2021" s="26"/>
      <c r="H2021" s="5"/>
    </row>
    <row r="2022" spans="3:8" ht="14.25" customHeight="1">
      <c r="C2022" s="245"/>
      <c r="D2022" s="26"/>
      <c r="E2022" s="26"/>
      <c r="F2022" s="26"/>
      <c r="G2022" s="26"/>
      <c r="H2022" s="5"/>
    </row>
    <row r="2023" spans="3:8" ht="14.25" customHeight="1">
      <c r="C2023" s="245"/>
      <c r="D2023" s="26"/>
      <c r="E2023" s="26"/>
      <c r="F2023" s="26"/>
      <c r="G2023" s="26"/>
      <c r="H2023" s="5"/>
    </row>
    <row r="2024" spans="3:8" ht="14.25" customHeight="1">
      <c r="C2024" s="245"/>
      <c r="D2024" s="26"/>
      <c r="E2024" s="26"/>
      <c r="F2024" s="26"/>
      <c r="G2024" s="26"/>
      <c r="H2024" s="5"/>
    </row>
    <row r="2025" spans="3:8" ht="14.25" customHeight="1">
      <c r="C2025" s="245"/>
      <c r="D2025" s="26"/>
      <c r="E2025" s="26"/>
      <c r="F2025" s="26"/>
      <c r="G2025" s="26"/>
      <c r="H2025" s="5"/>
    </row>
    <row r="2026" spans="3:8" ht="14.25" customHeight="1">
      <c r="C2026" s="245"/>
      <c r="D2026" s="26"/>
      <c r="E2026" s="26"/>
      <c r="F2026" s="26"/>
      <c r="G2026" s="26"/>
      <c r="H2026" s="5"/>
    </row>
    <row r="2027" spans="3:8" ht="14.25" customHeight="1">
      <c r="C2027" s="245"/>
      <c r="D2027" s="26"/>
      <c r="E2027" s="26"/>
      <c r="F2027" s="26"/>
      <c r="G2027" s="26"/>
      <c r="H2027" s="5"/>
    </row>
    <row r="2028" spans="3:8" ht="14.25" customHeight="1">
      <c r="C2028" s="245"/>
      <c r="D2028" s="26"/>
      <c r="E2028" s="26"/>
      <c r="F2028" s="26"/>
      <c r="G2028" s="26"/>
      <c r="H2028" s="5"/>
    </row>
    <row r="2029" spans="3:8" ht="14.25" customHeight="1">
      <c r="C2029" s="245"/>
      <c r="D2029" s="26"/>
      <c r="E2029" s="26"/>
      <c r="F2029" s="26"/>
      <c r="G2029" s="26"/>
      <c r="H2029" s="5"/>
    </row>
    <row r="2030" spans="3:8" ht="14.25" customHeight="1">
      <c r="C2030" s="245"/>
      <c r="D2030" s="26"/>
      <c r="E2030" s="26"/>
      <c r="F2030" s="26"/>
      <c r="G2030" s="26"/>
      <c r="H2030" s="5"/>
    </row>
    <row r="2031" spans="3:8" ht="14.25" customHeight="1">
      <c r="C2031" s="245"/>
      <c r="D2031" s="26"/>
      <c r="E2031" s="26"/>
      <c r="F2031" s="26"/>
      <c r="G2031" s="26"/>
      <c r="H2031" s="5"/>
    </row>
    <row r="2032" spans="3:8" ht="14.25" customHeight="1">
      <c r="C2032" s="245"/>
      <c r="D2032" s="26"/>
      <c r="E2032" s="26"/>
      <c r="F2032" s="26"/>
      <c r="G2032" s="26"/>
      <c r="H2032" s="5"/>
    </row>
    <row r="2033" spans="3:8" ht="14.25" customHeight="1">
      <c r="C2033" s="245"/>
      <c r="D2033" s="26"/>
      <c r="E2033" s="26"/>
      <c r="F2033" s="26"/>
      <c r="G2033" s="26"/>
      <c r="H2033" s="5"/>
    </row>
    <row r="2034" spans="3:8" ht="14.25" customHeight="1">
      <c r="C2034" s="245"/>
      <c r="D2034" s="26"/>
      <c r="E2034" s="26"/>
      <c r="F2034" s="26"/>
      <c r="G2034" s="26"/>
      <c r="H2034" s="5"/>
    </row>
    <row r="2035" spans="3:8" ht="14.25" customHeight="1">
      <c r="C2035" s="245"/>
      <c r="D2035" s="26"/>
      <c r="E2035" s="26"/>
      <c r="F2035" s="26"/>
      <c r="G2035" s="26"/>
      <c r="H2035" s="5"/>
    </row>
    <row r="2036" spans="3:8" ht="14.25" customHeight="1">
      <c r="C2036" s="245"/>
      <c r="D2036" s="26"/>
      <c r="E2036" s="26"/>
      <c r="F2036" s="26"/>
      <c r="G2036" s="26"/>
      <c r="H2036" s="5"/>
    </row>
    <row r="2037" spans="3:8" ht="14.25" customHeight="1">
      <c r="C2037" s="245"/>
      <c r="D2037" s="26"/>
      <c r="E2037" s="26"/>
      <c r="F2037" s="26"/>
      <c r="G2037" s="26"/>
      <c r="H2037" s="5"/>
    </row>
    <row r="2038" spans="3:8" ht="14.25" customHeight="1">
      <c r="C2038" s="245"/>
      <c r="D2038" s="26"/>
      <c r="E2038" s="26"/>
      <c r="F2038" s="26"/>
      <c r="G2038" s="26"/>
      <c r="H2038" s="5"/>
    </row>
    <row r="2039" spans="3:8" ht="14.25" customHeight="1">
      <c r="C2039" s="245"/>
      <c r="D2039" s="26"/>
      <c r="E2039" s="26"/>
      <c r="F2039" s="26"/>
      <c r="G2039" s="26"/>
      <c r="H2039" s="5"/>
    </row>
    <row r="2040" spans="3:8" ht="14.25" customHeight="1">
      <c r="C2040" s="245"/>
      <c r="D2040" s="26"/>
      <c r="E2040" s="26"/>
      <c r="F2040" s="26"/>
      <c r="G2040" s="26"/>
      <c r="H2040" s="5"/>
    </row>
    <row r="2041" spans="3:8" ht="14.25" customHeight="1">
      <c r="C2041" s="245"/>
      <c r="D2041" s="26"/>
      <c r="E2041" s="26"/>
      <c r="F2041" s="26"/>
      <c r="G2041" s="26"/>
      <c r="H2041" s="5"/>
    </row>
    <row r="2042" spans="3:8" ht="14.25" customHeight="1">
      <c r="C2042" s="245"/>
      <c r="D2042" s="26"/>
      <c r="E2042" s="26"/>
      <c r="F2042" s="26"/>
      <c r="G2042" s="26"/>
      <c r="H2042" s="5"/>
    </row>
    <row r="2043" spans="3:8" ht="14.25" customHeight="1">
      <c r="C2043" s="245"/>
      <c r="D2043" s="26"/>
      <c r="E2043" s="26"/>
      <c r="F2043" s="26"/>
      <c r="G2043" s="26"/>
      <c r="H2043" s="5"/>
    </row>
    <row r="2044" spans="3:8" ht="14.25" customHeight="1">
      <c r="C2044" s="245"/>
      <c r="D2044" s="26"/>
      <c r="E2044" s="26"/>
      <c r="F2044" s="26"/>
      <c r="G2044" s="26"/>
      <c r="H2044" s="5"/>
    </row>
    <row r="2045" spans="3:8" ht="14.25" customHeight="1">
      <c r="C2045" s="245"/>
      <c r="D2045" s="26"/>
      <c r="E2045" s="26"/>
      <c r="F2045" s="26"/>
      <c r="G2045" s="26"/>
      <c r="H2045" s="5"/>
    </row>
    <row r="2046" spans="3:8" ht="14.25" customHeight="1">
      <c r="C2046" s="245"/>
      <c r="D2046" s="26"/>
      <c r="E2046" s="26"/>
      <c r="F2046" s="26"/>
      <c r="G2046" s="26"/>
      <c r="H2046" s="5"/>
    </row>
    <row r="2047" spans="3:8" ht="14.25" customHeight="1">
      <c r="C2047" s="245"/>
      <c r="D2047" s="26"/>
      <c r="E2047" s="26"/>
      <c r="F2047" s="26"/>
      <c r="G2047" s="26"/>
      <c r="H2047" s="5"/>
    </row>
    <row r="2048" spans="3:8" ht="14.25" customHeight="1">
      <c r="C2048" s="245"/>
      <c r="D2048" s="26"/>
      <c r="E2048" s="26"/>
      <c r="F2048" s="26"/>
      <c r="G2048" s="26"/>
      <c r="H2048" s="5"/>
    </row>
    <row r="2049" spans="1:46" ht="14.25" customHeight="1">
      <c r="C2049" s="245"/>
      <c r="D2049" s="26"/>
      <c r="E2049" s="26"/>
      <c r="F2049" s="26"/>
      <c r="G2049" s="26"/>
      <c r="H2049" s="5"/>
      <c r="O2049" s="38"/>
      <c r="S2049" s="38"/>
      <c r="T2049" s="38"/>
      <c r="U2049" s="38"/>
      <c r="V2049" s="38"/>
      <c r="W2049" s="38"/>
    </row>
    <row r="2050" spans="1:46" ht="14.25" customHeight="1">
      <c r="C2050" s="245"/>
      <c r="D2050" s="26"/>
      <c r="E2050" s="26"/>
      <c r="F2050" s="26"/>
      <c r="G2050" s="26"/>
      <c r="H2050" s="5"/>
      <c r="O2050" s="48"/>
      <c r="S2050" s="48"/>
      <c r="T2050" s="48"/>
      <c r="U2050" s="48"/>
      <c r="V2050" s="48"/>
      <c r="W2050" s="48"/>
    </row>
    <row r="2051" spans="1:46" ht="14.25" customHeight="1">
      <c r="C2051" s="245"/>
      <c r="D2051" s="26"/>
      <c r="E2051" s="26"/>
      <c r="F2051" s="26"/>
      <c r="G2051" s="26"/>
      <c r="H2051" s="5"/>
      <c r="O2051" s="149"/>
      <c r="S2051" s="149"/>
      <c r="T2051" s="149"/>
      <c r="U2051" s="149"/>
      <c r="V2051" s="149"/>
      <c r="W2051" s="149"/>
    </row>
    <row r="2052" spans="1:46" ht="14.25" customHeight="1">
      <c r="C2052" s="245"/>
      <c r="D2052" s="26"/>
      <c r="E2052" s="26"/>
      <c r="F2052" s="26"/>
      <c r="G2052" s="26"/>
      <c r="H2052" s="5"/>
      <c r="O2052" s="38"/>
      <c r="S2052" s="38"/>
      <c r="T2052" s="38"/>
      <c r="U2052" s="38"/>
      <c r="V2052" s="38"/>
      <c r="W2052" s="38"/>
    </row>
    <row r="2053" spans="1:46" ht="14.25" customHeight="1">
      <c r="C2053" s="245"/>
      <c r="D2053" s="26"/>
      <c r="E2053" s="26"/>
      <c r="F2053" s="26"/>
      <c r="G2053" s="26"/>
      <c r="H2053" s="26"/>
      <c r="J2053" s="26"/>
    </row>
    <row r="2054" spans="1:46" ht="14.25" customHeight="1">
      <c r="C2054" s="245"/>
      <c r="D2054" s="26"/>
      <c r="E2054" s="26"/>
      <c r="F2054" s="26"/>
      <c r="G2054" s="26"/>
      <c r="H2054" s="5"/>
    </row>
    <row r="2055" spans="1:46" s="8" customFormat="1">
      <c r="B2055" s="1"/>
      <c r="C2055" s="245"/>
      <c r="D2055" s="26"/>
      <c r="E2055" s="26"/>
      <c r="F2055" s="26"/>
      <c r="G2055" s="26"/>
      <c r="H2055" s="5"/>
      <c r="I2055" s="1"/>
      <c r="J2055" s="1"/>
      <c r="K2055" s="1"/>
      <c r="AN2055" s="280"/>
      <c r="AO2055" s="280"/>
      <c r="AP2055" s="280"/>
      <c r="AQ2055" s="280"/>
      <c r="AR2055" s="280"/>
      <c r="AS2055" s="280"/>
      <c r="AT2055" s="280"/>
    </row>
    <row r="2056" spans="1:46" s="8" customFormat="1" ht="12.75" customHeight="1">
      <c r="B2056" s="471" t="str">
        <f>TITLE!$C$38</f>
        <v>Розсувна система Verto-SLIDE</v>
      </c>
      <c r="C2056" s="451"/>
      <c r="D2056" s="118"/>
      <c r="E2056" s="118"/>
      <c r="F2056" s="118"/>
      <c r="G2056" s="118"/>
      <c r="H2056" s="455"/>
      <c r="I2056" s="455"/>
      <c r="J2056" s="121"/>
      <c r="K2056" s="121"/>
      <c r="L2056" s="121"/>
      <c r="M2056" s="121"/>
      <c r="N2056" s="121"/>
      <c r="O2056" s="121"/>
      <c r="P2056" s="121"/>
      <c r="Q2056" s="121"/>
      <c r="R2056" s="121"/>
      <c r="S2056" s="121"/>
      <c r="T2056" s="462" t="str">
        <f>IF($C$1="ENG",CONCATENATE("up to: ",B1990),CONCATENATE("вгору до: ",B1990))</f>
        <v>вгору до: Полотна: ДОБОРИ</v>
      </c>
      <c r="U2056" s="462"/>
      <c r="V2056" s="462"/>
      <c r="W2056" s="462"/>
      <c r="AN2056" s="280"/>
      <c r="AO2056" s="280"/>
      <c r="AP2056" s="280"/>
      <c r="AQ2056" s="280"/>
      <c r="AR2056" s="280"/>
      <c r="AS2056" s="280"/>
      <c r="AT2056" s="280"/>
    </row>
    <row r="2057" spans="1:46" ht="4.5" customHeight="1">
      <c r="A2057" s="8"/>
      <c r="B2057" s="148"/>
      <c r="C2057" s="420"/>
      <c r="D2057" s="9"/>
      <c r="E2057" s="9"/>
      <c r="F2057" s="10"/>
      <c r="G2057" s="10"/>
      <c r="H2057" s="120"/>
      <c r="I2057" s="120"/>
      <c r="J2057" s="8"/>
      <c r="K2057" s="8"/>
      <c r="L2057" s="47"/>
      <c r="M2057" s="47"/>
      <c r="N2057" s="46"/>
      <c r="O2057" s="46"/>
      <c r="P2057" s="47"/>
      <c r="Q2057" s="47"/>
      <c r="R2057" s="46"/>
      <c r="S2057" s="46"/>
      <c r="T2057" s="48"/>
    </row>
    <row r="2058" spans="1:46" ht="12.75" customHeight="1">
      <c r="A2058" s="8"/>
      <c r="B2058" s="452" t="str">
        <f>IF($C$1="ENG","(without door)","(без полотна)")</f>
        <v>(без полотна)</v>
      </c>
      <c r="C2058" s="122" t="str">
        <f>IF($C$1="ENG","cover:","покриття:")</f>
        <v>покриття:</v>
      </c>
      <c r="D2058" s="458" t="str">
        <f>IF($C$1="ENG","SIMPL / V-CELL","SIMPL / V-CELL")</f>
        <v>SIMPL / V-CELL</v>
      </c>
      <c r="E2058" s="459"/>
      <c r="F2058" s="458" t="str">
        <f>IF($C$1="ENG","UNI-MAT","UNI-MAT")</f>
        <v>UNI-MAT</v>
      </c>
      <c r="G2058" s="459"/>
      <c r="H2058" s="458" t="str">
        <f>IF($C$1="ENG","RESIST","RESIST")</f>
        <v>RESIST</v>
      </c>
      <c r="I2058" s="459"/>
      <c r="J2058" s="458" t="str">
        <f>IF($C$1="ENG","Verto LINE-3D","Verto LINE-3D")</f>
        <v>Verto LINE-3D</v>
      </c>
      <c r="K2058" s="459"/>
      <c r="L2058" s="458" t="str">
        <f>IF($C$1="ENG","ECO Shpon / LOFT ","ЕКО Шпон / ЛОФТ")</f>
        <v>ЕКО Шпон / ЛОФТ</v>
      </c>
      <c r="M2058" s="459"/>
      <c r="N2058" s="46"/>
      <c r="O2058" s="46"/>
      <c r="R2058" s="46"/>
      <c r="S2058" s="46"/>
      <c r="T2058" s="48"/>
      <c r="AD2058" s="384">
        <f>AD2060/AC2060-1</f>
        <v>3.7037037037036979E-2</v>
      </c>
      <c r="AE2058" s="384">
        <f>AE2060/AD2060-1</f>
        <v>2.8061224489795977E-2</v>
      </c>
      <c r="AF2058" s="384">
        <f>AF2060/AE2060-1</f>
        <v>8.4367245657568146E-2</v>
      </c>
      <c r="AG2058" s="384">
        <f>AG2060/AF2060-1</f>
        <v>5.720823798626995E-2</v>
      </c>
    </row>
    <row r="2059" spans="1:46" ht="12.75" customHeight="1">
      <c r="A2059" s="8"/>
      <c r="B2059" s="454"/>
      <c r="C2059" s="124" t="str">
        <f>IF($C$1="ENG","type:","виконання:")</f>
        <v>виконання:</v>
      </c>
      <c r="D2059" s="449" t="str">
        <f>IF($C$1="ENG","single leaf","одностулкове")</f>
        <v>одностулкове</v>
      </c>
      <c r="E2059" s="450"/>
      <c r="F2059" s="449" t="str">
        <f>IF($C$1="ENG","single leaf","одностулкове")</f>
        <v>одностулкове</v>
      </c>
      <c r="G2059" s="450"/>
      <c r="H2059" s="449" t="str">
        <f>IF($C$1="ENG","single leaf","одностулкове")</f>
        <v>одностулкове</v>
      </c>
      <c r="I2059" s="450"/>
      <c r="J2059" s="449" t="str">
        <f>IF($C$1="ENG","single leaf","одностулкове")</f>
        <v>одностулкове</v>
      </c>
      <c r="K2059" s="450"/>
      <c r="L2059" s="449" t="str">
        <f>IF($C$1="ENG","single leaf","одностулкове")</f>
        <v>одностулкове</v>
      </c>
      <c r="M2059" s="450"/>
      <c r="N2059" s="28"/>
      <c r="O2059" s="29"/>
      <c r="R2059" s="28"/>
      <c r="S2059" s="29"/>
      <c r="T2059" s="52"/>
      <c r="U2059" s="29"/>
      <c r="W2059" s="29"/>
      <c r="X2059" s="22"/>
      <c r="Y2059" s="22"/>
      <c r="Z2059" s="22"/>
      <c r="AA2059" s="22"/>
      <c r="AB2059" s="22"/>
    </row>
    <row r="2060" spans="1:46" ht="34.5" customHeight="1">
      <c r="B2060" s="150" t="str">
        <f>IF($C$1="ENG","Sliding system","Розсувна система")</f>
        <v>Розсувна система</v>
      </c>
      <c r="C2060" s="329"/>
      <c r="D2060" s="51">
        <f>IF(AC2060="","",(1-$W$2)*(AC2060/1.2))</f>
        <v>3150</v>
      </c>
      <c r="E2060" s="85">
        <f>IF($W$5=0.2,D2060*1.2,D2060)/$W$4</f>
        <v>3780</v>
      </c>
      <c r="F2060" s="51">
        <f>IF(AD2060="","",(1-$W$2)*(AD2060/1.2))</f>
        <v>3266.666666666667</v>
      </c>
      <c r="G2060" s="85">
        <f>IF($W$5=0.2,F2060*1.2,F2060)/$W$4</f>
        <v>3920</v>
      </c>
      <c r="H2060" s="51">
        <f>IF(AE2060="","",(1-$W$2)*(AE2060/1.2))</f>
        <v>3358.3333333333335</v>
      </c>
      <c r="I2060" s="85">
        <f>IF($W$5=0.2,H2060*1.2,H2060)/$W$4</f>
        <v>4030</v>
      </c>
      <c r="J2060" s="51">
        <f>IF(AF2060="","",(1-$W$2)*(AF2060/1.2))</f>
        <v>3641.666666666667</v>
      </c>
      <c r="K2060" s="85">
        <f>IF($W$5=0.2,J2060*1.2,J2060)/$W$4</f>
        <v>4370</v>
      </c>
      <c r="L2060" s="51">
        <f>IF(AG2060="","",(1-$W$2)*(AG2060/1.2))</f>
        <v>3850</v>
      </c>
      <c r="M2060" s="85">
        <f>IF($W$5=0.2,L2060*1.2,L2060)/$W$4</f>
        <v>4620</v>
      </c>
      <c r="AC2060" s="332">
        <v>3780</v>
      </c>
      <c r="AD2060" s="332">
        <v>3920</v>
      </c>
      <c r="AE2060" s="332">
        <v>4030</v>
      </c>
      <c r="AF2060" s="332">
        <v>4370</v>
      </c>
      <c r="AG2060" s="332">
        <v>4620</v>
      </c>
      <c r="AH2060" s="289">
        <v>3780</v>
      </c>
      <c r="AI2060" s="289">
        <f>AH2060/AC2060-1</f>
        <v>0</v>
      </c>
      <c r="AJ2060" s="289">
        <v>3920</v>
      </c>
      <c r="AK2060" s="289">
        <f>AJ2060/AD2060-1</f>
        <v>0</v>
      </c>
      <c r="AL2060" s="289">
        <v>4030</v>
      </c>
      <c r="AM2060" s="289">
        <f>AL2060/AE2060-1</f>
        <v>0</v>
      </c>
      <c r="AN2060" s="289">
        <v>4370</v>
      </c>
      <c r="AO2060" s="289">
        <f>AN2060/AF2060-1</f>
        <v>0</v>
      </c>
      <c r="AP2060" s="289">
        <v>4620</v>
      </c>
      <c r="AQ2060" s="289">
        <f>AP2060/AG2060-1</f>
        <v>0</v>
      </c>
    </row>
    <row r="2061" spans="1:46">
      <c r="C2061" s="245"/>
      <c r="D2061" s="26"/>
      <c r="E2061" s="26"/>
      <c r="F2061" s="26"/>
      <c r="G2061" s="26"/>
      <c r="H2061" s="5"/>
      <c r="L2061" s="8"/>
    </row>
    <row r="2062" spans="1:46" ht="12.75" customHeight="1">
      <c r="B2062" s="212" t="str">
        <f>IF($C$1="ENG","For additonal charge:","Послуги за додаткову плату:")</f>
        <v>Послуги за додаткову плату:</v>
      </c>
      <c r="C2062" s="421"/>
      <c r="D2062" s="213"/>
      <c r="E2062" s="214"/>
      <c r="F2062" s="39"/>
      <c r="G2062" s="39"/>
      <c r="H2062" s="10"/>
      <c r="I2062" s="8"/>
      <c r="J2062" s="8"/>
      <c r="K2062" s="8"/>
    </row>
    <row r="2063" spans="1:46" ht="4.5" customHeight="1">
      <c r="B2063" s="27"/>
      <c r="C2063" s="245"/>
      <c r="D2063" s="26"/>
      <c r="E2063" s="57"/>
      <c r="F2063" s="26"/>
      <c r="G2063" s="26"/>
      <c r="H2063" s="10"/>
      <c r="I2063" s="8"/>
      <c r="J2063" s="8"/>
      <c r="K2063" s="8"/>
    </row>
    <row r="2064" spans="1:46" ht="14.25" customHeight="1">
      <c r="B2064" s="485" t="str">
        <f>IF($C$1="ENG","Door lock hatch","відповідна планка замка")</f>
        <v>відповідна планка замка</v>
      </c>
      <c r="C2064" s="486"/>
      <c r="D2064" s="51">
        <f>IF(AC2064="","",(1-$W$2)*(AC2064/1.2))</f>
        <v>91.666666666666671</v>
      </c>
      <c r="E2064" s="85">
        <f>IF($W$5=0.2,D2064*1.2,D2064)/$W$4</f>
        <v>110</v>
      </c>
      <c r="F2064" s="26"/>
      <c r="G2064" s="26"/>
      <c r="H2064" s="10"/>
      <c r="I2064" s="84"/>
      <c r="J2064" s="8"/>
      <c r="K2064" s="8"/>
      <c r="AC2064" s="298">
        <v>110</v>
      </c>
      <c r="AD2064" s="289"/>
      <c r="AE2064" s="289"/>
      <c r="AF2064" s="289"/>
      <c r="AG2064" s="289"/>
      <c r="AH2064" s="289"/>
      <c r="AI2064" s="289"/>
      <c r="AJ2064" s="289"/>
      <c r="AK2064" s="289"/>
      <c r="AL2064" s="289"/>
    </row>
    <row r="2065" spans="2:23" ht="14.25" customHeight="1">
      <c r="B2065" s="95"/>
      <c r="C2065" s="95"/>
      <c r="D2065" s="96"/>
      <c r="E2065" s="59"/>
      <c r="F2065" s="26"/>
      <c r="G2065" s="26"/>
      <c r="I2065" s="11"/>
      <c r="J2065" s="11"/>
      <c r="K2065" s="19"/>
      <c r="T2065" s="493" t="str">
        <f>IF($C$1="ENG",CONCATENATE("down to: ",B2115),CONCATENATE("вниз до: ",B2115))</f>
        <v>вниз до: Дверна коробка STANDARD</v>
      </c>
      <c r="U2065" s="493"/>
      <c r="V2065" s="493"/>
      <c r="W2065" s="493"/>
    </row>
    <row r="2066" spans="2:23" ht="14.25" customHeight="1">
      <c r="C2066" s="245"/>
      <c r="D2066" s="26"/>
      <c r="E2066" s="26"/>
      <c r="F2066" s="26"/>
      <c r="G2066" s="26"/>
      <c r="H2066" s="5"/>
      <c r="I2066" s="26"/>
    </row>
    <row r="2067" spans="2:23" ht="14.25" customHeight="1">
      <c r="C2067" s="245"/>
      <c r="D2067" s="26"/>
      <c r="E2067" s="26"/>
      <c r="F2067" s="26"/>
      <c r="G2067" s="57"/>
      <c r="H2067" s="5"/>
      <c r="I2067" s="26"/>
    </row>
    <row r="2068" spans="2:23" ht="14.25" customHeight="1">
      <c r="C2068" s="245"/>
      <c r="D2068" s="26"/>
      <c r="E2068" s="26"/>
      <c r="F2068" s="26"/>
      <c r="G2068" s="26"/>
      <c r="H2068" s="5"/>
      <c r="I2068" s="26"/>
    </row>
    <row r="2069" spans="2:23" ht="14.25" customHeight="1">
      <c r="C2069" s="245"/>
      <c r="D2069" s="26"/>
      <c r="E2069" s="26"/>
      <c r="F2069" s="26"/>
      <c r="G2069" s="26"/>
      <c r="H2069" s="5"/>
      <c r="I2069" s="57"/>
    </row>
    <row r="2070" spans="2:23" ht="14.25" customHeight="1">
      <c r="C2070" s="245"/>
      <c r="D2070" s="26"/>
      <c r="E2070" s="26"/>
      <c r="F2070" s="26"/>
      <c r="G2070" s="26"/>
      <c r="H2070" s="5"/>
      <c r="I2070" s="26"/>
    </row>
    <row r="2071" spans="2:23" ht="14.25" customHeight="1">
      <c r="C2071" s="245"/>
      <c r="D2071" s="26"/>
      <c r="E2071" s="26"/>
      <c r="F2071" s="26"/>
      <c r="G2071" s="26"/>
      <c r="H2071" s="5"/>
      <c r="I2071" s="26"/>
    </row>
    <row r="2072" spans="2:23" ht="14.25" customHeight="1">
      <c r="C2072" s="245"/>
      <c r="D2072" s="26"/>
      <c r="E2072" s="26"/>
      <c r="F2072" s="26"/>
      <c r="G2072" s="26"/>
      <c r="H2072" s="5"/>
      <c r="I2072" s="26"/>
    </row>
    <row r="2073" spans="2:23" ht="14.25" customHeight="1">
      <c r="C2073" s="245"/>
      <c r="D2073" s="26"/>
      <c r="E2073" s="26"/>
      <c r="F2073" s="26"/>
      <c r="G2073" s="26"/>
      <c r="H2073" s="5"/>
      <c r="I2073" s="26"/>
    </row>
    <row r="2074" spans="2:23" ht="14.25" customHeight="1">
      <c r="C2074" s="245"/>
      <c r="D2074" s="26"/>
      <c r="E2074" s="26"/>
      <c r="F2074" s="26"/>
      <c r="G2074" s="26"/>
      <c r="H2074" s="5"/>
      <c r="I2074" s="26"/>
    </row>
    <row r="2075" spans="2:23" ht="14.25" customHeight="1">
      <c r="C2075" s="245"/>
      <c r="D2075" s="26"/>
      <c r="E2075" s="26"/>
      <c r="F2075" s="26"/>
      <c r="G2075" s="26"/>
      <c r="H2075" s="5"/>
      <c r="I2075" s="26"/>
    </row>
    <row r="2076" spans="2:23" ht="14.25" customHeight="1">
      <c r="C2076" s="245"/>
      <c r="D2076" s="26"/>
      <c r="E2076" s="26"/>
      <c r="F2076" s="26"/>
      <c r="G2076" s="26"/>
      <c r="H2076" s="5"/>
      <c r="I2076" s="26"/>
    </row>
    <row r="2077" spans="2:23" ht="14.25" customHeight="1">
      <c r="C2077" s="245"/>
      <c r="D2077" s="26"/>
      <c r="E2077" s="26"/>
      <c r="F2077" s="26"/>
      <c r="G2077" s="26"/>
      <c r="H2077" s="5"/>
      <c r="I2077" s="26"/>
    </row>
    <row r="2078" spans="2:23" ht="14.25" customHeight="1">
      <c r="C2078" s="245"/>
      <c r="D2078" s="26"/>
      <c r="E2078" s="26"/>
      <c r="F2078" s="26"/>
      <c r="G2078" s="26"/>
      <c r="H2078" s="5"/>
      <c r="I2078" s="26"/>
    </row>
    <row r="2079" spans="2:23" ht="14.25" customHeight="1">
      <c r="C2079" s="245"/>
      <c r="D2079" s="26"/>
      <c r="E2079" s="26"/>
      <c r="F2079" s="26"/>
      <c r="G2079" s="26"/>
      <c r="H2079" s="5"/>
      <c r="I2079" s="26"/>
    </row>
    <row r="2080" spans="2:23" ht="14.25" customHeight="1">
      <c r="C2080" s="245"/>
      <c r="D2080" s="26"/>
      <c r="E2080" s="26"/>
      <c r="F2080" s="26"/>
      <c r="G2080" s="26"/>
      <c r="H2080" s="5"/>
      <c r="I2080" s="26"/>
    </row>
    <row r="2081" spans="3:9" ht="14.25" customHeight="1">
      <c r="C2081" s="245"/>
      <c r="D2081" s="26"/>
      <c r="E2081" s="26"/>
      <c r="F2081" s="26"/>
      <c r="G2081" s="26"/>
      <c r="H2081" s="5"/>
      <c r="I2081" s="26"/>
    </row>
    <row r="2082" spans="3:9" ht="14.25" customHeight="1">
      <c r="C2082" s="245"/>
      <c r="D2082" s="26"/>
      <c r="E2082" s="26"/>
      <c r="F2082" s="26"/>
      <c r="G2082" s="26"/>
      <c r="H2082" s="5"/>
      <c r="I2082" s="26"/>
    </row>
    <row r="2083" spans="3:9" ht="14.25" customHeight="1">
      <c r="C2083" s="245"/>
      <c r="D2083" s="26"/>
      <c r="E2083" s="26"/>
      <c r="F2083" s="26"/>
      <c r="G2083" s="26"/>
      <c r="H2083" s="5"/>
      <c r="I2083" s="26"/>
    </row>
    <row r="2084" spans="3:9" ht="14.25" customHeight="1">
      <c r="C2084" s="245"/>
      <c r="D2084" s="26"/>
      <c r="E2084" s="26"/>
      <c r="F2084" s="26"/>
      <c r="G2084" s="26"/>
      <c r="H2084" s="5"/>
      <c r="I2084" s="26"/>
    </row>
    <row r="2085" spans="3:9" ht="14.25" customHeight="1">
      <c r="C2085" s="245"/>
      <c r="D2085" s="26"/>
      <c r="E2085" s="26"/>
      <c r="F2085" s="26"/>
      <c r="G2085" s="26"/>
      <c r="H2085" s="5"/>
      <c r="I2085" s="26"/>
    </row>
    <row r="2086" spans="3:9" ht="14.25" customHeight="1">
      <c r="C2086" s="245"/>
      <c r="D2086" s="26"/>
      <c r="E2086" s="26"/>
      <c r="F2086" s="26"/>
      <c r="G2086" s="26"/>
      <c r="H2086" s="5"/>
      <c r="I2086" s="26"/>
    </row>
    <row r="2087" spans="3:9" ht="14.25" customHeight="1">
      <c r="C2087" s="245"/>
      <c r="D2087" s="26"/>
      <c r="E2087" s="26"/>
      <c r="F2087" s="26"/>
      <c r="G2087" s="26"/>
      <c r="H2087" s="5"/>
      <c r="I2087" s="26"/>
    </row>
    <row r="2088" spans="3:9" ht="14.25" customHeight="1">
      <c r="C2088" s="245"/>
      <c r="D2088" s="26"/>
      <c r="E2088" s="26"/>
      <c r="F2088" s="26"/>
      <c r="G2088" s="26"/>
      <c r="H2088" s="5"/>
      <c r="I2088" s="26"/>
    </row>
    <row r="2089" spans="3:9" ht="14.25" customHeight="1">
      <c r="C2089" s="245"/>
      <c r="D2089" s="26"/>
      <c r="E2089" s="26"/>
      <c r="F2089" s="26"/>
      <c r="G2089" s="26"/>
      <c r="H2089" s="5"/>
      <c r="I2089" s="26"/>
    </row>
    <row r="2090" spans="3:9" ht="14.25" customHeight="1">
      <c r="C2090" s="245"/>
      <c r="D2090" s="26"/>
      <c r="E2090" s="26"/>
      <c r="F2090" s="26"/>
      <c r="G2090" s="26"/>
      <c r="H2090" s="5"/>
      <c r="I2090" s="26"/>
    </row>
    <row r="2091" spans="3:9" ht="14.25" customHeight="1">
      <c r="C2091" s="245"/>
      <c r="D2091" s="26"/>
      <c r="E2091" s="26"/>
      <c r="F2091" s="26"/>
      <c r="G2091" s="26"/>
      <c r="H2091" s="5"/>
      <c r="I2091" s="26"/>
    </row>
    <row r="2092" spans="3:9" ht="14.25" customHeight="1">
      <c r="C2092" s="245"/>
      <c r="D2092" s="26"/>
      <c r="E2092" s="26"/>
      <c r="F2092" s="26"/>
      <c r="G2092" s="26"/>
      <c r="H2092" s="5"/>
      <c r="I2092" s="26"/>
    </row>
    <row r="2093" spans="3:9" ht="14.25" customHeight="1">
      <c r="C2093" s="245"/>
      <c r="D2093" s="26"/>
      <c r="E2093" s="26"/>
      <c r="F2093" s="26"/>
      <c r="G2093" s="26"/>
      <c r="H2093" s="5"/>
      <c r="I2093" s="26"/>
    </row>
    <row r="2094" spans="3:9" ht="14.25" customHeight="1">
      <c r="C2094" s="245"/>
      <c r="D2094" s="26"/>
      <c r="E2094" s="26"/>
      <c r="F2094" s="26"/>
      <c r="G2094" s="26"/>
      <c r="H2094" s="5"/>
      <c r="I2094" s="26"/>
    </row>
    <row r="2095" spans="3:9" ht="14.25" customHeight="1">
      <c r="C2095" s="245"/>
      <c r="D2095" s="26"/>
      <c r="E2095" s="26"/>
      <c r="F2095" s="26"/>
      <c r="G2095" s="26"/>
      <c r="H2095" s="5"/>
      <c r="I2095" s="26"/>
    </row>
    <row r="2096" spans="3:9" ht="14.25" customHeight="1">
      <c r="C2096" s="245"/>
      <c r="D2096" s="26"/>
      <c r="E2096" s="26"/>
      <c r="F2096" s="26"/>
      <c r="G2096" s="26"/>
      <c r="H2096" s="5"/>
      <c r="I2096" s="26"/>
    </row>
    <row r="2097" spans="3:33" ht="14.25" customHeight="1">
      <c r="C2097" s="245"/>
      <c r="D2097" s="26"/>
      <c r="E2097" s="26"/>
      <c r="F2097" s="26"/>
      <c r="G2097" s="26"/>
      <c r="H2097" s="5"/>
      <c r="I2097" s="26"/>
    </row>
    <row r="2098" spans="3:33" ht="14.25" customHeight="1">
      <c r="C2098" s="245"/>
      <c r="D2098" s="26"/>
      <c r="E2098" s="26"/>
      <c r="F2098" s="26"/>
      <c r="G2098" s="26"/>
      <c r="H2098" s="5"/>
      <c r="I2098" s="26"/>
    </row>
    <row r="2099" spans="3:33" ht="14.25" customHeight="1">
      <c r="C2099" s="245"/>
      <c r="D2099" s="26"/>
      <c r="E2099" s="26"/>
      <c r="F2099" s="26"/>
      <c r="G2099" s="26"/>
      <c r="H2099" s="5"/>
      <c r="I2099" s="26"/>
    </row>
    <row r="2100" spans="3:33" ht="14.25" customHeight="1">
      <c r="C2100" s="245"/>
      <c r="D2100" s="26"/>
      <c r="E2100" s="26"/>
      <c r="F2100" s="26"/>
      <c r="G2100" s="26"/>
      <c r="H2100" s="5"/>
      <c r="I2100" s="26"/>
    </row>
    <row r="2101" spans="3:33" ht="14.25" customHeight="1">
      <c r="C2101" s="245"/>
      <c r="D2101" s="26"/>
      <c r="E2101" s="26"/>
      <c r="F2101" s="26"/>
      <c r="G2101" s="26"/>
      <c r="H2101" s="5"/>
      <c r="I2101" s="26"/>
    </row>
    <row r="2102" spans="3:33" ht="14.25" customHeight="1">
      <c r="C2102" s="245"/>
      <c r="D2102" s="26"/>
      <c r="E2102" s="26"/>
      <c r="F2102" s="26"/>
      <c r="G2102" s="26"/>
      <c r="H2102" s="5"/>
      <c r="I2102" s="26"/>
      <c r="K2102" s="57"/>
      <c r="W2102" s="57"/>
    </row>
    <row r="2103" spans="3:33" ht="14.25" customHeight="1">
      <c r="C2103" s="245"/>
      <c r="D2103" s="26"/>
      <c r="E2103" s="26"/>
      <c r="F2103" s="26"/>
      <c r="G2103" s="57"/>
      <c r="H2103" s="5"/>
      <c r="I2103" s="26"/>
      <c r="K2103" s="57"/>
      <c r="O2103" s="57"/>
      <c r="S2103" s="57"/>
      <c r="W2103" s="57"/>
    </row>
    <row r="2104" spans="3:33" ht="14.25" customHeight="1">
      <c r="C2104" s="245"/>
      <c r="D2104" s="26"/>
      <c r="E2104" s="26"/>
      <c r="F2104" s="26"/>
      <c r="G2104" s="57"/>
      <c r="H2104" s="5"/>
      <c r="I2104" s="26"/>
      <c r="K2104" s="57"/>
      <c r="O2104" s="57"/>
      <c r="S2104" s="57"/>
      <c r="W2104" s="57"/>
    </row>
    <row r="2105" spans="3:33" ht="14.25" customHeight="1">
      <c r="C2105" s="245"/>
      <c r="D2105" s="26"/>
      <c r="E2105" s="26"/>
      <c r="F2105" s="26"/>
      <c r="G2105" s="57"/>
      <c r="H2105" s="5"/>
      <c r="I2105" s="26"/>
      <c r="K2105" s="57"/>
      <c r="O2105" s="57"/>
      <c r="S2105" s="57"/>
      <c r="W2105" s="57"/>
    </row>
    <row r="2106" spans="3:33" ht="14.25" customHeight="1">
      <c r="C2106" s="245"/>
      <c r="D2106" s="26"/>
      <c r="E2106" s="26"/>
      <c r="F2106" s="26"/>
      <c r="G2106" s="26"/>
      <c r="H2106" s="5"/>
      <c r="I2106" s="26"/>
      <c r="K2106" s="26"/>
      <c r="O2106" s="26"/>
      <c r="S2106" s="26"/>
      <c r="W2106" s="26"/>
    </row>
    <row r="2107" spans="3:33" ht="14.25" customHeight="1">
      <c r="C2107" s="245"/>
      <c r="D2107" s="26"/>
      <c r="E2107" s="26"/>
      <c r="F2107" s="26"/>
      <c r="G2107" s="57"/>
      <c r="H2107" s="5"/>
      <c r="I2107" s="26"/>
      <c r="K2107" s="57"/>
      <c r="O2107" s="57"/>
      <c r="S2107" s="57"/>
      <c r="W2107" s="57"/>
    </row>
    <row r="2108" spans="3:33" ht="14.25" customHeight="1">
      <c r="C2108" s="245"/>
      <c r="D2108" s="26"/>
      <c r="E2108" s="26"/>
      <c r="F2108" s="26"/>
      <c r="G2108" s="57"/>
      <c r="H2108" s="5"/>
      <c r="I2108" s="26"/>
      <c r="K2108" s="57"/>
      <c r="O2108" s="57"/>
      <c r="S2108" s="57"/>
      <c r="W2108" s="57"/>
    </row>
    <row r="2109" spans="3:33" ht="14.25" customHeight="1">
      <c r="C2109" s="245"/>
      <c r="D2109" s="26"/>
      <c r="E2109" s="26"/>
      <c r="F2109" s="26"/>
      <c r="G2109" s="57"/>
      <c r="H2109" s="5"/>
      <c r="I2109" s="26"/>
      <c r="K2109" s="57"/>
      <c r="O2109" s="57"/>
      <c r="S2109" s="57"/>
      <c r="W2109" s="57"/>
    </row>
    <row r="2110" spans="3:33" ht="14.25" customHeight="1">
      <c r="C2110" s="245"/>
      <c r="D2110" s="26"/>
      <c r="E2110" s="26"/>
      <c r="F2110" s="26"/>
      <c r="G2110" s="57"/>
      <c r="H2110" s="5"/>
      <c r="I2110" s="26"/>
      <c r="K2110" s="57"/>
      <c r="O2110" s="57"/>
      <c r="S2110" s="57"/>
      <c r="W2110" s="57"/>
    </row>
    <row r="2111" spans="3:33" ht="14.25" customHeight="1">
      <c r="C2111" s="245"/>
      <c r="D2111" s="26"/>
      <c r="E2111" s="26"/>
      <c r="F2111" s="26"/>
      <c r="G2111" s="57"/>
      <c r="H2111" s="5"/>
      <c r="I2111" s="26"/>
      <c r="K2111" s="57"/>
      <c r="O2111" s="57"/>
      <c r="S2111" s="57"/>
      <c r="W2111" s="57"/>
    </row>
    <row r="2112" spans="3:33" ht="14.25" customHeight="1">
      <c r="C2112" s="245"/>
      <c r="D2112" s="26"/>
      <c r="E2112" s="26"/>
      <c r="F2112" s="26"/>
      <c r="G2112" s="57"/>
      <c r="H2112" s="5"/>
      <c r="I2112" s="26"/>
      <c r="K2112" s="57"/>
      <c r="O2112" s="57"/>
      <c r="S2112" s="57"/>
      <c r="W2112" s="57"/>
      <c r="AC2112" s="20"/>
      <c r="AG2112" s="20"/>
    </row>
    <row r="2113" spans="1:58" ht="14.25" customHeight="1">
      <c r="C2113" s="245"/>
      <c r="D2113" s="26"/>
      <c r="E2113" s="26"/>
      <c r="F2113" s="26"/>
      <c r="G2113" s="57"/>
      <c r="H2113" s="5"/>
      <c r="I2113" s="26"/>
      <c r="J2113" s="5"/>
      <c r="K2113" s="57"/>
      <c r="L2113" s="26"/>
      <c r="N2113" s="26"/>
      <c r="O2113" s="57"/>
      <c r="P2113" s="26"/>
      <c r="R2113" s="26"/>
      <c r="S2113" s="57"/>
      <c r="T2113" s="26"/>
      <c r="V2113" s="26"/>
      <c r="W2113" s="57"/>
    </row>
    <row r="2114" spans="1:58" ht="14.25" customHeight="1">
      <c r="C2114" s="245"/>
      <c r="D2114" s="26"/>
      <c r="E2114" s="26"/>
      <c r="F2114" s="26"/>
      <c r="G2114" s="57"/>
      <c r="H2114" s="26"/>
      <c r="I2114" s="26"/>
      <c r="J2114" s="26"/>
      <c r="K2114" s="57"/>
      <c r="O2114" s="26"/>
      <c r="S2114" s="26"/>
      <c r="W2114" s="26"/>
    </row>
    <row r="2115" spans="1:58" s="8" customFormat="1">
      <c r="B2115" s="471" t="str">
        <f>TITLE!$C$41</f>
        <v>Дверна коробка STANDARD</v>
      </c>
      <c r="C2115" s="471"/>
      <c r="D2115" s="118"/>
      <c r="E2115" s="474" t="str">
        <f>IF($C$1="ENG","For Door Leafs with Rebbit","Для Дверних Полотен з Фальцем")</f>
        <v>Для Дверних Полотен з Фальцем</v>
      </c>
      <c r="F2115" s="474"/>
      <c r="G2115" s="474"/>
      <c r="H2115" s="474"/>
      <c r="I2115" s="474"/>
      <c r="J2115" s="474"/>
      <c r="K2115" s="474"/>
      <c r="L2115" s="455"/>
      <c r="M2115" s="455"/>
      <c r="N2115" s="455"/>
      <c r="O2115" s="455"/>
      <c r="P2115" s="455"/>
      <c r="Q2115" s="455"/>
      <c r="R2115" s="455"/>
      <c r="S2115" s="455"/>
      <c r="T2115" s="462" t="str">
        <f>IF($C$1="ENG",CONCATENATE("up to: ",B2056),CONCATENATE("вгору до: ",B2056))</f>
        <v>вгору до: Розсувна система Verto-SLIDE</v>
      </c>
      <c r="U2115" s="462"/>
      <c r="V2115" s="462"/>
      <c r="W2115" s="462"/>
      <c r="AN2115" s="280"/>
      <c r="AO2115" s="280"/>
      <c r="AP2115" s="280"/>
      <c r="AQ2115" s="280"/>
      <c r="AR2115" s="280"/>
      <c r="AS2115" s="280"/>
      <c r="AT2115" s="280"/>
    </row>
    <row r="2116" spans="1:58" s="8" customFormat="1" ht="5.0999999999999996" customHeight="1">
      <c r="C2116" s="424"/>
      <c r="L2116" s="151"/>
      <c r="M2116" s="151"/>
      <c r="N2116" s="151"/>
      <c r="O2116" s="151"/>
      <c r="P2116" s="151"/>
      <c r="Q2116" s="151"/>
      <c r="R2116" s="151"/>
      <c r="S2116" s="151"/>
      <c r="T2116" s="152"/>
      <c r="U2116" s="152"/>
      <c r="V2116" s="152"/>
      <c r="W2116" s="152"/>
      <c r="AN2116" s="280"/>
      <c r="AO2116" s="280"/>
      <c r="AP2116" s="280"/>
      <c r="AQ2116" s="280"/>
      <c r="AR2116" s="280"/>
      <c r="AS2116" s="280"/>
      <c r="AT2116" s="280"/>
    </row>
    <row r="2117" spans="1:58" ht="12.75" customHeight="1">
      <c r="A2117" s="8"/>
      <c r="B2117" s="307" t="str">
        <f>IF($C$1="ENG","model","модель")</f>
        <v>модель</v>
      </c>
      <c r="C2117" s="122" t="str">
        <f>IF($C$1="ENG","cover:","покриття:")</f>
        <v>покриття:</v>
      </c>
      <c r="D2117" s="458" t="str">
        <f>IF($C$1="ENG","SIMPLEX / VERTO-CELL ","SIMPLEX / VERTO-CELL")</f>
        <v>SIMPLEX / VERTO-CELL</v>
      </c>
      <c r="E2117" s="473"/>
      <c r="F2117" s="473"/>
      <c r="G2117" s="459"/>
      <c r="H2117" s="458" t="str">
        <f>IF($C$1="ENG","UNI-MAT","UNI-MAT")</f>
        <v>UNI-MAT</v>
      </c>
      <c r="I2117" s="473"/>
      <c r="J2117" s="473"/>
      <c r="K2117" s="459"/>
      <c r="L2117" s="458" t="str">
        <f>IF($C$1="ENG","RESIST","RESIST")</f>
        <v>RESIST</v>
      </c>
      <c r="M2117" s="473"/>
      <c r="N2117" s="473"/>
      <c r="O2117" s="459"/>
      <c r="P2117" s="458" t="str">
        <f>IF($C$1="ENG","Verto LINE-3D","Verto LINE-3D")</f>
        <v>Verto LINE-3D</v>
      </c>
      <c r="Q2117" s="473"/>
      <c r="R2117" s="473"/>
      <c r="S2117" s="459"/>
      <c r="T2117" s="458" t="str">
        <f>IF($C$1="ENG","ECO Shpon / LOFT","ЕКО Шпон / LOFT")</f>
        <v>ЕКО Шпон / LOFT</v>
      </c>
      <c r="U2117" s="473"/>
      <c r="V2117" s="473"/>
      <c r="W2117" s="459"/>
      <c r="AE2117" s="384">
        <f>AE2119/AC2119-1</f>
        <v>0.13114754098360648</v>
      </c>
      <c r="AF2117" s="384"/>
      <c r="AG2117" s="384">
        <f>AG2119/AE2119-1</f>
        <v>3.8647342995169032E-2</v>
      </c>
    </row>
    <row r="2118" spans="1:58" ht="12.75" customHeight="1">
      <c r="A2118" s="8"/>
      <c r="B2118" s="309"/>
      <c r="C2118" s="124" t="str">
        <f>IF($C$1="ENG","type:","виконання:")</f>
        <v>виконання:</v>
      </c>
      <c r="D2118" s="449" t="str">
        <f>IF($C$1="ENG","single leaf","одностулкове")</f>
        <v>одностулкове</v>
      </c>
      <c r="E2118" s="468"/>
      <c r="F2118" s="487" t="str">
        <f>IF($C$1="ENG","double leaf","двостулкові")</f>
        <v>двостулкові</v>
      </c>
      <c r="G2118" s="450"/>
      <c r="H2118" s="449" t="str">
        <f>IF($C$1="ENG","single leaf","одностулкове")</f>
        <v>одностулкове</v>
      </c>
      <c r="I2118" s="468"/>
      <c r="J2118" s="487" t="str">
        <f>IF($C$1="ENG","double leaf","двостулкові")</f>
        <v>двостулкові</v>
      </c>
      <c r="K2118" s="450"/>
      <c r="L2118" s="449" t="str">
        <f>IF($C$1="ENG","single leaf","одностулкове")</f>
        <v>одностулкове</v>
      </c>
      <c r="M2118" s="468"/>
      <c r="N2118" s="490" t="str">
        <f>IF($C$1="ENG","double leaf","двостулкові")</f>
        <v>двостулкові</v>
      </c>
      <c r="O2118" s="450"/>
      <c r="P2118" s="449" t="str">
        <f>IF($C$1="ENG","single leaf","одностулкове")</f>
        <v>одностулкове</v>
      </c>
      <c r="Q2118" s="468"/>
      <c r="R2118" s="490" t="str">
        <f>IF($C$1="ENG","double leaf","двостулкові")</f>
        <v>двостулкові</v>
      </c>
      <c r="S2118" s="450"/>
      <c r="T2118" s="449" t="str">
        <f>IF($C$1="ENG","single leaf","одностулкове")</f>
        <v>одностулкове</v>
      </c>
      <c r="U2118" s="468"/>
      <c r="V2118" s="490" t="str">
        <f>IF($C$1="ENG","double leaf","двостулкові")</f>
        <v>двостулкові</v>
      </c>
      <c r="W2118" s="450"/>
      <c r="AR2118" s="384"/>
    </row>
    <row r="2119" spans="1:58" ht="34.5" customHeight="1">
      <c r="A2119" s="8"/>
      <c r="B2119" s="244" t="str">
        <f>IF($C$1="ENG","Door Frame 80 mm MDF","Коробка МДФ 80 мм")</f>
        <v>Коробка МДФ 80 мм</v>
      </c>
      <c r="C2119" s="426"/>
      <c r="D2119" s="15">
        <f>IF(AC2119="","",(1-$W$2)*(AC2119/1.2))</f>
        <v>1525</v>
      </c>
      <c r="E2119" s="267">
        <f>IF($W$5=0.2,D2119*1.2,D2119)/$W$4</f>
        <v>1830</v>
      </c>
      <c r="F2119" s="270">
        <f>IF(AD2119="","",(1-$W$2)*(AD2119/1.2))</f>
        <v>2133.3333333333335</v>
      </c>
      <c r="G2119" s="64">
        <f>IF($W$5=0.2,F2119*1.2,F2119)/$W$4</f>
        <v>2560</v>
      </c>
      <c r="H2119" s="15">
        <f>IF(AE2119="","",(1-$W$2)*(AE2119/1.2))</f>
        <v>1725</v>
      </c>
      <c r="I2119" s="267">
        <f>IF($W$5=0.2,H2119*1.2,H2119)/$W$4</f>
        <v>2070</v>
      </c>
      <c r="J2119" s="270">
        <f>IF(AF2119="","",(1-$W$2)*(AF2119/1.2))</f>
        <v>2408.3333333333335</v>
      </c>
      <c r="K2119" s="64">
        <f>IF($W$5=0.2,J2119*1.2,J2119)/$W$4</f>
        <v>2890</v>
      </c>
      <c r="L2119" s="15">
        <f>IF(AG2119="","",(1-$W$2)*(AG2119/1.2))</f>
        <v>1791.6666666666667</v>
      </c>
      <c r="M2119" s="267">
        <f>IF($W$5=0.2,L2119*1.2,L2119)/$W$4</f>
        <v>2150</v>
      </c>
      <c r="N2119" s="270">
        <f>IF(AH2119="","",(1-$W$2)*(AH2119/1.2))</f>
        <v>2508.3333333333335</v>
      </c>
      <c r="O2119" s="64">
        <f>IF($W$5=0.2,N2119*1.2,N2119)/$W$4</f>
        <v>3010</v>
      </c>
      <c r="P2119" s="15">
        <f>IF(AI2119="","",(1-$W$2)*(AI2119/1.2))</f>
        <v>1975</v>
      </c>
      <c r="Q2119" s="267">
        <f>IF($W$5=0.2,P2119*1.2,P2119)/$W$4</f>
        <v>2370</v>
      </c>
      <c r="R2119" s="270">
        <f>IF(AJ2119="","",(1-$W$2)*(AJ2119/1.2))</f>
        <v>2766.666666666667</v>
      </c>
      <c r="S2119" s="64">
        <f>IF($W$5=0.2,R2119*1.2,R2119)/$W$4</f>
        <v>3320.0000000000005</v>
      </c>
      <c r="T2119" s="15">
        <f>IF(AK2119="","",(1-$W$2)*(AK2119/1.2))</f>
        <v>2125</v>
      </c>
      <c r="U2119" s="267">
        <f>IF($W$5=0.2,T2119*1.2,T2119)/$W$4</f>
        <v>2550</v>
      </c>
      <c r="V2119" s="270">
        <f>IF(AL2119="","",(1-$W$2)*(AL2119/1.2))</f>
        <v>2975</v>
      </c>
      <c r="W2119" s="64">
        <f>IF($W$5=0.2,V2119*1.2,V2119)/$W$4</f>
        <v>3570</v>
      </c>
      <c r="X2119" s="22"/>
      <c r="Y2119" s="22"/>
      <c r="Z2119" s="22"/>
      <c r="AA2119" s="22"/>
      <c r="AB2119" s="22"/>
      <c r="AC2119" s="393">
        <v>1830</v>
      </c>
      <c r="AD2119" s="394">
        <v>2560</v>
      </c>
      <c r="AE2119" s="395">
        <v>2070</v>
      </c>
      <c r="AF2119" s="394">
        <v>2890</v>
      </c>
      <c r="AG2119" s="393">
        <v>2150</v>
      </c>
      <c r="AH2119" s="394">
        <v>3010</v>
      </c>
      <c r="AI2119" s="393">
        <v>2370</v>
      </c>
      <c r="AJ2119" s="394">
        <v>3320</v>
      </c>
      <c r="AK2119" s="393">
        <v>2550</v>
      </c>
      <c r="AL2119" s="394">
        <v>3570</v>
      </c>
      <c r="AM2119" s="334">
        <v>1830</v>
      </c>
      <c r="AN2119" s="310">
        <f>AM2119/AC2119-1</f>
        <v>0</v>
      </c>
      <c r="AO2119" s="334">
        <v>2560</v>
      </c>
      <c r="AP2119" s="310">
        <f>AO2119/AD2119-1</f>
        <v>0</v>
      </c>
      <c r="AQ2119" s="334">
        <v>2070</v>
      </c>
      <c r="AR2119" s="310">
        <f>AQ2119/AE2119-1</f>
        <v>0</v>
      </c>
      <c r="AS2119" s="334">
        <v>2890</v>
      </c>
      <c r="AT2119" s="310">
        <f>AS2119/AF2119-1</f>
        <v>0</v>
      </c>
      <c r="AU2119" s="334">
        <v>2150</v>
      </c>
      <c r="AV2119" s="310">
        <f>AU2119/AG2119-1</f>
        <v>0</v>
      </c>
      <c r="AW2119" s="334">
        <v>3000</v>
      </c>
      <c r="AX2119" s="310"/>
      <c r="AY2119" s="334"/>
      <c r="AZ2119" s="310"/>
      <c r="BA2119" s="334"/>
      <c r="BB2119" s="310"/>
      <c r="BC2119" s="334"/>
      <c r="BD2119" s="310"/>
      <c r="BE2119" s="334"/>
      <c r="BF2119" s="310"/>
    </row>
    <row r="2120" spans="1:58" ht="34.5" customHeight="1">
      <c r="A2120" s="8"/>
      <c r="B2120" s="108" t="str">
        <f>IF($C$1="ENG","Door Frame 80 mm Wood","Коробка Дерев'яна 80 мм")</f>
        <v>Коробка Дерев'яна 80 мм</v>
      </c>
      <c r="C2120" s="427"/>
      <c r="D2120" s="25">
        <f>IF(AC2120="","",(1-$W$2)*(AC2120/1.2))</f>
        <v>1850</v>
      </c>
      <c r="E2120" s="269">
        <f>IF($W$5=0.2,D2120*1.2,D2120)/$W$4</f>
        <v>2220</v>
      </c>
      <c r="F2120" s="272">
        <f>IF(AD2120="","",(1-$W$2)*(AD2120/1.2))</f>
        <v>2566.666666666667</v>
      </c>
      <c r="G2120" s="69">
        <f>IF($W$5=0.2,F2120*1.2,F2120)/$W$4</f>
        <v>3080.0000000000005</v>
      </c>
      <c r="H2120" s="25">
        <f>IF(AE2120="","",(1-$W$2)*(AE2120/1.2))</f>
        <v>2100</v>
      </c>
      <c r="I2120" s="269">
        <f>IF($W$5=0.2,H2120*1.2,H2120)/$W$4</f>
        <v>2520</v>
      </c>
      <c r="J2120" s="272">
        <f>IF(AF2120="","",(1-$W$2)*(AF2120/1.2))</f>
        <v>2941.666666666667</v>
      </c>
      <c r="K2120" s="69">
        <f>IF($W$5=0.2,J2120*1.2,J2120)/$W$4</f>
        <v>3530.0000000000005</v>
      </c>
      <c r="L2120" s="25">
        <f>IF(AG2120="","",(1-$W$2)*(AG2120/1.2))</f>
        <v>2233.3333333333335</v>
      </c>
      <c r="M2120" s="269">
        <f>IF($W$5=0.2,L2120*1.2,L2120)/$W$4</f>
        <v>2680</v>
      </c>
      <c r="N2120" s="272">
        <f>IF(AH2120="","",(1-$W$2)*(AH2120/1.2))</f>
        <v>3125</v>
      </c>
      <c r="O2120" s="69">
        <f>IF($W$5=0.2,N2120*1.2,N2120)/$W$4</f>
        <v>3750</v>
      </c>
      <c r="P2120" s="25">
        <f>IF(AI2120="","",(1-$W$2)*(AI2120/1.2))</f>
        <v>2450</v>
      </c>
      <c r="Q2120" s="269">
        <f>IF($W$5=0.2,P2120*1.2,P2120)/$W$4</f>
        <v>2940</v>
      </c>
      <c r="R2120" s="272">
        <f>IF(AJ2120="","",(1-$W$2)*(AJ2120/1.2))</f>
        <v>3425</v>
      </c>
      <c r="S2120" s="69">
        <f>IF($W$5=0.2,R2120*1.2,R2120)/$W$4</f>
        <v>4110</v>
      </c>
      <c r="T2120" s="25">
        <f>IF(AK2120="","",(1-$W$2)*(AK2120/1.2))</f>
        <v>2700</v>
      </c>
      <c r="U2120" s="269">
        <f>IF($W$5=0.2,T2120*1.2,T2120)/$W$4</f>
        <v>3240</v>
      </c>
      <c r="V2120" s="272">
        <f>IF(AL2120="","",(1-$W$2)*(AL2120/1.2))</f>
        <v>3775</v>
      </c>
      <c r="W2120" s="69">
        <f>IF($W$5=0.2,V2120*1.2,V2120)/$W$4</f>
        <v>4530</v>
      </c>
      <c r="X2120" s="22"/>
      <c r="Y2120" s="22"/>
      <c r="Z2120" s="22"/>
      <c r="AA2120" s="22"/>
      <c r="AB2120" s="22"/>
      <c r="AC2120" s="393">
        <v>2220</v>
      </c>
      <c r="AD2120" s="394">
        <v>3080</v>
      </c>
      <c r="AE2120" s="395">
        <v>2520</v>
      </c>
      <c r="AF2120" s="394">
        <v>3530</v>
      </c>
      <c r="AG2120" s="393">
        <v>2680</v>
      </c>
      <c r="AH2120" s="394">
        <v>3750</v>
      </c>
      <c r="AI2120" s="393">
        <v>2940</v>
      </c>
      <c r="AJ2120" s="394">
        <v>4110</v>
      </c>
      <c r="AK2120" s="393">
        <v>3240</v>
      </c>
      <c r="AL2120" s="394">
        <v>4530</v>
      </c>
      <c r="AM2120" s="334">
        <v>2220</v>
      </c>
      <c r="AN2120" s="310">
        <f>AM2120/AC2120-1</f>
        <v>0</v>
      </c>
      <c r="AO2120" s="334">
        <v>3120</v>
      </c>
      <c r="AP2120" s="310">
        <f>AO2120/AD2120-1</f>
        <v>1.298701298701288E-2</v>
      </c>
      <c r="AQ2120" s="334">
        <v>2520</v>
      </c>
      <c r="AR2120" s="310">
        <f>AQ2120/AE2120-1</f>
        <v>0</v>
      </c>
      <c r="AS2120" s="334">
        <v>3530</v>
      </c>
      <c r="AT2120" s="310">
        <f>AS2120/AF2120-1</f>
        <v>0</v>
      </c>
      <c r="AU2120" s="334">
        <v>2680</v>
      </c>
      <c r="AV2120" s="310">
        <f>AU2120/AG2120-1</f>
        <v>0</v>
      </c>
      <c r="AW2120" s="334">
        <v>3750</v>
      </c>
      <c r="AX2120" s="310"/>
      <c r="AY2120" s="334"/>
      <c r="AZ2120" s="310"/>
      <c r="BA2120" s="334"/>
      <c r="BB2120" s="310"/>
      <c r="BC2120" s="334"/>
      <c r="BD2120" s="310"/>
      <c r="BE2120" s="334"/>
      <c r="BF2120" s="310"/>
    </row>
    <row r="2121" spans="1:58" s="48" customFormat="1" ht="24" customHeight="1">
      <c r="B2121" s="54" t="str">
        <f>IF($C$1="ENG","MASKING ARCHITRAVES","ЛИШТВА")</f>
        <v>ЛИШТВА</v>
      </c>
      <c r="C2121" s="428"/>
      <c r="D2121" s="28"/>
      <c r="E2121" s="59"/>
      <c r="F2121" s="59"/>
      <c r="G2121" s="59"/>
      <c r="H2121" s="59"/>
      <c r="I2121" s="59"/>
      <c r="J2121" s="59"/>
      <c r="K2121" s="59"/>
      <c r="L2121" s="59"/>
      <c r="M2121" s="59"/>
      <c r="N2121" s="59"/>
      <c r="O2121" s="59"/>
      <c r="P2121" s="59"/>
      <c r="Q2121" s="59"/>
      <c r="R2121" s="59"/>
      <c r="S2121" s="59"/>
      <c r="T2121" s="59"/>
      <c r="U2121" s="59"/>
      <c r="V2121" s="59"/>
      <c r="W2121" s="59"/>
      <c r="AM2121" s="386"/>
      <c r="AN2121" s="56"/>
      <c r="AO2121" s="56"/>
      <c r="AP2121" s="56"/>
      <c r="AQ2121" s="56"/>
      <c r="AR2121" s="56"/>
      <c r="AS2121" s="56"/>
      <c r="AT2121" s="56"/>
    </row>
    <row r="2122" spans="1:58" ht="34.5" customHeight="1">
      <c r="A2122" s="8"/>
      <c r="B2122" s="13" t="str">
        <f>IF($C$1="ENG","Straight (set for 1 side) 60 mm","Прямокутна (1 к-т) 60 мм")</f>
        <v>Прямокутна (1 к-т) 60 мм</v>
      </c>
      <c r="C2122" s="429"/>
      <c r="D2122" s="15">
        <f>IF(AC2122="","",(1-$W$2)*(AC2122/1.2))</f>
        <v>425</v>
      </c>
      <c r="E2122" s="299">
        <f>IF($W$5=0.2,D2122*1.2,D2122)/$W$4</f>
        <v>510</v>
      </c>
      <c r="F2122" s="270">
        <f>IF(AD2122="","",(1-$W$2)*(AD2122/1.2))</f>
        <v>550</v>
      </c>
      <c r="G2122" s="64">
        <f>IF($W$5=0.2,F2122*1.2,F2122)/$W$4</f>
        <v>660</v>
      </c>
      <c r="H2122" s="15">
        <f>IF(AE2122="","",(1-$W$2)*(AE2122/1.2))</f>
        <v>491.66666666666669</v>
      </c>
      <c r="I2122" s="267">
        <f>IF($W$5=0.2,H2122*1.2,H2122)/$W$4</f>
        <v>590</v>
      </c>
      <c r="J2122" s="270">
        <f>IF(AF2122="","",(1-$W$2)*(AF2122/1.2))</f>
        <v>633.33333333333337</v>
      </c>
      <c r="K2122" s="64">
        <f>IF($W$5=0.2,J2122*1.2,J2122)/$W$4</f>
        <v>760</v>
      </c>
      <c r="L2122" s="15">
        <f>IF(AG2122="","",(1-$W$2)*(AG2122/1.2))</f>
        <v>575</v>
      </c>
      <c r="M2122" s="267">
        <f>IF($W$5=0.2,L2122*1.2,L2122)/$W$4</f>
        <v>690</v>
      </c>
      <c r="N2122" s="270">
        <f>IF(AH2122="","",(1-$W$2)*(AH2122/1.2))</f>
        <v>741.66666666666674</v>
      </c>
      <c r="O2122" s="64">
        <f>IF($W$5=0.2,N2122*1.2,N2122)/$W$4</f>
        <v>890.00000000000011</v>
      </c>
      <c r="P2122" s="15">
        <f>IF(AI2122="","",(1-$W$2)*(AI2122/1.2))</f>
        <v>658.33333333333337</v>
      </c>
      <c r="Q2122" s="267">
        <f>IF($W$5=0.2,P2122*1.2,P2122)/$W$4</f>
        <v>790</v>
      </c>
      <c r="R2122" s="270">
        <f>IF(AJ2122="","",(1-$W$2)*(AJ2122/1.2))</f>
        <v>858.33333333333337</v>
      </c>
      <c r="S2122" s="64">
        <f>IF($W$5=0.2,R2122*1.2,R2122)/$W$4</f>
        <v>1030</v>
      </c>
      <c r="T2122" s="15">
        <f>IF(AK2122="","",(1-$W$2)*(AK2122/1.2))</f>
        <v>716.66666666666674</v>
      </c>
      <c r="U2122" s="267">
        <f>IF($W$5=0.2,T2122*1.2,T2122)/$W$4</f>
        <v>860.00000000000011</v>
      </c>
      <c r="V2122" s="270">
        <f>IF(AL2122="","",(1-$W$2)*(AL2122/1.2))</f>
        <v>933.33333333333337</v>
      </c>
      <c r="W2122" s="64">
        <f>IF($W$5=0.2,V2122*1.2,V2122)/$W$4</f>
        <v>1120</v>
      </c>
      <c r="X2122" s="22"/>
      <c r="Y2122" s="22"/>
      <c r="Z2122" s="22"/>
      <c r="AA2122" s="22"/>
      <c r="AB2122" s="22"/>
      <c r="AC2122" s="332">
        <v>510</v>
      </c>
      <c r="AD2122" s="332">
        <v>660</v>
      </c>
      <c r="AE2122" s="332">
        <v>590</v>
      </c>
      <c r="AF2122" s="332">
        <v>760</v>
      </c>
      <c r="AG2122" s="332">
        <v>690</v>
      </c>
      <c r="AH2122" s="332">
        <v>890</v>
      </c>
      <c r="AI2122" s="332">
        <v>790</v>
      </c>
      <c r="AJ2122" s="332">
        <v>1030</v>
      </c>
      <c r="AK2122" s="332">
        <v>860</v>
      </c>
      <c r="AL2122" s="332">
        <v>1120</v>
      </c>
      <c r="AM2122" s="334">
        <v>510</v>
      </c>
      <c r="AN2122" s="310">
        <f>AM2122/AC2122-1</f>
        <v>0</v>
      </c>
      <c r="AO2122" s="334">
        <v>660</v>
      </c>
      <c r="AP2122" s="400">
        <f>AO2122/AD2122-1</f>
        <v>0</v>
      </c>
      <c r="AQ2122" s="334">
        <v>590</v>
      </c>
      <c r="AR2122" s="400">
        <f>AQ2122/AE2122-1</f>
        <v>0</v>
      </c>
      <c r="AS2122" s="334">
        <v>760</v>
      </c>
      <c r="AT2122" s="400">
        <f>AS2122/AF2122-1</f>
        <v>0</v>
      </c>
      <c r="AU2122" s="334">
        <v>690</v>
      </c>
      <c r="AV2122" s="400">
        <f>AU2122/AG2122-1</f>
        <v>0</v>
      </c>
      <c r="AW2122" s="1">
        <v>890</v>
      </c>
      <c r="AX2122" s="384"/>
      <c r="AZ2122" s="384"/>
      <c r="BB2122" s="384"/>
      <c r="BD2122" s="384"/>
      <c r="BF2122" s="384"/>
    </row>
    <row r="2123" spans="1:58" ht="34.5" customHeight="1">
      <c r="A2123" s="8"/>
      <c r="B2123" s="23" t="str">
        <f>IF($C$1="ENG","Straight (set for 1 side) 80 mm","Прямокутна (1 к-т) 80 мм")</f>
        <v>Прямокутна (1 к-т) 80 мм</v>
      </c>
      <c r="C2123" s="430"/>
      <c r="D2123" s="25">
        <f>IF(AC2123="","",(1-$W$2)*(AC2123/1.2))</f>
        <v>500</v>
      </c>
      <c r="E2123" s="269">
        <f>IF($W$5=0.2,D2123*1.2,D2123)/$W$4</f>
        <v>600</v>
      </c>
      <c r="F2123" s="272">
        <f>IF(AD2123="","",(1-$W$2)*(AD2123/1.2))</f>
        <v>641.66666666666674</v>
      </c>
      <c r="G2123" s="69">
        <f>IF($W$5=0.2,F2123*1.2,F2123)/$W$4</f>
        <v>770.00000000000011</v>
      </c>
      <c r="H2123" s="25">
        <f>IF(AE2123="","",(1-$W$2)*(AE2123/1.2))</f>
        <v>583.33333333333337</v>
      </c>
      <c r="I2123" s="269">
        <f>IF($W$5=0.2,H2123*1.2,H2123)/$W$4</f>
        <v>700</v>
      </c>
      <c r="J2123" s="272">
        <f>IF(AF2123="","",(1-$W$2)*(AF2123/1.2))</f>
        <v>750</v>
      </c>
      <c r="K2123" s="69">
        <f>IF($W$5=0.2,J2123*1.2,J2123)/$W$4</f>
        <v>900</v>
      </c>
      <c r="L2123" s="25">
        <f>IF(AG2123="","",(1-$W$2)*(AG2123/1.2))</f>
        <v>708.33333333333337</v>
      </c>
      <c r="M2123" s="269">
        <f>IF($W$5=0.2,L2123*1.2,L2123)/$W$4</f>
        <v>850</v>
      </c>
      <c r="N2123" s="272">
        <f>IF(AH2123="","",(1-$W$2)*(AH2123/1.2))</f>
        <v>916.66666666666674</v>
      </c>
      <c r="O2123" s="69">
        <f>IF($W$5=0.2,N2123*1.2,N2123)/$W$4</f>
        <v>1100</v>
      </c>
      <c r="P2123" s="25">
        <f>IF(AI2123="","",(1-$W$2)*(AI2123/1.2))</f>
        <v>808.33333333333337</v>
      </c>
      <c r="Q2123" s="269">
        <f>IF($W$5=0.2,P2123*1.2,P2123)/$W$4</f>
        <v>970</v>
      </c>
      <c r="R2123" s="272">
        <f>IF(AJ2123="","",(1-$W$2)*(AJ2123/1.2))</f>
        <v>1041.6666666666667</v>
      </c>
      <c r="S2123" s="69">
        <f>IF($W$5=0.2,R2123*1.2,R2123)/$W$4</f>
        <v>1250</v>
      </c>
      <c r="T2123" s="25">
        <f>IF(AK2123="","",(1-$W$2)*(AK2123/1.2))</f>
        <v>866.66666666666674</v>
      </c>
      <c r="U2123" s="269">
        <f>IF($W$5=0.2,T2123*1.2,T2123)/$W$4</f>
        <v>1040</v>
      </c>
      <c r="V2123" s="272">
        <f>IF(AL2123="","",(1-$W$2)*(AL2123/1.2))</f>
        <v>1125</v>
      </c>
      <c r="W2123" s="69">
        <f>IF($W$5=0.2,V2123*1.2,V2123)/$W$4</f>
        <v>1350</v>
      </c>
      <c r="X2123" s="22"/>
      <c r="Y2123" s="22"/>
      <c r="Z2123" s="22"/>
      <c r="AA2123" s="22"/>
      <c r="AB2123" s="22"/>
      <c r="AC2123" s="332">
        <v>600</v>
      </c>
      <c r="AD2123" s="332">
        <v>770</v>
      </c>
      <c r="AE2123" s="332">
        <v>700</v>
      </c>
      <c r="AF2123" s="332">
        <v>900</v>
      </c>
      <c r="AG2123" s="332">
        <v>850</v>
      </c>
      <c r="AH2123" s="332">
        <v>1100</v>
      </c>
      <c r="AI2123" s="332">
        <v>970</v>
      </c>
      <c r="AJ2123" s="332">
        <v>1250</v>
      </c>
      <c r="AK2123" s="332">
        <v>1040</v>
      </c>
      <c r="AL2123" s="332">
        <v>1350</v>
      </c>
      <c r="AM2123" s="334">
        <v>600</v>
      </c>
      <c r="AN2123" s="310">
        <f>AM2123/AC2123-1</f>
        <v>0</v>
      </c>
      <c r="AO2123" s="334">
        <v>770</v>
      </c>
      <c r="AP2123" s="400">
        <f>AO2123/AD2123-1</f>
        <v>0</v>
      </c>
      <c r="AQ2123" s="334">
        <v>700</v>
      </c>
      <c r="AR2123" s="400">
        <f>AQ2123/AE2123-1</f>
        <v>0</v>
      </c>
      <c r="AS2123" s="334">
        <v>900</v>
      </c>
      <c r="AT2123" s="400">
        <f>AS2123/AF2123-1</f>
        <v>0</v>
      </c>
      <c r="AU2123" s="334">
        <v>850</v>
      </c>
      <c r="AV2123" s="400">
        <f>AU2123/AG2123-1</f>
        <v>0</v>
      </c>
      <c r="AW2123" s="1">
        <v>1100</v>
      </c>
      <c r="AX2123" s="384"/>
      <c r="AZ2123" s="384"/>
      <c r="BB2123" s="384"/>
      <c r="BD2123" s="384"/>
      <c r="BF2123" s="384"/>
    </row>
    <row r="2124" spans="1:58" s="48" customFormat="1" ht="24.75" customHeight="1">
      <c r="B2124" s="54" t="str">
        <f>IF($C$1="ENG","ADJUSTABLE PANELS","ДОБІРНІ ПЛАНКИ")</f>
        <v>ДОБІРНІ ПЛАНКИ</v>
      </c>
      <c r="C2124" s="428"/>
      <c r="D2124" s="28"/>
      <c r="E2124" s="59"/>
      <c r="F2124" s="59"/>
      <c r="G2124" s="59"/>
      <c r="H2124" s="59"/>
      <c r="I2124" s="59"/>
      <c r="J2124" s="59"/>
      <c r="K2124" s="59"/>
      <c r="L2124" s="59"/>
      <c r="M2124" s="59"/>
      <c r="N2124" s="59"/>
      <c r="O2124" s="59"/>
      <c r="P2124" s="59"/>
      <c r="Q2124" s="59"/>
      <c r="R2124" s="59"/>
      <c r="S2124" s="59"/>
      <c r="T2124" s="59"/>
      <c r="U2124" s="59"/>
      <c r="V2124" s="59">
        <f t="shared" ref="V2124" si="284">V2127/100*30</f>
        <v>840</v>
      </c>
      <c r="W2124" s="59"/>
      <c r="AN2124" s="310"/>
      <c r="AP2124" s="30"/>
      <c r="AQ2124" s="56"/>
      <c r="AR2124" s="30"/>
      <c r="AS2124" s="56"/>
      <c r="AT2124" s="30"/>
      <c r="AV2124" s="1"/>
    </row>
    <row r="2125" spans="1:58" ht="34.5" customHeight="1">
      <c r="A2125" s="8"/>
      <c r="B2125" s="13" t="str">
        <f>IF($C$1="ENG","Panel (1 set) 60 mm","Планка (1 к-т) 60 мм")</f>
        <v>Планка (1 к-т) 60 мм</v>
      </c>
      <c r="C2125" s="429"/>
      <c r="D2125" s="15">
        <f>IF(AC2125="","",(1-$W$2)*(AC2125/1.2))</f>
        <v>425</v>
      </c>
      <c r="E2125" s="299">
        <f>IF($W$5=0.2,D2125*1.2,D2125)/$W$4</f>
        <v>510</v>
      </c>
      <c r="F2125" s="270">
        <f>IF(AD2125="","",(1-$W$2)*(AD2125/1.2))</f>
        <v>550</v>
      </c>
      <c r="G2125" s="64">
        <f>IF($W$5=0.2,F2125*1.2,F2125)/$W$4</f>
        <v>660</v>
      </c>
      <c r="H2125" s="15">
        <f>IF(AE2125="","",(1-$W$2)*(AE2125/1.2))</f>
        <v>491.66666666666669</v>
      </c>
      <c r="I2125" s="267">
        <f>IF($W$5=0.2,H2125*1.2,H2125)/$W$4</f>
        <v>590</v>
      </c>
      <c r="J2125" s="270">
        <f>IF(AF2125="","",(1-$W$2)*(AF2125/1.2))</f>
        <v>633.33333333333337</v>
      </c>
      <c r="K2125" s="64">
        <f>IF($W$5=0.2,J2125*1.2,J2125)/$W$4</f>
        <v>760</v>
      </c>
      <c r="L2125" s="15">
        <f>IF(AG2125="","",(1-$W$2)*(AG2125/1.2))</f>
        <v>575</v>
      </c>
      <c r="M2125" s="267">
        <f>IF($W$5=0.2,L2125*1.2,L2125)/$W$4</f>
        <v>690</v>
      </c>
      <c r="N2125" s="270">
        <f>IF(AH2125="","",(1-$W$2)*(AH2125/1.2))</f>
        <v>741.66666666666674</v>
      </c>
      <c r="O2125" s="64">
        <f>IF($W$5=0.2,N2125*1.2,N2125)/$W$4</f>
        <v>890.00000000000011</v>
      </c>
      <c r="P2125" s="15">
        <f>IF(AI2125="","",(1-$W$2)*(AI2125/1.2))</f>
        <v>658.33333333333337</v>
      </c>
      <c r="Q2125" s="267">
        <f>IF($W$5=0.2,P2125*1.2,P2125)/$W$4</f>
        <v>790</v>
      </c>
      <c r="R2125" s="270">
        <f>IF(AJ2125="","",(1-$W$2)*(AJ2125/1.2))</f>
        <v>858.33333333333337</v>
      </c>
      <c r="S2125" s="64">
        <f>IF($W$5=0.2,R2125*1.2,R2125)/$W$4</f>
        <v>1030</v>
      </c>
      <c r="T2125" s="15">
        <f>IF(AK2125="","",(1-$W$2)*(AK2125/1.2))</f>
        <v>716.66666666666674</v>
      </c>
      <c r="U2125" s="267">
        <f>IF($W$5=0.2,T2125*1.2,T2125)/$W$4</f>
        <v>860.00000000000011</v>
      </c>
      <c r="V2125" s="270">
        <f>IF(AL2125="","",(1-$W$2)*(AL2125/1.2))</f>
        <v>933.33333333333337</v>
      </c>
      <c r="W2125" s="64">
        <f>IF($W$5=0.2,V2125*1.2,V2125)/$W$4</f>
        <v>1120</v>
      </c>
      <c r="X2125" s="22"/>
      <c r="Y2125" s="22"/>
      <c r="Z2125" s="22"/>
      <c r="AA2125" s="22"/>
      <c r="AB2125" s="22"/>
      <c r="AC2125" s="332">
        <v>510</v>
      </c>
      <c r="AD2125" s="332">
        <v>660</v>
      </c>
      <c r="AE2125" s="332">
        <v>590</v>
      </c>
      <c r="AF2125" s="332">
        <v>760</v>
      </c>
      <c r="AG2125" s="332">
        <v>690</v>
      </c>
      <c r="AH2125" s="332">
        <v>890</v>
      </c>
      <c r="AI2125" s="332">
        <v>790</v>
      </c>
      <c r="AJ2125" s="332">
        <v>1030</v>
      </c>
      <c r="AK2125" s="332">
        <v>860</v>
      </c>
      <c r="AL2125" s="332">
        <v>1120</v>
      </c>
      <c r="AM2125" s="334">
        <v>510</v>
      </c>
      <c r="AN2125" s="310">
        <f>AM2125/AC2125-1</f>
        <v>0</v>
      </c>
      <c r="AO2125" s="334">
        <v>660</v>
      </c>
      <c r="AP2125" s="399">
        <f>AO2125/AD2125-1</f>
        <v>0</v>
      </c>
      <c r="AQ2125" s="334">
        <v>590</v>
      </c>
      <c r="AR2125" s="399">
        <f>AQ2125/AE2125-1</f>
        <v>0</v>
      </c>
      <c r="AS2125" s="334">
        <v>760</v>
      </c>
      <c r="AT2125" s="399">
        <f>AS2125/AF2125-1</f>
        <v>0</v>
      </c>
      <c r="AU2125" s="334">
        <v>690</v>
      </c>
      <c r="AV2125" s="399">
        <f>AU2125/AG2125-1</f>
        <v>0</v>
      </c>
      <c r="AW2125" s="1">
        <v>890</v>
      </c>
    </row>
    <row r="2126" spans="1:58" ht="34.5" customHeight="1">
      <c r="A2126" s="8"/>
      <c r="B2126" s="16" t="str">
        <f>IF($C$1="ENG","Panel (1 set) 110 mm","Планка (1 к-т) 110 мм")</f>
        <v>Планка (1 к-т) 110 мм</v>
      </c>
      <c r="C2126" s="431"/>
      <c r="D2126" s="18">
        <f>IF(AC2126="","",(1-$W$2)*(AC2126/1.2))</f>
        <v>658.33333333333337</v>
      </c>
      <c r="E2126" s="268">
        <f>IF($W$5=0.2,D2126*1.2,D2126)/$W$4</f>
        <v>790</v>
      </c>
      <c r="F2126" s="271">
        <f>IF(AD2126="","",(1-$W$2)*(AD2126/1.2))</f>
        <v>858.33333333333337</v>
      </c>
      <c r="G2126" s="66">
        <f>IF($W$5=0.2,F2126*1.2,F2126)/$W$4</f>
        <v>1030</v>
      </c>
      <c r="H2126" s="18">
        <f>IF(AE2126="","",(1-$W$2)*(AE2126/1.2))</f>
        <v>766.66666666666674</v>
      </c>
      <c r="I2126" s="268">
        <f>IF($W$5=0.2,H2126*1.2,H2126)/$W$4</f>
        <v>920.00000000000011</v>
      </c>
      <c r="J2126" s="271">
        <f>IF(AF2126="","",(1-$W$2)*(AF2126/1.2))</f>
        <v>958.33333333333337</v>
      </c>
      <c r="K2126" s="66">
        <f>IF($W$5=0.2,J2126*1.2,J2126)/$W$4</f>
        <v>1150</v>
      </c>
      <c r="L2126" s="18">
        <f>IF(AG2126="","",(1-$W$2)*(AG2126/1.2))</f>
        <v>866.66666666666674</v>
      </c>
      <c r="M2126" s="268">
        <f>IF($W$5=0.2,L2126*1.2,L2126)/$W$4</f>
        <v>1040</v>
      </c>
      <c r="N2126" s="271">
        <f>IF(AH2126="","",(1-$W$2)*(AH2126/1.2))</f>
        <v>1133.3333333333335</v>
      </c>
      <c r="O2126" s="66">
        <f>IF($W$5=0.2,N2126*1.2,N2126)/$W$4</f>
        <v>1360.0000000000002</v>
      </c>
      <c r="P2126" s="18">
        <f>IF(AI2126="","",(1-$W$2)*(AI2126/1.2))</f>
        <v>1016.6666666666667</v>
      </c>
      <c r="Q2126" s="268">
        <f>IF($W$5=0.2,P2126*1.2,P2126)/$W$4</f>
        <v>1220</v>
      </c>
      <c r="R2126" s="271">
        <f>IF(AJ2126="","",(1-$W$2)*(AJ2126/1.2))</f>
        <v>1325</v>
      </c>
      <c r="S2126" s="66">
        <f>IF($W$5=0.2,R2126*1.2,R2126)/$W$4</f>
        <v>1590</v>
      </c>
      <c r="T2126" s="18">
        <f>IF(AK2126="","",(1-$W$2)*(AK2126/1.2))</f>
        <v>1091.6666666666667</v>
      </c>
      <c r="U2126" s="268">
        <f>IF($W$5=0.2,T2126*1.2,T2126)/$W$4</f>
        <v>1310</v>
      </c>
      <c r="V2126" s="271">
        <f>IF(AL2126="","",(1-$W$2)*(AL2126/1.2))</f>
        <v>1425</v>
      </c>
      <c r="W2126" s="66">
        <f>IF($W$5=0.2,V2126*1.2,V2126)/$W$4</f>
        <v>1710</v>
      </c>
      <c r="X2126" s="22"/>
      <c r="Y2126" s="22"/>
      <c r="Z2126" s="22"/>
      <c r="AA2126" s="22"/>
      <c r="AB2126" s="22"/>
      <c r="AC2126" s="332">
        <v>790</v>
      </c>
      <c r="AD2126" s="332">
        <v>1030</v>
      </c>
      <c r="AE2126" s="332">
        <v>920</v>
      </c>
      <c r="AF2126" s="332">
        <v>1150</v>
      </c>
      <c r="AG2126" s="332">
        <v>1040</v>
      </c>
      <c r="AH2126" s="332">
        <v>1360</v>
      </c>
      <c r="AI2126" s="332">
        <v>1220</v>
      </c>
      <c r="AJ2126" s="332">
        <v>1590</v>
      </c>
      <c r="AK2126" s="332">
        <v>1310</v>
      </c>
      <c r="AL2126" s="332">
        <v>1710</v>
      </c>
      <c r="AM2126" s="334">
        <v>790</v>
      </c>
      <c r="AN2126" s="310">
        <f>AM2126/AC2126-1</f>
        <v>0</v>
      </c>
      <c r="AO2126" s="334">
        <v>1030</v>
      </c>
      <c r="AP2126" s="399">
        <f>AO2126/AD2126-1</f>
        <v>0</v>
      </c>
      <c r="AQ2126" s="334">
        <v>920</v>
      </c>
      <c r="AR2126" s="399">
        <f>AQ2126/AE2126-1</f>
        <v>0</v>
      </c>
      <c r="AS2126" s="334">
        <v>1150</v>
      </c>
      <c r="AT2126" s="399">
        <f>AS2126/AF2126-1</f>
        <v>0</v>
      </c>
      <c r="AU2126" s="334">
        <v>1040</v>
      </c>
      <c r="AV2126" s="399">
        <f>AU2126/AG2126-1</f>
        <v>0</v>
      </c>
      <c r="AW2126" s="1">
        <v>1360</v>
      </c>
    </row>
    <row r="2127" spans="1:58" ht="34.5" customHeight="1">
      <c r="A2127" s="8"/>
      <c r="B2127" s="23" t="str">
        <f>IF($C$1="ENG","Panel (1 set) 200 mm","Планка (1 к-т) 200 мм")</f>
        <v>Планка (1 к-т) 200 мм</v>
      </c>
      <c r="C2127" s="430"/>
      <c r="D2127" s="25">
        <f>IF(AC2127="","",(1-$W$2)*(AC2127/1.2))</f>
        <v>1283.3333333333335</v>
      </c>
      <c r="E2127" s="269">
        <f>IF($W$5=0.2,D2127*1.2,D2127)/$W$4</f>
        <v>1540.0000000000002</v>
      </c>
      <c r="F2127" s="272">
        <f>IF(AD2127="","",(1-$W$2)*(AD2127/1.2))</f>
        <v>1666.6666666666667</v>
      </c>
      <c r="G2127" s="69">
        <f>IF($W$5=0.2,F2127*1.2,F2127)/$W$4</f>
        <v>2000</v>
      </c>
      <c r="H2127" s="25">
        <f>IF(AE2127="","",(1-$W$2)*(AE2127/1.2))</f>
        <v>1475</v>
      </c>
      <c r="I2127" s="269">
        <f>IF($W$5=0.2,H2127*1.2,H2127)/$W$4</f>
        <v>1770</v>
      </c>
      <c r="J2127" s="272">
        <f>IF(AF2127="","",(1-$W$2)*(AF2127/1.2))</f>
        <v>1933.3333333333335</v>
      </c>
      <c r="K2127" s="69">
        <f>IF($W$5=0.2,J2127*1.2,J2127)/$W$4</f>
        <v>2320</v>
      </c>
      <c r="L2127" s="25">
        <f>IF(AG2127="","",(1-$W$2)*(AG2127/1.2))</f>
        <v>1750</v>
      </c>
      <c r="M2127" s="269">
        <f>IF($W$5=0.2,L2127*1.2,L2127)/$W$4</f>
        <v>2100</v>
      </c>
      <c r="N2127" s="272">
        <f>IF(AH2127="","",(1-$W$2)*(AH2127/1.2))</f>
        <v>2283.3333333333335</v>
      </c>
      <c r="O2127" s="69">
        <f>IF($W$5=0.2,N2127*1.2,N2127)/$W$4</f>
        <v>2740</v>
      </c>
      <c r="P2127" s="25">
        <f>IF(AI2127="","",(1-$W$2)*(AI2127/1.2))</f>
        <v>2016.6666666666667</v>
      </c>
      <c r="Q2127" s="269">
        <f>IF($W$5=0.2,P2127*1.2,P2127)/$W$4</f>
        <v>2420</v>
      </c>
      <c r="R2127" s="272">
        <f>IF(AJ2127="","",(1-$W$2)*(AJ2127/1.2))</f>
        <v>2625</v>
      </c>
      <c r="S2127" s="69">
        <f>IF($W$5=0.2,R2127*1.2,R2127)/$W$4</f>
        <v>3150</v>
      </c>
      <c r="T2127" s="25">
        <f>IF(AK2127="","",(1-$W$2)*(AK2127/1.2))</f>
        <v>2158.3333333333335</v>
      </c>
      <c r="U2127" s="269">
        <f>IF($W$5=0.2,T2127*1.2,T2127)/$W$4</f>
        <v>2590</v>
      </c>
      <c r="V2127" s="272">
        <f>IF(AL2127="","",(1-$W$2)*(AL2127/1.2))</f>
        <v>2800</v>
      </c>
      <c r="W2127" s="69">
        <f>IF($W$5=0.2,V2127*1.2,V2127)/$W$4</f>
        <v>3360</v>
      </c>
      <c r="X2127" s="22"/>
      <c r="Y2127" s="22"/>
      <c r="Z2127" s="22"/>
      <c r="AA2127" s="22"/>
      <c r="AB2127" s="22"/>
      <c r="AC2127" s="332">
        <v>1540</v>
      </c>
      <c r="AD2127" s="332">
        <v>2000</v>
      </c>
      <c r="AE2127" s="332">
        <v>1770</v>
      </c>
      <c r="AF2127" s="332">
        <v>2320</v>
      </c>
      <c r="AG2127" s="332">
        <v>2100</v>
      </c>
      <c r="AH2127" s="332">
        <v>2740</v>
      </c>
      <c r="AI2127" s="332">
        <v>2420</v>
      </c>
      <c r="AJ2127" s="332">
        <v>3150</v>
      </c>
      <c r="AK2127" s="332">
        <v>2590</v>
      </c>
      <c r="AL2127" s="332">
        <v>3360</v>
      </c>
      <c r="AM2127" s="334">
        <v>1540</v>
      </c>
      <c r="AN2127" s="310">
        <f>AM2127/AC2127-1</f>
        <v>0</v>
      </c>
      <c r="AO2127" s="334">
        <v>2000</v>
      </c>
      <c r="AP2127" s="399">
        <f>AO2127/AD2127-1</f>
        <v>0</v>
      </c>
      <c r="AQ2127" s="334">
        <v>1770</v>
      </c>
      <c r="AR2127" s="399">
        <f>AQ2127/AE2127-1</f>
        <v>0</v>
      </c>
      <c r="AS2127" s="334">
        <v>2320</v>
      </c>
      <c r="AT2127" s="399">
        <f>AS2127/AF2127-1</f>
        <v>0</v>
      </c>
      <c r="AU2127" s="334">
        <v>2100</v>
      </c>
      <c r="AV2127" s="399">
        <f>AU2127/AG2127-1</f>
        <v>0</v>
      </c>
      <c r="AW2127" s="1">
        <v>2740</v>
      </c>
    </row>
    <row r="2128" spans="1:58">
      <c r="C2128" s="245"/>
      <c r="D2128" s="26"/>
      <c r="E2128" s="57"/>
      <c r="F2128" s="10"/>
      <c r="G2128" s="87"/>
      <c r="H2128" s="10"/>
      <c r="I2128" s="84"/>
      <c r="J2128" s="8"/>
      <c r="K2128" s="84"/>
      <c r="L2128" s="48"/>
      <c r="M2128" s="48"/>
      <c r="N2128" s="48"/>
      <c r="O2128" s="48"/>
      <c r="P2128" s="48"/>
      <c r="Q2128" s="48"/>
      <c r="R2128" s="48"/>
      <c r="S2128" s="48"/>
    </row>
    <row r="2129" spans="2:38">
      <c r="B2129" s="212" t="str">
        <f>IF($C$1="ENG","For additonal charge:","Послуги за додаткову плату:")</f>
        <v>Послуги за додаткову плату:</v>
      </c>
      <c r="C2129" s="421"/>
      <c r="D2129" s="213"/>
      <c r="E2129" s="214"/>
      <c r="F2129" s="39"/>
      <c r="G2129" s="39"/>
      <c r="H2129" s="10"/>
      <c r="I2129" s="84"/>
      <c r="J2129" s="8"/>
      <c r="K2129" s="8"/>
      <c r="L2129" s="105"/>
      <c r="M2129" s="84"/>
      <c r="N2129" s="105"/>
      <c r="P2129" s="105"/>
      <c r="Q2129" s="84"/>
      <c r="R2129" s="105"/>
      <c r="U2129" s="84"/>
    </row>
    <row r="2130" spans="2:38" ht="5.0999999999999996" customHeight="1">
      <c r="B2130" s="27"/>
      <c r="C2130" s="245"/>
      <c r="D2130" s="26"/>
      <c r="E2130" s="57"/>
      <c r="F2130" s="26"/>
      <c r="G2130" s="26"/>
      <c r="H2130" s="10"/>
      <c r="I2130" s="8"/>
      <c r="J2130" s="8"/>
      <c r="K2130" s="8"/>
      <c r="M2130" s="8"/>
      <c r="Q2130" s="8"/>
      <c r="U2130" s="8"/>
    </row>
    <row r="2131" spans="2:38">
      <c r="B2131" s="485" t="str">
        <f>IF($C$1="ENG","third door hindge","третя завіса")</f>
        <v>третя завіса</v>
      </c>
      <c r="C2131" s="486"/>
      <c r="D2131" s="15">
        <f>IF(AC2131="","",(1-$W$2)*(AC2131/1.2))</f>
        <v>66.666666666666671</v>
      </c>
      <c r="E2131" s="64">
        <f>IF($W$5=0.2,D2131*1.2,D2131)/$W$4</f>
        <v>80</v>
      </c>
      <c r="F2131" s="26"/>
      <c r="G2131" s="26"/>
      <c r="H2131" s="10"/>
      <c r="I2131" s="84"/>
      <c r="J2131" s="8"/>
      <c r="K2131" s="26"/>
      <c r="L2131" s="105"/>
      <c r="M2131" s="84"/>
      <c r="N2131" s="105"/>
      <c r="O2131" s="26"/>
      <c r="P2131" s="105"/>
      <c r="Q2131" s="84"/>
      <c r="R2131" s="105"/>
      <c r="S2131" s="26"/>
      <c r="U2131" s="84"/>
      <c r="W2131" s="26"/>
      <c r="AC2131" s="298">
        <v>80</v>
      </c>
      <c r="AD2131" s="289"/>
      <c r="AE2131" s="289">
        <f>AD2131/AC2131-1</f>
        <v>-1</v>
      </c>
      <c r="AF2131" s="289"/>
      <c r="AG2131" s="289"/>
      <c r="AH2131" s="289"/>
      <c r="AI2131" s="289"/>
      <c r="AJ2131" s="289"/>
      <c r="AK2131" s="289"/>
      <c r="AL2131" s="289"/>
    </row>
    <row r="2132" spans="2:38">
      <c r="B2132" s="485" t="str">
        <f>IF($C$1="ENG","wooden door threshold","поріг сосновий")</f>
        <v>поріг сосновий</v>
      </c>
      <c r="C2132" s="486"/>
      <c r="D2132" s="25">
        <f>IF(AC2132="","",(1-$W$2)*(AC2132/1.2))</f>
        <v>458.33333333333337</v>
      </c>
      <c r="E2132" s="69">
        <f>IF($W$5=0.2,D2132*1.2,D2132)/$W$4</f>
        <v>550</v>
      </c>
      <c r="F2132" s="26"/>
      <c r="G2132" s="26"/>
      <c r="I2132" s="20"/>
      <c r="K2132" s="26"/>
      <c r="M2132" s="20"/>
      <c r="O2132" s="26"/>
      <c r="Q2132" s="20"/>
      <c r="S2132" s="26"/>
      <c r="U2132" s="20"/>
      <c r="W2132" s="26"/>
      <c r="AC2132" s="332">
        <v>550</v>
      </c>
      <c r="AD2132" s="289"/>
      <c r="AE2132" s="289">
        <f>AD2132/AC2132-1</f>
        <v>-1</v>
      </c>
      <c r="AF2132" s="289"/>
      <c r="AG2132" s="289"/>
      <c r="AH2132" s="289"/>
      <c r="AI2132" s="289"/>
      <c r="AJ2132" s="289"/>
      <c r="AK2132" s="289"/>
      <c r="AL2132" s="289"/>
    </row>
    <row r="2133" spans="2:38" ht="14.25" customHeight="1">
      <c r="M2133" s="20"/>
      <c r="Q2133" s="20"/>
      <c r="T2133" s="489" t="str">
        <f>IF($C$1="ENG",CONCATENATE("down to: ",B2183),CONCATENATE("вниз до: ",B2183))</f>
        <v>вниз до: Дверна коробка Verto-FIT</v>
      </c>
      <c r="U2133" s="489"/>
      <c r="V2133" s="489"/>
      <c r="W2133" s="489"/>
    </row>
    <row r="2134" spans="2:38" ht="14.25" customHeight="1">
      <c r="C2134" s="245"/>
      <c r="D2134" s="26"/>
      <c r="E2134" s="26"/>
      <c r="F2134" s="26"/>
      <c r="G2134" s="26"/>
      <c r="H2134" s="5"/>
      <c r="I2134" s="20"/>
      <c r="M2134" s="20"/>
      <c r="O2134" s="57"/>
      <c r="Q2134" s="20"/>
      <c r="S2134" s="57"/>
      <c r="T2134" s="33"/>
      <c r="U2134" s="20"/>
      <c r="V2134" s="33"/>
      <c r="W2134" s="33"/>
    </row>
    <row r="2135" spans="2:38" ht="14.25" customHeight="1">
      <c r="C2135" s="245"/>
      <c r="D2135" s="26"/>
      <c r="E2135" s="26"/>
      <c r="F2135" s="26"/>
      <c r="G2135" s="57"/>
      <c r="H2135" s="5"/>
      <c r="I2135" s="20"/>
      <c r="K2135" s="57"/>
      <c r="M2135" s="57"/>
      <c r="O2135" s="57"/>
      <c r="Q2135" s="57"/>
      <c r="S2135" s="57"/>
      <c r="T2135" s="33"/>
      <c r="U2135" s="33"/>
      <c r="V2135" s="33"/>
      <c r="W2135" s="57"/>
    </row>
    <row r="2136" spans="2:38" ht="14.25" customHeight="1">
      <c r="C2136" s="245"/>
      <c r="D2136" s="26"/>
      <c r="E2136" s="57"/>
      <c r="F2136" s="26"/>
      <c r="G2136" s="57"/>
      <c r="H2136" s="5"/>
      <c r="I2136" s="57"/>
      <c r="K2136" s="57"/>
      <c r="L2136" s="279"/>
      <c r="O2136" s="57"/>
      <c r="P2136" s="279"/>
      <c r="S2136" s="57"/>
      <c r="T2136" s="279"/>
      <c r="U2136" s="33"/>
      <c r="V2136" s="33"/>
      <c r="W2136" s="57"/>
      <c r="X2136" s="279"/>
      <c r="Y2136" s="279"/>
      <c r="Z2136" s="279"/>
      <c r="AA2136" s="279"/>
      <c r="AB2136" s="279"/>
    </row>
    <row r="2137" spans="2:38" ht="14.25" customHeight="1">
      <c r="C2137" s="245"/>
      <c r="D2137" s="26"/>
      <c r="E2137" s="26"/>
      <c r="F2137" s="26"/>
      <c r="G2137" s="57"/>
      <c r="H2137" s="279"/>
      <c r="K2137" s="57"/>
      <c r="L2137" s="279"/>
      <c r="O2137" s="26"/>
      <c r="P2137" s="279"/>
      <c r="S2137" s="26"/>
      <c r="T2137" s="279"/>
      <c r="U2137" s="33"/>
      <c r="V2137" s="33"/>
      <c r="W2137" s="26"/>
      <c r="X2137" s="279"/>
      <c r="Y2137" s="279"/>
      <c r="Z2137" s="279"/>
      <c r="AA2137" s="279"/>
      <c r="AB2137" s="279"/>
    </row>
    <row r="2138" spans="2:38" ht="14.25" customHeight="1">
      <c r="C2138" s="245"/>
      <c r="D2138" s="26"/>
      <c r="E2138" s="26"/>
      <c r="F2138" s="26"/>
      <c r="G2138" s="26"/>
      <c r="H2138" s="279"/>
      <c r="K2138" s="26"/>
      <c r="M2138" s="57"/>
      <c r="O2138" s="57"/>
      <c r="Q2138" s="57"/>
      <c r="S2138" s="57"/>
      <c r="T2138" s="33"/>
      <c r="U2138" s="33"/>
      <c r="V2138" s="33"/>
      <c r="W2138" s="57"/>
      <c r="X2138" s="5"/>
      <c r="Y2138" s="5"/>
      <c r="Z2138" s="5"/>
      <c r="AA2138" s="5"/>
      <c r="AB2138" s="5"/>
    </row>
    <row r="2139" spans="2:38" ht="14.25" customHeight="1">
      <c r="C2139" s="245"/>
      <c r="D2139" s="26"/>
      <c r="E2139" s="26"/>
      <c r="F2139" s="26"/>
      <c r="G2139" s="57"/>
      <c r="H2139" s="5"/>
      <c r="I2139" s="57"/>
      <c r="K2139" s="57"/>
      <c r="L2139" s="279"/>
      <c r="O2139" s="57"/>
      <c r="P2139" s="279"/>
      <c r="S2139" s="57"/>
      <c r="T2139" s="279"/>
      <c r="U2139" s="33"/>
      <c r="V2139" s="33"/>
      <c r="W2139" s="57"/>
      <c r="X2139" s="279"/>
      <c r="Y2139" s="279"/>
      <c r="Z2139" s="279"/>
      <c r="AA2139" s="279"/>
      <c r="AB2139" s="279"/>
    </row>
    <row r="2140" spans="2:38" ht="14.25" customHeight="1">
      <c r="C2140" s="245"/>
      <c r="D2140" s="26"/>
      <c r="E2140" s="26"/>
      <c r="F2140" s="26"/>
      <c r="G2140" s="57"/>
      <c r="H2140" s="279"/>
      <c r="K2140" s="57"/>
      <c r="L2140" s="279"/>
      <c r="O2140" s="26"/>
      <c r="P2140" s="279"/>
      <c r="S2140" s="26"/>
      <c r="T2140" s="279"/>
      <c r="U2140" s="33"/>
      <c r="V2140" s="33"/>
      <c r="W2140" s="26"/>
      <c r="X2140" s="279"/>
      <c r="Y2140" s="279"/>
      <c r="Z2140" s="279"/>
      <c r="AA2140" s="279"/>
      <c r="AB2140" s="279"/>
    </row>
    <row r="2141" spans="2:38" ht="14.25" customHeight="1">
      <c r="C2141" s="245"/>
      <c r="D2141" s="26"/>
      <c r="E2141" s="26"/>
      <c r="F2141" s="26"/>
      <c r="G2141" s="26"/>
      <c r="H2141" s="279"/>
      <c r="K2141" s="26"/>
    </row>
    <row r="2142" spans="2:38" ht="14.25" customHeight="1">
      <c r="C2142" s="245"/>
      <c r="D2142" s="26"/>
      <c r="E2142" s="26"/>
      <c r="F2142" s="26"/>
      <c r="G2142" s="26"/>
      <c r="H2142" s="5"/>
    </row>
    <row r="2143" spans="2:38" ht="14.25" customHeight="1">
      <c r="C2143" s="245"/>
      <c r="D2143" s="26"/>
      <c r="E2143" s="26"/>
      <c r="F2143" s="26"/>
      <c r="G2143" s="26"/>
      <c r="H2143" s="5"/>
    </row>
    <row r="2144" spans="2:38" ht="14.25" customHeight="1">
      <c r="C2144" s="245"/>
      <c r="D2144" s="26"/>
      <c r="E2144" s="26"/>
      <c r="F2144" s="26"/>
      <c r="G2144" s="26"/>
      <c r="H2144" s="5"/>
    </row>
    <row r="2145" spans="3:8" ht="14.25" customHeight="1">
      <c r="C2145" s="245"/>
      <c r="D2145" s="26"/>
      <c r="E2145" s="26"/>
      <c r="F2145" s="26"/>
      <c r="G2145" s="26"/>
      <c r="H2145" s="5"/>
    </row>
    <row r="2146" spans="3:8" ht="14.25" customHeight="1">
      <c r="C2146" s="245"/>
      <c r="D2146" s="26"/>
      <c r="E2146" s="26"/>
      <c r="F2146" s="26"/>
      <c r="G2146" s="26"/>
      <c r="H2146" s="5"/>
    </row>
    <row r="2147" spans="3:8" ht="14.25" customHeight="1">
      <c r="C2147" s="245"/>
      <c r="D2147" s="26"/>
      <c r="E2147" s="26"/>
      <c r="F2147" s="26"/>
      <c r="G2147" s="26"/>
      <c r="H2147" s="5"/>
    </row>
    <row r="2148" spans="3:8" ht="14.25" customHeight="1">
      <c r="C2148" s="245"/>
      <c r="D2148" s="26"/>
      <c r="E2148" s="26"/>
      <c r="F2148" s="26"/>
      <c r="G2148" s="26"/>
      <c r="H2148" s="5"/>
    </row>
    <row r="2149" spans="3:8" ht="14.25" customHeight="1">
      <c r="C2149" s="245"/>
      <c r="D2149" s="26"/>
      <c r="E2149" s="26"/>
      <c r="F2149" s="26"/>
      <c r="G2149" s="26"/>
      <c r="H2149" s="5"/>
    </row>
    <row r="2150" spans="3:8" ht="14.25" customHeight="1">
      <c r="C2150" s="245"/>
      <c r="D2150" s="26"/>
      <c r="E2150" s="26"/>
      <c r="F2150" s="26"/>
      <c r="G2150" s="26"/>
      <c r="H2150" s="5"/>
    </row>
    <row r="2151" spans="3:8" ht="14.25" customHeight="1">
      <c r="C2151" s="245"/>
      <c r="D2151" s="26"/>
      <c r="E2151" s="26"/>
      <c r="F2151" s="26"/>
      <c r="G2151" s="26"/>
      <c r="H2151" s="5"/>
    </row>
    <row r="2152" spans="3:8" ht="14.25" customHeight="1">
      <c r="C2152" s="245"/>
      <c r="D2152" s="26"/>
      <c r="E2152" s="26"/>
      <c r="F2152" s="26"/>
      <c r="G2152" s="26"/>
      <c r="H2152" s="5"/>
    </row>
    <row r="2153" spans="3:8" ht="14.25" customHeight="1">
      <c r="C2153" s="245"/>
      <c r="D2153" s="26"/>
      <c r="E2153" s="26"/>
      <c r="F2153" s="26"/>
      <c r="G2153" s="26"/>
      <c r="H2153" s="5"/>
    </row>
    <row r="2154" spans="3:8" ht="14.25" customHeight="1">
      <c r="C2154" s="245"/>
      <c r="D2154" s="26"/>
      <c r="E2154" s="26"/>
      <c r="F2154" s="26"/>
      <c r="G2154" s="26"/>
      <c r="H2154" s="5"/>
    </row>
    <row r="2155" spans="3:8" ht="14.25" customHeight="1">
      <c r="C2155" s="245"/>
      <c r="D2155" s="26"/>
      <c r="E2155" s="26"/>
      <c r="F2155" s="26"/>
      <c r="G2155" s="26"/>
      <c r="H2155" s="5"/>
    </row>
    <row r="2156" spans="3:8" ht="14.25" customHeight="1">
      <c r="C2156" s="245"/>
      <c r="D2156" s="26"/>
      <c r="E2156" s="26"/>
      <c r="F2156" s="26"/>
      <c r="G2156" s="26"/>
      <c r="H2156" s="5"/>
    </row>
    <row r="2157" spans="3:8" ht="14.25" customHeight="1">
      <c r="C2157" s="245"/>
      <c r="D2157" s="26"/>
      <c r="E2157" s="26"/>
      <c r="F2157" s="26"/>
      <c r="G2157" s="26"/>
      <c r="H2157" s="5"/>
    </row>
    <row r="2158" spans="3:8" ht="14.25" customHeight="1">
      <c r="C2158" s="245"/>
      <c r="D2158" s="26"/>
      <c r="E2158" s="26"/>
      <c r="F2158" s="26"/>
      <c r="G2158" s="26"/>
      <c r="H2158" s="5"/>
    </row>
    <row r="2159" spans="3:8" ht="14.25" customHeight="1">
      <c r="C2159" s="245"/>
      <c r="D2159" s="26"/>
      <c r="E2159" s="26"/>
      <c r="F2159" s="26"/>
      <c r="G2159" s="26"/>
      <c r="H2159" s="5"/>
    </row>
    <row r="2160" spans="3:8" ht="14.25" customHeight="1">
      <c r="C2160" s="245"/>
      <c r="D2160" s="26"/>
      <c r="E2160" s="26"/>
      <c r="F2160" s="26"/>
      <c r="G2160" s="26"/>
      <c r="H2160" s="5"/>
    </row>
    <row r="2161" spans="3:23" ht="14.25" customHeight="1">
      <c r="C2161" s="245"/>
      <c r="D2161" s="26"/>
      <c r="E2161" s="26"/>
      <c r="F2161" s="26"/>
      <c r="G2161" s="26"/>
      <c r="H2161" s="5"/>
    </row>
    <row r="2162" spans="3:23" ht="14.25" customHeight="1">
      <c r="C2162" s="245"/>
      <c r="D2162" s="26"/>
      <c r="E2162" s="26"/>
      <c r="F2162" s="26"/>
      <c r="G2162" s="26"/>
      <c r="H2162" s="5"/>
    </row>
    <row r="2163" spans="3:23" ht="14.25" customHeight="1">
      <c r="C2163" s="245"/>
      <c r="D2163" s="26"/>
      <c r="E2163" s="26"/>
      <c r="F2163" s="26"/>
      <c r="G2163" s="26"/>
      <c r="H2163" s="5"/>
    </row>
    <row r="2164" spans="3:23" ht="14.25" customHeight="1">
      <c r="C2164" s="245"/>
      <c r="D2164" s="26"/>
      <c r="E2164" s="26"/>
      <c r="F2164" s="26"/>
      <c r="G2164" s="26"/>
      <c r="H2164" s="5"/>
    </row>
    <row r="2165" spans="3:23" ht="14.25" customHeight="1">
      <c r="C2165" s="245"/>
      <c r="D2165" s="26"/>
      <c r="E2165" s="26"/>
      <c r="F2165" s="26"/>
      <c r="G2165" s="26"/>
      <c r="H2165" s="5"/>
    </row>
    <row r="2166" spans="3:23" ht="14.25" customHeight="1">
      <c r="C2166" s="245"/>
      <c r="D2166" s="26"/>
      <c r="E2166" s="26"/>
      <c r="F2166" s="26"/>
      <c r="G2166" s="26"/>
      <c r="H2166" s="5"/>
    </row>
    <row r="2167" spans="3:23" ht="14.25" customHeight="1">
      <c r="C2167" s="245"/>
      <c r="D2167" s="26"/>
      <c r="E2167" s="26"/>
      <c r="F2167" s="26"/>
      <c r="G2167" s="26"/>
      <c r="H2167" s="5"/>
    </row>
    <row r="2168" spans="3:23" ht="14.25" customHeight="1">
      <c r="C2168" s="245"/>
      <c r="D2168" s="26"/>
      <c r="E2168" s="26"/>
      <c r="F2168" s="26"/>
      <c r="G2168" s="26"/>
      <c r="H2168" s="5"/>
    </row>
    <row r="2169" spans="3:23" ht="14.25" customHeight="1">
      <c r="C2169" s="245"/>
      <c r="D2169" s="26"/>
      <c r="E2169" s="26"/>
      <c r="F2169" s="26"/>
      <c r="G2169" s="57"/>
      <c r="H2169" s="5"/>
      <c r="K2169" s="57"/>
      <c r="O2169" s="57"/>
      <c r="S2169" s="57"/>
      <c r="W2169" s="57"/>
    </row>
    <row r="2170" spans="3:23" ht="14.25" customHeight="1">
      <c r="C2170" s="245"/>
      <c r="D2170" s="26"/>
      <c r="E2170" s="26"/>
      <c r="F2170" s="26"/>
      <c r="G2170" s="57"/>
      <c r="H2170" s="5"/>
      <c r="K2170" s="57"/>
      <c r="O2170" s="57"/>
      <c r="S2170" s="57"/>
      <c r="W2170" s="57"/>
    </row>
    <row r="2171" spans="3:23" ht="14.25" customHeight="1">
      <c r="C2171" s="245"/>
      <c r="D2171" s="26"/>
      <c r="E2171" s="26"/>
      <c r="F2171" s="26"/>
      <c r="G2171" s="57"/>
      <c r="H2171" s="5"/>
      <c r="K2171" s="57"/>
      <c r="O2171" s="57"/>
      <c r="S2171" s="57"/>
      <c r="W2171" s="57"/>
    </row>
    <row r="2172" spans="3:23" ht="14.25" customHeight="1">
      <c r="C2172" s="245"/>
      <c r="D2172" s="26"/>
      <c r="E2172" s="26"/>
      <c r="F2172" s="26"/>
      <c r="G2172" s="57"/>
      <c r="H2172" s="5"/>
      <c r="K2172" s="57"/>
      <c r="O2172" s="57"/>
      <c r="S2172" s="57"/>
      <c r="W2172" s="57"/>
    </row>
    <row r="2173" spans="3:23" ht="14.25" customHeight="1">
      <c r="C2173" s="245"/>
      <c r="D2173" s="26"/>
      <c r="E2173" s="26"/>
      <c r="F2173" s="26"/>
      <c r="G2173" s="57"/>
      <c r="H2173" s="5"/>
      <c r="K2173" s="57"/>
      <c r="O2173" s="57"/>
      <c r="S2173" s="57"/>
      <c r="W2173" s="57"/>
    </row>
    <row r="2174" spans="3:23" ht="14.25" customHeight="1">
      <c r="C2174" s="245"/>
      <c r="D2174" s="26"/>
      <c r="E2174" s="26"/>
      <c r="F2174" s="26"/>
      <c r="G2174" s="57"/>
      <c r="H2174" s="5"/>
      <c r="K2174" s="57"/>
      <c r="O2174" s="57"/>
      <c r="S2174" s="57"/>
      <c r="W2174" s="57"/>
    </row>
    <row r="2175" spans="3:23" ht="14.25" customHeight="1">
      <c r="C2175" s="245"/>
      <c r="D2175" s="26"/>
      <c r="E2175" s="26"/>
      <c r="F2175" s="26"/>
      <c r="G2175" s="57"/>
      <c r="H2175" s="5"/>
      <c r="K2175" s="57"/>
      <c r="O2175" s="57"/>
      <c r="S2175" s="57"/>
      <c r="W2175" s="57"/>
    </row>
    <row r="2176" spans="3:23" ht="14.25" customHeight="1">
      <c r="C2176" s="245"/>
      <c r="D2176" s="26"/>
      <c r="E2176" s="26"/>
      <c r="F2176" s="26"/>
      <c r="G2176" s="57"/>
      <c r="H2176" s="5"/>
      <c r="K2176" s="57"/>
      <c r="O2176" s="57"/>
      <c r="S2176" s="57"/>
      <c r="W2176" s="57"/>
    </row>
    <row r="2177" spans="1:58" ht="14.25" customHeight="1">
      <c r="C2177" s="245"/>
      <c r="D2177" s="26"/>
      <c r="E2177" s="26"/>
      <c r="F2177" s="26"/>
      <c r="G2177" s="57"/>
      <c r="H2177" s="5"/>
      <c r="K2177" s="57"/>
      <c r="O2177" s="57"/>
      <c r="S2177" s="57"/>
      <c r="W2177" s="57"/>
    </row>
    <row r="2178" spans="1:58" ht="14.25" customHeight="1">
      <c r="C2178" s="245"/>
      <c r="D2178" s="26"/>
      <c r="E2178" s="26"/>
      <c r="F2178" s="26"/>
      <c r="G2178" s="57"/>
      <c r="H2178" s="5"/>
      <c r="K2178" s="57"/>
      <c r="O2178" s="57"/>
      <c r="S2178" s="57"/>
      <c r="W2178" s="57"/>
    </row>
    <row r="2179" spans="1:58" ht="14.25" customHeight="1">
      <c r="C2179" s="245"/>
      <c r="D2179" s="26"/>
      <c r="E2179" s="26"/>
      <c r="F2179" s="26"/>
      <c r="G2179" s="57"/>
      <c r="H2179" s="5"/>
      <c r="K2179" s="57"/>
      <c r="O2179" s="57"/>
      <c r="S2179" s="57"/>
      <c r="W2179" s="57"/>
    </row>
    <row r="2180" spans="1:58" ht="14.25" customHeight="1">
      <c r="C2180" s="245"/>
      <c r="D2180" s="26"/>
      <c r="E2180" s="26"/>
      <c r="F2180" s="26"/>
      <c r="G2180" s="57"/>
      <c r="H2180" s="5"/>
      <c r="K2180" s="57"/>
      <c r="O2180" s="57"/>
      <c r="S2180" s="57"/>
      <c r="W2180" s="57"/>
    </row>
    <row r="2181" spans="1:58" ht="14.25" customHeight="1">
      <c r="C2181" s="245"/>
      <c r="D2181" s="26"/>
      <c r="E2181" s="57"/>
      <c r="F2181" s="26"/>
      <c r="G2181" s="57"/>
      <c r="H2181" s="5"/>
      <c r="K2181" s="57"/>
      <c r="O2181" s="57"/>
      <c r="S2181" s="57"/>
      <c r="W2181" s="57"/>
    </row>
    <row r="2182" spans="1:58" ht="14.25" customHeight="1">
      <c r="C2182" s="245"/>
      <c r="D2182" s="58"/>
      <c r="E2182" s="58"/>
      <c r="F2182" s="58"/>
      <c r="G2182" s="58"/>
      <c r="H2182" s="58"/>
      <c r="I2182" s="58"/>
      <c r="J2182" s="58"/>
      <c r="K2182" s="58"/>
      <c r="L2182" s="58"/>
      <c r="M2182" s="58"/>
      <c r="N2182" s="58"/>
      <c r="O2182" s="58"/>
      <c r="P2182" s="58"/>
      <c r="Q2182" s="58"/>
      <c r="R2182" s="58"/>
      <c r="S2182" s="58"/>
      <c r="T2182" s="58"/>
      <c r="U2182" s="58"/>
      <c r="V2182" s="58">
        <f t="shared" ref="V2182" si="285">V2196/100*40</f>
        <v>2806.666666666667</v>
      </c>
      <c r="W2182" s="58"/>
    </row>
    <row r="2183" spans="1:58" s="8" customFormat="1">
      <c r="B2183" s="471" t="str">
        <f>TITLE!$C$42</f>
        <v>Дверна коробка Verto-FIT</v>
      </c>
      <c r="C2183" s="451"/>
      <c r="D2183" s="118"/>
      <c r="E2183" s="474" t="str">
        <f>IF($C$1="ENG","For Door Leafs with Rebbit","Для Дверних Полотен с Фальцем")</f>
        <v>Для Дверних Полотен с Фальцем</v>
      </c>
      <c r="F2183" s="474"/>
      <c r="G2183" s="474"/>
      <c r="H2183" s="474"/>
      <c r="I2183" s="474"/>
      <c r="J2183" s="474"/>
      <c r="K2183" s="474"/>
      <c r="L2183" s="455"/>
      <c r="M2183" s="455"/>
      <c r="N2183" s="455"/>
      <c r="O2183" s="455"/>
      <c r="P2183" s="455"/>
      <c r="Q2183" s="455"/>
      <c r="R2183" s="455"/>
      <c r="S2183" s="455"/>
      <c r="T2183" s="462" t="str">
        <f>IF($C$1="ENG",CONCATENATE("up to: ",B2115),CONCATENATE("вгору до: ",B2115))</f>
        <v>вгору до: Дверна коробка STANDARD</v>
      </c>
      <c r="U2183" s="462"/>
      <c r="V2183" s="462"/>
      <c r="W2183" s="462"/>
      <c r="AC2183" s="1"/>
      <c r="AF2183" s="1"/>
      <c r="AN2183" s="280"/>
      <c r="AO2183" s="280"/>
      <c r="AP2183" s="280"/>
      <c r="AQ2183" s="280"/>
      <c r="AR2183" s="280"/>
      <c r="AS2183" s="280"/>
      <c r="AT2183" s="280"/>
    </row>
    <row r="2184" spans="1:58" s="8" customFormat="1" ht="5.0999999999999996" customHeight="1">
      <c r="C2184" s="424"/>
      <c r="T2184" s="116"/>
      <c r="U2184" s="116"/>
      <c r="V2184" s="116"/>
      <c r="W2184" s="116"/>
      <c r="AC2184" s="1"/>
      <c r="AF2184" s="1"/>
      <c r="AN2184" s="280"/>
      <c r="AO2184" s="280"/>
      <c r="AP2184" s="280"/>
      <c r="AQ2184" s="280"/>
      <c r="AR2184" s="280"/>
      <c r="AS2184" s="280"/>
      <c r="AT2184" s="280"/>
    </row>
    <row r="2185" spans="1:58" ht="12.75" customHeight="1">
      <c r="A2185" s="8"/>
      <c r="B2185" s="307" t="str">
        <f>IF($C$1="ENG","model","модель")</f>
        <v>модель</v>
      </c>
      <c r="C2185" s="122" t="str">
        <f>IF($C$1="ENG","cover:","покриття:")</f>
        <v>покриття:</v>
      </c>
      <c r="D2185" s="458" t="str">
        <f>IF($C$1="ENG","SIMPLEX / VERTO-CELL / ","SIMPLEX / VERTO-CELL ")</f>
        <v xml:space="preserve">SIMPLEX / VERTO-CELL </v>
      </c>
      <c r="E2185" s="473"/>
      <c r="F2185" s="473"/>
      <c r="G2185" s="459"/>
      <c r="H2185" s="458" t="str">
        <f>IF($C$1="ENG","UNI-MAT","UNI-MAT")</f>
        <v>UNI-MAT</v>
      </c>
      <c r="I2185" s="473"/>
      <c r="J2185" s="473"/>
      <c r="K2185" s="459"/>
      <c r="L2185" s="458" t="str">
        <f>IF($C$1="ENG","RESIST","RESIST")</f>
        <v>RESIST</v>
      </c>
      <c r="M2185" s="473"/>
      <c r="N2185" s="473"/>
      <c r="O2185" s="459"/>
      <c r="P2185" s="458" t="str">
        <f>IF($C$1="ENG","Verto LINE-3D","Verto LINE-3D")</f>
        <v>Verto LINE-3D</v>
      </c>
      <c r="Q2185" s="473"/>
      <c r="R2185" s="473"/>
      <c r="S2185" s="459"/>
      <c r="T2185" s="458" t="str">
        <f>IF($C$1="ENG","ECO Shpon / LOFT","ЕКО Шпон / LOFT")</f>
        <v>ЕКО Шпон / LOFT</v>
      </c>
      <c r="U2185" s="473"/>
      <c r="V2185" s="473"/>
      <c r="W2185" s="459"/>
      <c r="AM2185" s="385"/>
      <c r="AO2185" s="384"/>
    </row>
    <row r="2186" spans="1:58" ht="12.75" customHeight="1">
      <c r="A2186" s="8"/>
      <c r="B2186" s="308"/>
      <c r="C2186" s="124" t="str">
        <f>IF($C$1="ENG","type:","виконання:")</f>
        <v>виконання:</v>
      </c>
      <c r="D2186" s="449" t="str">
        <f>IF($C$1="ENG","single leaf","одностулкове")</f>
        <v>одностулкове</v>
      </c>
      <c r="E2186" s="468"/>
      <c r="F2186" s="487" t="str">
        <f>IF($C$1="ENG","double leaf","двостулкові")</f>
        <v>двостулкові</v>
      </c>
      <c r="G2186" s="450"/>
      <c r="H2186" s="449" t="str">
        <f>IF($C$1="ENG","single leaf","одностулкове")</f>
        <v>одностулкове</v>
      </c>
      <c r="I2186" s="468"/>
      <c r="J2186" s="487" t="str">
        <f>IF($C$1="ENG","double leaf","двостулкові")</f>
        <v>двостулкові</v>
      </c>
      <c r="K2186" s="450"/>
      <c r="L2186" s="449" t="str">
        <f>IF($C$1="ENG","single leaf","одностулкове")</f>
        <v>одностулкове</v>
      </c>
      <c r="M2186" s="468"/>
      <c r="N2186" s="490" t="str">
        <f>IF($C$1="ENG","double leaf","двостулкові")</f>
        <v>двостулкові</v>
      </c>
      <c r="O2186" s="450"/>
      <c r="P2186" s="449" t="str">
        <f>IF($C$1="ENG","single leaf","одностулкове")</f>
        <v>одностулкове</v>
      </c>
      <c r="Q2186" s="468"/>
      <c r="R2186" s="490" t="str">
        <f>IF($C$1="ENG","double leaf","двостулкові")</f>
        <v>двостулкові</v>
      </c>
      <c r="S2186" s="450"/>
      <c r="T2186" s="449" t="str">
        <f>IF($C$1="ENG","single leaf","одностулкове")</f>
        <v>одностулкове</v>
      </c>
      <c r="U2186" s="468"/>
      <c r="V2186" s="490" t="str">
        <f>IF($C$1="ENG","double leaf","двостулкові")</f>
        <v>двостулкові</v>
      </c>
      <c r="W2186" s="490"/>
      <c r="X2186" s="48"/>
      <c r="Y2186" s="48"/>
      <c r="Z2186" s="48"/>
      <c r="AA2186" s="48"/>
      <c r="AE2186" s="1">
        <f>AE2187/AC2187-1</f>
        <v>0.15436241610738266</v>
      </c>
      <c r="AM2186" s="385"/>
    </row>
    <row r="2187" spans="1:58" ht="12.75" customHeight="1">
      <c r="A2187" s="8"/>
      <c r="B2187" s="13" t="str">
        <f>IF($C$1="ENG","A (75 - 95 mm)","A (75 - 95 мм)")</f>
        <v>A (75 - 95 мм)</v>
      </c>
      <c r="C2187" s="426"/>
      <c r="D2187" s="15">
        <f t="shared" ref="D2187:D2196" si="286">IF(AC2187="","",(1-$W$2)*(AC2187/1.2))</f>
        <v>2483.3333333333335</v>
      </c>
      <c r="E2187" s="267">
        <f t="shared" ref="E2187:E2196" si="287">IF($W$5=0.2,D2187*1.2,D2187)/$W$4</f>
        <v>2980</v>
      </c>
      <c r="F2187" s="270">
        <f t="shared" ref="F2187:F2196" si="288">IF(AD2187="","",(1-$W$2)*(AD2187/1.2))</f>
        <v>3475</v>
      </c>
      <c r="G2187" s="64">
        <f t="shared" ref="G2187:G2196" si="289">IF($W$5=0.2,F2187*1.2,F2187)/$W$4</f>
        <v>4170</v>
      </c>
      <c r="H2187" s="15">
        <f t="shared" ref="H2187:H2196" si="290">IF(AE2187="","",(1-$W$2)*(AE2187/1.2))</f>
        <v>2866.666666666667</v>
      </c>
      <c r="I2187" s="267">
        <f t="shared" ref="I2187:I2196" si="291">IF($W$5=0.2,H2187*1.2,H2187)/$W$4</f>
        <v>3440.0000000000005</v>
      </c>
      <c r="J2187" s="270">
        <f t="shared" ref="J2187:J2196" si="292">IF(AF2187="","",(1-$W$2)*(AF2187/1.2))</f>
        <v>4016.666666666667</v>
      </c>
      <c r="K2187" s="64">
        <f t="shared" ref="K2187:K2196" si="293">IF($W$5=0.2,J2187*1.2,J2187)/$W$4</f>
        <v>4820</v>
      </c>
      <c r="L2187" s="15">
        <f t="shared" ref="L2187:L2196" si="294">IF(AG2187="","",(1-$W$2)*(AG2187/1.2))</f>
        <v>2975</v>
      </c>
      <c r="M2187" s="267">
        <f t="shared" ref="M2187:M2196" si="295">IF($W$5=0.2,L2187*1.2,L2187)/$W$4</f>
        <v>3570</v>
      </c>
      <c r="N2187" s="270">
        <f t="shared" ref="N2187:N2196" si="296">IF(AH2187="","",(1-$W$2)*(AH2187/1.2))</f>
        <v>4158.3333333333339</v>
      </c>
      <c r="O2187" s="64">
        <f t="shared" ref="O2187:O2196" si="297">IF($W$5=0.2,N2187*1.2,N2187)/$W$4</f>
        <v>4990.0000000000009</v>
      </c>
      <c r="P2187" s="15">
        <f t="shared" ref="P2187:P2196" si="298">IF(AI2187="","",(1-$W$2)*(AI2187/1.2))</f>
        <v>3166.666666666667</v>
      </c>
      <c r="Q2187" s="267">
        <f t="shared" ref="Q2187:Q2196" si="299">IF($W$5=0.2,P2187*1.2,P2187)/$W$4</f>
        <v>3800</v>
      </c>
      <c r="R2187" s="270">
        <f t="shared" ref="R2187:R2196" si="300">IF(AJ2187="","",(1-$W$2)*(AJ2187/1.2))</f>
        <v>4433.3333333333339</v>
      </c>
      <c r="S2187" s="64">
        <f t="shared" ref="S2187:S2196" si="301">IF($W$5=0.2,R2187*1.2,R2187)/$W$4</f>
        <v>5320.0000000000009</v>
      </c>
      <c r="T2187" s="15">
        <f t="shared" ref="T2187:T2196" si="302">IF(AK2187="","",(1-$W$2)*(AK2187/1.2))</f>
        <v>3383.3333333333335</v>
      </c>
      <c r="U2187" s="267">
        <f t="shared" ref="U2187:U2196" si="303">IF($W$5=0.2,T2187*1.2,T2187)/$W$4</f>
        <v>4060</v>
      </c>
      <c r="V2187" s="270">
        <f t="shared" ref="V2187:V2196" si="304">IF(AL2187="","",(1-$W$2)*(AL2187/1.2))</f>
        <v>4983.3333333333339</v>
      </c>
      <c r="W2187" s="402">
        <f t="shared" ref="W2187:W2196" si="305">IF($W$5=0.2,V2187*1.2,V2187)/$W$4</f>
        <v>5980.0000000000009</v>
      </c>
      <c r="X2187" s="401"/>
      <c r="Y2187" s="401"/>
      <c r="Z2187" s="401"/>
      <c r="AA2187" s="401"/>
      <c r="AB2187" s="22"/>
      <c r="AC2187" s="332">
        <v>2980</v>
      </c>
      <c r="AD2187" s="332">
        <v>4170</v>
      </c>
      <c r="AE2187" s="332">
        <v>3440</v>
      </c>
      <c r="AF2187" s="332">
        <v>4820</v>
      </c>
      <c r="AG2187" s="332">
        <v>3570</v>
      </c>
      <c r="AH2187" s="332">
        <v>4990</v>
      </c>
      <c r="AI2187" s="332">
        <v>3800</v>
      </c>
      <c r="AJ2187" s="332">
        <v>5320</v>
      </c>
      <c r="AK2187" s="332">
        <v>4060</v>
      </c>
      <c r="AL2187" s="332">
        <v>5980</v>
      </c>
      <c r="AM2187" s="334">
        <v>2980</v>
      </c>
      <c r="AN2187" s="310">
        <f>AM2187/AC2187-1</f>
        <v>0</v>
      </c>
      <c r="AO2187" s="334">
        <f>AM2187/100*40</f>
        <v>1192</v>
      </c>
      <c r="AP2187" s="399">
        <f>AO2187/AD2187-1</f>
        <v>-0.71414868105515583</v>
      </c>
      <c r="AQ2187" s="334">
        <v>3440</v>
      </c>
      <c r="AR2187" s="399">
        <f>AQ2187/AE2187-1</f>
        <v>0</v>
      </c>
      <c r="AS2187" s="334">
        <v>4820</v>
      </c>
      <c r="AT2187" s="399">
        <f>AS2187/AF2187-1</f>
        <v>0</v>
      </c>
      <c r="AU2187" s="334">
        <v>3570</v>
      </c>
      <c r="AV2187" s="399">
        <f>AU2187/AG2187-1</f>
        <v>0</v>
      </c>
      <c r="AW2187" s="334">
        <v>4990</v>
      </c>
      <c r="AX2187" s="399"/>
      <c r="AY2187" s="334"/>
      <c r="AZ2187" s="399"/>
      <c r="BA2187" s="334"/>
      <c r="BB2187" s="399"/>
      <c r="BC2187" s="334"/>
      <c r="BD2187" s="399"/>
      <c r="BE2187" s="334"/>
      <c r="BF2187" s="399"/>
    </row>
    <row r="2188" spans="1:58">
      <c r="A2188" s="8"/>
      <c r="B2188" s="16" t="str">
        <f>IF($C$1="ENG","B (95 - 115 mm)","B (95 - 115 мм)")</f>
        <v>B (95 - 115 мм)</v>
      </c>
      <c r="C2188" s="432"/>
      <c r="D2188" s="18">
        <f t="shared" si="286"/>
        <v>2633.3333333333335</v>
      </c>
      <c r="E2188" s="268">
        <f t="shared" si="287"/>
        <v>3160</v>
      </c>
      <c r="F2188" s="271">
        <f t="shared" si="288"/>
        <v>3683.3333333333335</v>
      </c>
      <c r="G2188" s="66">
        <f t="shared" si="289"/>
        <v>4420</v>
      </c>
      <c r="H2188" s="18">
        <f t="shared" si="290"/>
        <v>3033.3333333333335</v>
      </c>
      <c r="I2188" s="268">
        <f t="shared" si="291"/>
        <v>3640</v>
      </c>
      <c r="J2188" s="271">
        <f t="shared" si="292"/>
        <v>4250</v>
      </c>
      <c r="K2188" s="66">
        <f t="shared" si="293"/>
        <v>5100</v>
      </c>
      <c r="L2188" s="18">
        <f t="shared" si="294"/>
        <v>3166.666666666667</v>
      </c>
      <c r="M2188" s="268">
        <f t="shared" si="295"/>
        <v>3800</v>
      </c>
      <c r="N2188" s="271">
        <f t="shared" si="296"/>
        <v>4425</v>
      </c>
      <c r="O2188" s="66">
        <f t="shared" si="297"/>
        <v>5310</v>
      </c>
      <c r="P2188" s="18">
        <f t="shared" si="298"/>
        <v>3350</v>
      </c>
      <c r="Q2188" s="268">
        <f t="shared" si="299"/>
        <v>4020</v>
      </c>
      <c r="R2188" s="271">
        <f t="shared" si="300"/>
        <v>4683.3333333333339</v>
      </c>
      <c r="S2188" s="66">
        <f t="shared" si="301"/>
        <v>5620.0000000000009</v>
      </c>
      <c r="T2188" s="18">
        <f t="shared" si="302"/>
        <v>3583.3333333333335</v>
      </c>
      <c r="U2188" s="268">
        <f t="shared" si="303"/>
        <v>4300</v>
      </c>
      <c r="V2188" s="271">
        <f t="shared" si="304"/>
        <v>5016.666666666667</v>
      </c>
      <c r="W2188" s="403">
        <f t="shared" si="305"/>
        <v>6020</v>
      </c>
      <c r="X2188" s="401"/>
      <c r="Y2188" s="59"/>
      <c r="Z2188" s="28"/>
      <c r="AA2188" s="59"/>
      <c r="AB2188" s="22"/>
      <c r="AC2188" s="332">
        <v>3160</v>
      </c>
      <c r="AD2188" s="332">
        <v>4420</v>
      </c>
      <c r="AE2188" s="332">
        <v>3640</v>
      </c>
      <c r="AF2188" s="332">
        <v>5100</v>
      </c>
      <c r="AG2188" s="332">
        <v>3800</v>
      </c>
      <c r="AH2188" s="332">
        <v>5310</v>
      </c>
      <c r="AI2188" s="332">
        <v>4020</v>
      </c>
      <c r="AJ2188" s="332">
        <v>5620</v>
      </c>
      <c r="AK2188" s="332">
        <v>4300</v>
      </c>
      <c r="AL2188" s="332">
        <v>6020</v>
      </c>
      <c r="AM2188" s="334">
        <v>3160</v>
      </c>
      <c r="AN2188" s="310">
        <f t="shared" ref="AN2188:AN2196" si="306">AM2188/AC2188-1</f>
        <v>0</v>
      </c>
      <c r="AO2188" s="334">
        <f t="shared" ref="AO2188:AO2196" si="307">AM2188/100*40</f>
        <v>1264</v>
      </c>
      <c r="AP2188" s="399">
        <f t="shared" ref="AP2188:AP2196" si="308">AO2188/AD2188-1</f>
        <v>-0.71402714932126699</v>
      </c>
      <c r="AQ2188" s="334">
        <v>3640</v>
      </c>
      <c r="AR2188" s="399">
        <f t="shared" ref="AR2188:AR2196" si="309">AQ2188/AE2188-1</f>
        <v>0</v>
      </c>
      <c r="AS2188" s="334">
        <v>5100</v>
      </c>
      <c r="AT2188" s="399">
        <f t="shared" ref="AT2188:AT2196" si="310">AS2188/AF2188-1</f>
        <v>0</v>
      </c>
      <c r="AU2188" s="334">
        <v>3800</v>
      </c>
      <c r="AV2188" s="399">
        <f t="shared" ref="AV2188:AV2196" si="311">AU2188/AG2188-1</f>
        <v>0</v>
      </c>
      <c r="AW2188" s="334">
        <v>5310</v>
      </c>
      <c r="AX2188" s="399"/>
      <c r="AY2188" s="334"/>
      <c r="AZ2188" s="399"/>
      <c r="BA2188" s="334"/>
      <c r="BB2188" s="399"/>
      <c r="BC2188" s="334"/>
      <c r="BD2188" s="399"/>
      <c r="BE2188" s="334"/>
      <c r="BF2188" s="399"/>
    </row>
    <row r="2189" spans="1:58">
      <c r="A2189" s="8"/>
      <c r="B2189" s="16" t="str">
        <f>IF($C$1="ENG","B+ (100 - 120 mm)","B+ (100 - 120 мм)")</f>
        <v>B+ (100 - 120 мм)</v>
      </c>
      <c r="C2189" s="432"/>
      <c r="D2189" s="18">
        <f t="shared" si="286"/>
        <v>2733.3333333333335</v>
      </c>
      <c r="E2189" s="268">
        <f t="shared" si="287"/>
        <v>3280</v>
      </c>
      <c r="F2189" s="271">
        <f t="shared" si="288"/>
        <v>3825</v>
      </c>
      <c r="G2189" s="66">
        <f t="shared" si="289"/>
        <v>4590</v>
      </c>
      <c r="H2189" s="18">
        <f t="shared" si="290"/>
        <v>3133.3333333333335</v>
      </c>
      <c r="I2189" s="268">
        <f t="shared" si="291"/>
        <v>3760</v>
      </c>
      <c r="J2189" s="271">
        <f t="shared" si="292"/>
        <v>4391.666666666667</v>
      </c>
      <c r="K2189" s="66">
        <f t="shared" si="293"/>
        <v>5270</v>
      </c>
      <c r="L2189" s="18">
        <f t="shared" si="294"/>
        <v>3258.3333333333335</v>
      </c>
      <c r="M2189" s="268">
        <f t="shared" si="295"/>
        <v>3910</v>
      </c>
      <c r="N2189" s="271">
        <f t="shared" si="296"/>
        <v>4558.3333333333339</v>
      </c>
      <c r="O2189" s="66">
        <f t="shared" si="297"/>
        <v>5470.0000000000009</v>
      </c>
      <c r="P2189" s="18">
        <f t="shared" si="298"/>
        <v>3450</v>
      </c>
      <c r="Q2189" s="268">
        <f t="shared" si="299"/>
        <v>4140</v>
      </c>
      <c r="R2189" s="271">
        <f t="shared" si="300"/>
        <v>4825</v>
      </c>
      <c r="S2189" s="66">
        <f t="shared" si="301"/>
        <v>5790</v>
      </c>
      <c r="T2189" s="18">
        <f t="shared" si="302"/>
        <v>3683.3333333333335</v>
      </c>
      <c r="U2189" s="268">
        <f t="shared" si="303"/>
        <v>4420</v>
      </c>
      <c r="V2189" s="271">
        <f t="shared" si="304"/>
        <v>5150</v>
      </c>
      <c r="W2189" s="403">
        <f t="shared" si="305"/>
        <v>6180</v>
      </c>
      <c r="X2189" s="401"/>
      <c r="Y2189" s="59"/>
      <c r="Z2189" s="28"/>
      <c r="AA2189" s="59"/>
      <c r="AB2189" s="22"/>
      <c r="AC2189" s="332">
        <v>3280</v>
      </c>
      <c r="AD2189" s="332">
        <v>4590</v>
      </c>
      <c r="AE2189" s="332">
        <v>3760</v>
      </c>
      <c r="AF2189" s="332">
        <v>5270</v>
      </c>
      <c r="AG2189" s="332">
        <v>3910</v>
      </c>
      <c r="AH2189" s="332">
        <v>5470</v>
      </c>
      <c r="AI2189" s="332">
        <v>4140</v>
      </c>
      <c r="AJ2189" s="332">
        <v>5790</v>
      </c>
      <c r="AK2189" s="332">
        <v>4420</v>
      </c>
      <c r="AL2189" s="332">
        <v>6180</v>
      </c>
      <c r="AM2189" s="334">
        <v>3280</v>
      </c>
      <c r="AN2189" s="310">
        <f t="shared" si="306"/>
        <v>0</v>
      </c>
      <c r="AO2189" s="334">
        <f t="shared" si="307"/>
        <v>1312</v>
      </c>
      <c r="AP2189" s="399">
        <f t="shared" si="308"/>
        <v>-0.71416122004357296</v>
      </c>
      <c r="AQ2189" s="334">
        <v>3760</v>
      </c>
      <c r="AR2189" s="399">
        <f t="shared" si="309"/>
        <v>0</v>
      </c>
      <c r="AS2189" s="334">
        <v>5270</v>
      </c>
      <c r="AT2189" s="399">
        <f t="shared" si="310"/>
        <v>0</v>
      </c>
      <c r="AU2189" s="334">
        <v>3910</v>
      </c>
      <c r="AV2189" s="399">
        <f t="shared" si="311"/>
        <v>0</v>
      </c>
      <c r="AW2189" s="334">
        <v>5470</v>
      </c>
      <c r="AX2189" s="399"/>
      <c r="AY2189" s="334"/>
      <c r="AZ2189" s="399"/>
      <c r="BA2189" s="334"/>
      <c r="BB2189" s="399"/>
      <c r="BC2189" s="334"/>
      <c r="BD2189" s="399"/>
      <c r="BE2189" s="334"/>
      <c r="BF2189" s="399"/>
    </row>
    <row r="2190" spans="1:58">
      <c r="A2190" s="8"/>
      <c r="B2190" s="16" t="str">
        <f>IF($C$1="ENG","C (120 - 140 mm)","C (120 - 140 мм)")</f>
        <v>C (120 - 140 мм)</v>
      </c>
      <c r="C2190" s="432"/>
      <c r="D2190" s="18">
        <f t="shared" si="286"/>
        <v>2808.3333333333335</v>
      </c>
      <c r="E2190" s="268">
        <f t="shared" si="287"/>
        <v>3370</v>
      </c>
      <c r="F2190" s="271">
        <f t="shared" si="288"/>
        <v>3933.3333333333335</v>
      </c>
      <c r="G2190" s="66">
        <f t="shared" si="289"/>
        <v>4720</v>
      </c>
      <c r="H2190" s="18">
        <f t="shared" si="290"/>
        <v>3233.3333333333335</v>
      </c>
      <c r="I2190" s="268">
        <f t="shared" si="291"/>
        <v>3880</v>
      </c>
      <c r="J2190" s="271">
        <f t="shared" si="292"/>
        <v>4525</v>
      </c>
      <c r="K2190" s="66">
        <f t="shared" si="293"/>
        <v>5430</v>
      </c>
      <c r="L2190" s="18">
        <f t="shared" si="294"/>
        <v>3333.3333333333335</v>
      </c>
      <c r="M2190" s="268">
        <f t="shared" si="295"/>
        <v>4000</v>
      </c>
      <c r="N2190" s="271">
        <f t="shared" si="296"/>
        <v>4675</v>
      </c>
      <c r="O2190" s="66">
        <f t="shared" si="297"/>
        <v>5610</v>
      </c>
      <c r="P2190" s="18">
        <f t="shared" si="298"/>
        <v>3541.666666666667</v>
      </c>
      <c r="Q2190" s="268">
        <f t="shared" si="299"/>
        <v>4250</v>
      </c>
      <c r="R2190" s="271">
        <f t="shared" si="300"/>
        <v>4958.3333333333339</v>
      </c>
      <c r="S2190" s="66">
        <f t="shared" si="301"/>
        <v>5950.0000000000009</v>
      </c>
      <c r="T2190" s="18">
        <f t="shared" si="302"/>
        <v>3791.666666666667</v>
      </c>
      <c r="U2190" s="268">
        <f t="shared" si="303"/>
        <v>4550</v>
      </c>
      <c r="V2190" s="271">
        <f t="shared" si="304"/>
        <v>5300</v>
      </c>
      <c r="W2190" s="403">
        <f t="shared" si="305"/>
        <v>6360</v>
      </c>
      <c r="X2190" s="401"/>
      <c r="Y2190" s="59"/>
      <c r="Z2190" s="28"/>
      <c r="AA2190" s="59"/>
      <c r="AB2190" s="22"/>
      <c r="AC2190" s="332">
        <v>3370</v>
      </c>
      <c r="AD2190" s="332">
        <v>4720</v>
      </c>
      <c r="AE2190" s="332">
        <v>3880</v>
      </c>
      <c r="AF2190" s="332">
        <v>5430</v>
      </c>
      <c r="AG2190" s="332">
        <v>4000</v>
      </c>
      <c r="AH2190" s="332">
        <v>5610</v>
      </c>
      <c r="AI2190" s="332">
        <v>4250</v>
      </c>
      <c r="AJ2190" s="332">
        <v>5950</v>
      </c>
      <c r="AK2190" s="332">
        <v>4550</v>
      </c>
      <c r="AL2190" s="332">
        <v>6360</v>
      </c>
      <c r="AM2190" s="334">
        <v>3370</v>
      </c>
      <c r="AN2190" s="310">
        <f t="shared" si="306"/>
        <v>0</v>
      </c>
      <c r="AO2190" s="334">
        <f t="shared" si="307"/>
        <v>1348</v>
      </c>
      <c r="AP2190" s="399">
        <f t="shared" si="308"/>
        <v>-0.71440677966101696</v>
      </c>
      <c r="AQ2190" s="334">
        <v>3880</v>
      </c>
      <c r="AR2190" s="399">
        <f t="shared" si="309"/>
        <v>0</v>
      </c>
      <c r="AS2190" s="334">
        <v>5430</v>
      </c>
      <c r="AT2190" s="399">
        <f t="shared" si="310"/>
        <v>0</v>
      </c>
      <c r="AU2190" s="334">
        <v>4000</v>
      </c>
      <c r="AV2190" s="399">
        <f t="shared" si="311"/>
        <v>0</v>
      </c>
      <c r="AW2190" s="334">
        <v>5610</v>
      </c>
      <c r="AX2190" s="399"/>
      <c r="AY2190" s="334"/>
      <c r="AZ2190" s="399"/>
      <c r="BA2190" s="334"/>
      <c r="BB2190" s="399"/>
      <c r="BC2190" s="334"/>
      <c r="BD2190" s="399"/>
      <c r="BE2190" s="334"/>
      <c r="BF2190" s="399"/>
    </row>
    <row r="2191" spans="1:58">
      <c r="A2191" s="8"/>
      <c r="B2191" s="16" t="str">
        <f>IF($C$1="ENG","D (140 - 160 mm)","D (140 - 160 мм)")</f>
        <v>D (140 - 160 мм)</v>
      </c>
      <c r="C2191" s="432"/>
      <c r="D2191" s="18">
        <f t="shared" si="286"/>
        <v>2958.3333333333335</v>
      </c>
      <c r="E2191" s="268">
        <f t="shared" si="287"/>
        <v>3550</v>
      </c>
      <c r="F2191" s="271">
        <f t="shared" si="288"/>
        <v>4141.666666666667</v>
      </c>
      <c r="G2191" s="66">
        <f t="shared" si="289"/>
        <v>4970</v>
      </c>
      <c r="H2191" s="18">
        <f t="shared" si="290"/>
        <v>3400</v>
      </c>
      <c r="I2191" s="268">
        <f t="shared" si="291"/>
        <v>4080</v>
      </c>
      <c r="J2191" s="271">
        <f t="shared" si="292"/>
        <v>4758.3333333333339</v>
      </c>
      <c r="K2191" s="66">
        <f t="shared" si="293"/>
        <v>5710.0000000000009</v>
      </c>
      <c r="L2191" s="18">
        <f t="shared" si="294"/>
        <v>3525</v>
      </c>
      <c r="M2191" s="268">
        <f t="shared" si="295"/>
        <v>4230</v>
      </c>
      <c r="N2191" s="271">
        <f t="shared" si="296"/>
        <v>4933.3333333333339</v>
      </c>
      <c r="O2191" s="66">
        <f t="shared" si="297"/>
        <v>5920.0000000000009</v>
      </c>
      <c r="P2191" s="18">
        <f t="shared" si="298"/>
        <v>3741.666666666667</v>
      </c>
      <c r="Q2191" s="268">
        <f t="shared" si="299"/>
        <v>4490</v>
      </c>
      <c r="R2191" s="271">
        <f t="shared" si="300"/>
        <v>5241.666666666667</v>
      </c>
      <c r="S2191" s="66">
        <f t="shared" si="301"/>
        <v>6290</v>
      </c>
      <c r="T2191" s="18">
        <f t="shared" si="302"/>
        <v>3983.3333333333335</v>
      </c>
      <c r="U2191" s="268">
        <f t="shared" si="303"/>
        <v>4780</v>
      </c>
      <c r="V2191" s="271">
        <f t="shared" si="304"/>
        <v>5575</v>
      </c>
      <c r="W2191" s="403">
        <f t="shared" si="305"/>
        <v>6690</v>
      </c>
      <c r="X2191" s="401"/>
      <c r="Y2191" s="59"/>
      <c r="Z2191" s="28"/>
      <c r="AA2191" s="59"/>
      <c r="AB2191" s="22"/>
      <c r="AC2191" s="332">
        <v>3550</v>
      </c>
      <c r="AD2191" s="332">
        <v>4970</v>
      </c>
      <c r="AE2191" s="332">
        <v>4080</v>
      </c>
      <c r="AF2191" s="332">
        <v>5710</v>
      </c>
      <c r="AG2191" s="332">
        <v>4230</v>
      </c>
      <c r="AH2191" s="332">
        <v>5920</v>
      </c>
      <c r="AI2191" s="332">
        <v>4490</v>
      </c>
      <c r="AJ2191" s="332">
        <v>6290</v>
      </c>
      <c r="AK2191" s="332">
        <v>4780</v>
      </c>
      <c r="AL2191" s="332">
        <v>6690</v>
      </c>
      <c r="AM2191" s="334">
        <v>3550</v>
      </c>
      <c r="AN2191" s="310">
        <f t="shared" si="306"/>
        <v>0</v>
      </c>
      <c r="AO2191" s="334">
        <f t="shared" si="307"/>
        <v>1420</v>
      </c>
      <c r="AP2191" s="399">
        <f t="shared" si="308"/>
        <v>-0.7142857142857143</v>
      </c>
      <c r="AQ2191" s="334">
        <v>4080</v>
      </c>
      <c r="AR2191" s="399">
        <f t="shared" si="309"/>
        <v>0</v>
      </c>
      <c r="AS2191" s="334">
        <v>5710</v>
      </c>
      <c r="AT2191" s="399">
        <f t="shared" si="310"/>
        <v>0</v>
      </c>
      <c r="AU2191" s="334">
        <v>4230</v>
      </c>
      <c r="AV2191" s="399">
        <f t="shared" si="311"/>
        <v>0</v>
      </c>
      <c r="AW2191" s="334">
        <v>5920</v>
      </c>
      <c r="AX2191" s="399"/>
      <c r="AY2191" s="334"/>
      <c r="AZ2191" s="399"/>
      <c r="BA2191" s="334"/>
      <c r="BB2191" s="399"/>
      <c r="BC2191" s="334"/>
      <c r="BD2191" s="399"/>
      <c r="BE2191" s="334"/>
      <c r="BF2191" s="399"/>
    </row>
    <row r="2192" spans="1:58">
      <c r="A2192" s="8"/>
      <c r="B2192" s="16" t="str">
        <f>IF($C$1="ENG","E (160 - 180 mm)","E (160 - 180 мм)")</f>
        <v>E (160 - 180 мм)</v>
      </c>
      <c r="C2192" s="432"/>
      <c r="D2192" s="18">
        <f t="shared" si="286"/>
        <v>3108.3333333333335</v>
      </c>
      <c r="E2192" s="268">
        <f t="shared" si="287"/>
        <v>3730</v>
      </c>
      <c r="F2192" s="271">
        <f t="shared" si="288"/>
        <v>4350</v>
      </c>
      <c r="G2192" s="66">
        <f t="shared" si="289"/>
        <v>5220</v>
      </c>
      <c r="H2192" s="18">
        <f t="shared" si="290"/>
        <v>3583.3333333333335</v>
      </c>
      <c r="I2192" s="268">
        <f t="shared" si="291"/>
        <v>4300</v>
      </c>
      <c r="J2192" s="271">
        <f t="shared" si="292"/>
        <v>5016.666666666667</v>
      </c>
      <c r="K2192" s="66">
        <f t="shared" si="293"/>
        <v>6020</v>
      </c>
      <c r="L2192" s="18">
        <f t="shared" si="294"/>
        <v>3691.666666666667</v>
      </c>
      <c r="M2192" s="268">
        <f t="shared" si="295"/>
        <v>4430</v>
      </c>
      <c r="N2192" s="271">
        <f t="shared" si="296"/>
        <v>5175</v>
      </c>
      <c r="O2192" s="66">
        <f t="shared" si="297"/>
        <v>6210</v>
      </c>
      <c r="P2192" s="18">
        <f t="shared" si="298"/>
        <v>3933.3333333333335</v>
      </c>
      <c r="Q2192" s="268">
        <f t="shared" si="299"/>
        <v>4720</v>
      </c>
      <c r="R2192" s="271">
        <f t="shared" si="300"/>
        <v>5508.3333333333339</v>
      </c>
      <c r="S2192" s="66">
        <f t="shared" si="301"/>
        <v>6610.0000000000009</v>
      </c>
      <c r="T2192" s="18">
        <f t="shared" si="302"/>
        <v>4191.666666666667</v>
      </c>
      <c r="U2192" s="268">
        <f t="shared" si="303"/>
        <v>5030</v>
      </c>
      <c r="V2192" s="271">
        <f t="shared" si="304"/>
        <v>5866.666666666667</v>
      </c>
      <c r="W2192" s="403">
        <f t="shared" si="305"/>
        <v>7040</v>
      </c>
      <c r="X2192" s="401"/>
      <c r="Y2192" s="59"/>
      <c r="Z2192" s="28"/>
      <c r="AA2192" s="59"/>
      <c r="AB2192" s="22"/>
      <c r="AC2192" s="332">
        <v>3730</v>
      </c>
      <c r="AD2192" s="332">
        <v>5220</v>
      </c>
      <c r="AE2192" s="332">
        <v>4300</v>
      </c>
      <c r="AF2192" s="332">
        <v>6020</v>
      </c>
      <c r="AG2192" s="332">
        <v>4430</v>
      </c>
      <c r="AH2192" s="332">
        <v>6210</v>
      </c>
      <c r="AI2192" s="332">
        <v>4720</v>
      </c>
      <c r="AJ2192" s="332">
        <v>6610</v>
      </c>
      <c r="AK2192" s="332">
        <v>5030</v>
      </c>
      <c r="AL2192" s="332">
        <v>7040</v>
      </c>
      <c r="AM2192" s="334">
        <v>3730</v>
      </c>
      <c r="AN2192" s="310">
        <f t="shared" si="306"/>
        <v>0</v>
      </c>
      <c r="AO2192" s="334">
        <f t="shared" si="307"/>
        <v>1492</v>
      </c>
      <c r="AP2192" s="399">
        <f t="shared" si="308"/>
        <v>-0.71417624521072798</v>
      </c>
      <c r="AQ2192" s="334">
        <v>4300</v>
      </c>
      <c r="AR2192" s="399">
        <f t="shared" si="309"/>
        <v>0</v>
      </c>
      <c r="AS2192" s="334">
        <v>6020</v>
      </c>
      <c r="AT2192" s="399">
        <f t="shared" si="310"/>
        <v>0</v>
      </c>
      <c r="AU2192" s="334">
        <v>4430</v>
      </c>
      <c r="AV2192" s="399">
        <f t="shared" si="311"/>
        <v>0</v>
      </c>
      <c r="AW2192" s="334">
        <v>6210</v>
      </c>
      <c r="AX2192" s="399"/>
      <c r="AY2192" s="334"/>
      <c r="AZ2192" s="399"/>
      <c r="BA2192" s="334"/>
      <c r="BB2192" s="399"/>
      <c r="BC2192" s="334"/>
      <c r="BD2192" s="399"/>
      <c r="BE2192" s="334"/>
      <c r="BF2192" s="399"/>
    </row>
    <row r="2193" spans="1:58">
      <c r="A2193" s="8"/>
      <c r="B2193" s="16" t="str">
        <f>IF($C$1="ENG","F (180 - 200 mm)","F (180 - 200 мм)")</f>
        <v>F (180 - 200 мм)</v>
      </c>
      <c r="C2193" s="432"/>
      <c r="D2193" s="18">
        <f t="shared" si="286"/>
        <v>3266.666666666667</v>
      </c>
      <c r="E2193" s="268">
        <f t="shared" si="287"/>
        <v>3920</v>
      </c>
      <c r="F2193" s="271">
        <f t="shared" si="288"/>
        <v>4575</v>
      </c>
      <c r="G2193" s="66">
        <f t="shared" si="289"/>
        <v>5490</v>
      </c>
      <c r="H2193" s="18">
        <f t="shared" si="290"/>
        <v>3758.3333333333335</v>
      </c>
      <c r="I2193" s="268">
        <f t="shared" si="291"/>
        <v>4510</v>
      </c>
      <c r="J2193" s="271">
        <f t="shared" si="292"/>
        <v>5250</v>
      </c>
      <c r="K2193" s="66">
        <f t="shared" si="293"/>
        <v>6300</v>
      </c>
      <c r="L2193" s="18">
        <f t="shared" si="294"/>
        <v>3883.3333333333335</v>
      </c>
      <c r="M2193" s="268">
        <f t="shared" si="295"/>
        <v>4660</v>
      </c>
      <c r="N2193" s="271">
        <f t="shared" si="296"/>
        <v>5433.3333333333339</v>
      </c>
      <c r="O2193" s="66">
        <f t="shared" si="297"/>
        <v>6520.0000000000009</v>
      </c>
      <c r="P2193" s="18">
        <f t="shared" si="298"/>
        <v>4116.666666666667</v>
      </c>
      <c r="Q2193" s="268">
        <f t="shared" si="299"/>
        <v>4940</v>
      </c>
      <c r="R2193" s="271">
        <f t="shared" si="300"/>
        <v>5766.666666666667</v>
      </c>
      <c r="S2193" s="66">
        <f t="shared" si="301"/>
        <v>6920</v>
      </c>
      <c r="T2193" s="18">
        <f t="shared" si="302"/>
        <v>4400</v>
      </c>
      <c r="U2193" s="268">
        <f t="shared" si="303"/>
        <v>5280</v>
      </c>
      <c r="V2193" s="271">
        <f t="shared" si="304"/>
        <v>6158.3333333333339</v>
      </c>
      <c r="W2193" s="403">
        <f t="shared" si="305"/>
        <v>7390</v>
      </c>
      <c r="X2193" s="401"/>
      <c r="Y2193" s="59"/>
      <c r="Z2193" s="28"/>
      <c r="AA2193" s="59"/>
      <c r="AB2193" s="22"/>
      <c r="AC2193" s="332">
        <v>3920</v>
      </c>
      <c r="AD2193" s="332">
        <v>5490</v>
      </c>
      <c r="AE2193" s="332">
        <v>4510</v>
      </c>
      <c r="AF2193" s="332">
        <v>6300</v>
      </c>
      <c r="AG2193" s="332">
        <v>4660</v>
      </c>
      <c r="AH2193" s="332">
        <v>6520</v>
      </c>
      <c r="AI2193" s="332">
        <v>4940</v>
      </c>
      <c r="AJ2193" s="332">
        <v>6920</v>
      </c>
      <c r="AK2193" s="332">
        <v>5280</v>
      </c>
      <c r="AL2193" s="332">
        <v>7390</v>
      </c>
      <c r="AM2193" s="334">
        <v>3920</v>
      </c>
      <c r="AN2193" s="310">
        <f t="shared" si="306"/>
        <v>0</v>
      </c>
      <c r="AO2193" s="334">
        <f t="shared" si="307"/>
        <v>1568</v>
      </c>
      <c r="AP2193" s="399">
        <f t="shared" si="308"/>
        <v>-0.71438979963570126</v>
      </c>
      <c r="AQ2193" s="334">
        <v>4510</v>
      </c>
      <c r="AR2193" s="399">
        <f t="shared" si="309"/>
        <v>0</v>
      </c>
      <c r="AS2193" s="334">
        <v>6300</v>
      </c>
      <c r="AT2193" s="399">
        <f t="shared" si="310"/>
        <v>0</v>
      </c>
      <c r="AU2193" s="334">
        <v>4660</v>
      </c>
      <c r="AV2193" s="399">
        <f t="shared" si="311"/>
        <v>0</v>
      </c>
      <c r="AW2193" s="334">
        <v>6520</v>
      </c>
      <c r="AX2193" s="399"/>
      <c r="AY2193" s="334"/>
      <c r="AZ2193" s="399"/>
      <c r="BA2193" s="334"/>
      <c r="BB2193" s="399"/>
      <c r="BC2193" s="334"/>
      <c r="BD2193" s="399"/>
      <c r="BE2193" s="334"/>
      <c r="BF2193" s="399"/>
    </row>
    <row r="2194" spans="1:58">
      <c r="A2194" s="8"/>
      <c r="B2194" s="16" t="str">
        <f>IF($C$1="ENG","G (200 - 220 mm)","G (200 - 220 мм)")</f>
        <v>G (200 - 220 мм)</v>
      </c>
      <c r="C2194" s="432"/>
      <c r="D2194" s="18">
        <f t="shared" si="286"/>
        <v>3416.666666666667</v>
      </c>
      <c r="E2194" s="268">
        <f t="shared" si="287"/>
        <v>4100</v>
      </c>
      <c r="F2194" s="271">
        <f t="shared" si="288"/>
        <v>4783.3333333333339</v>
      </c>
      <c r="G2194" s="66">
        <f t="shared" si="289"/>
        <v>5740.0000000000009</v>
      </c>
      <c r="H2194" s="18">
        <f t="shared" si="290"/>
        <v>3941.666666666667</v>
      </c>
      <c r="I2194" s="268">
        <f t="shared" si="291"/>
        <v>4730</v>
      </c>
      <c r="J2194" s="271">
        <f t="shared" si="292"/>
        <v>5508.3333333333339</v>
      </c>
      <c r="K2194" s="66">
        <f t="shared" si="293"/>
        <v>6610.0000000000009</v>
      </c>
      <c r="L2194" s="18">
        <f t="shared" si="294"/>
        <v>4075</v>
      </c>
      <c r="M2194" s="268">
        <f t="shared" si="295"/>
        <v>4890</v>
      </c>
      <c r="N2194" s="271">
        <f t="shared" si="296"/>
        <v>5700</v>
      </c>
      <c r="O2194" s="66">
        <f t="shared" si="297"/>
        <v>6840</v>
      </c>
      <c r="P2194" s="18">
        <f t="shared" si="298"/>
        <v>4316.666666666667</v>
      </c>
      <c r="Q2194" s="268">
        <f t="shared" si="299"/>
        <v>5180</v>
      </c>
      <c r="R2194" s="271">
        <f t="shared" si="300"/>
        <v>6041.666666666667</v>
      </c>
      <c r="S2194" s="66">
        <f t="shared" si="301"/>
        <v>7250</v>
      </c>
      <c r="T2194" s="18">
        <f t="shared" si="302"/>
        <v>4600</v>
      </c>
      <c r="U2194" s="268">
        <f t="shared" si="303"/>
        <v>5520</v>
      </c>
      <c r="V2194" s="271">
        <f t="shared" si="304"/>
        <v>6433.3333333333339</v>
      </c>
      <c r="W2194" s="403">
        <f t="shared" si="305"/>
        <v>7720</v>
      </c>
      <c r="X2194" s="401"/>
      <c r="Y2194" s="59"/>
      <c r="Z2194" s="28"/>
      <c r="AA2194" s="59"/>
      <c r="AB2194" s="22"/>
      <c r="AC2194" s="332">
        <v>4100</v>
      </c>
      <c r="AD2194" s="332">
        <v>5740</v>
      </c>
      <c r="AE2194" s="332">
        <v>4730</v>
      </c>
      <c r="AF2194" s="332">
        <v>6610</v>
      </c>
      <c r="AG2194" s="332">
        <v>4890</v>
      </c>
      <c r="AH2194" s="332">
        <v>6840</v>
      </c>
      <c r="AI2194" s="332">
        <v>5180</v>
      </c>
      <c r="AJ2194" s="332">
        <v>7250</v>
      </c>
      <c r="AK2194" s="332">
        <v>5520</v>
      </c>
      <c r="AL2194" s="332">
        <v>7720</v>
      </c>
      <c r="AM2194" s="334">
        <v>4100</v>
      </c>
      <c r="AN2194" s="310">
        <f t="shared" si="306"/>
        <v>0</v>
      </c>
      <c r="AO2194" s="334">
        <f t="shared" si="307"/>
        <v>1640</v>
      </c>
      <c r="AP2194" s="399">
        <f t="shared" si="308"/>
        <v>-0.7142857142857143</v>
      </c>
      <c r="AQ2194" s="334">
        <v>4730</v>
      </c>
      <c r="AR2194" s="399">
        <f t="shared" si="309"/>
        <v>0</v>
      </c>
      <c r="AS2194" s="334">
        <v>6610</v>
      </c>
      <c r="AT2194" s="399">
        <f t="shared" si="310"/>
        <v>0</v>
      </c>
      <c r="AU2194" s="334">
        <v>4890</v>
      </c>
      <c r="AV2194" s="399">
        <f t="shared" si="311"/>
        <v>0</v>
      </c>
      <c r="AW2194" s="334">
        <v>6840</v>
      </c>
      <c r="AX2194" s="399"/>
      <c r="AY2194" s="334"/>
      <c r="AZ2194" s="399"/>
      <c r="BA2194" s="334"/>
      <c r="BB2194" s="399"/>
      <c r="BC2194" s="334"/>
      <c r="BD2194" s="399"/>
      <c r="BE2194" s="334"/>
      <c r="BF2194" s="399"/>
    </row>
    <row r="2195" spans="1:58">
      <c r="A2195" s="8"/>
      <c r="B2195" s="16" t="str">
        <f>IF($C$1="ENG","H (220 - 240 mm)","H (220 - 240 мм)")</f>
        <v>H (220 - 240 мм)</v>
      </c>
      <c r="C2195" s="432"/>
      <c r="D2195" s="18">
        <f t="shared" si="286"/>
        <v>3575</v>
      </c>
      <c r="E2195" s="268">
        <f t="shared" si="287"/>
        <v>4290</v>
      </c>
      <c r="F2195" s="271">
        <f t="shared" si="288"/>
        <v>5000</v>
      </c>
      <c r="G2195" s="66">
        <f t="shared" si="289"/>
        <v>6000</v>
      </c>
      <c r="H2195" s="18">
        <f t="shared" si="290"/>
        <v>4116.666666666667</v>
      </c>
      <c r="I2195" s="268">
        <f t="shared" si="291"/>
        <v>4940</v>
      </c>
      <c r="J2195" s="271">
        <f t="shared" si="292"/>
        <v>5766.666666666667</v>
      </c>
      <c r="K2195" s="66">
        <f t="shared" si="293"/>
        <v>6920</v>
      </c>
      <c r="L2195" s="18">
        <f t="shared" si="294"/>
        <v>4241.666666666667</v>
      </c>
      <c r="M2195" s="268">
        <f t="shared" si="295"/>
        <v>5090</v>
      </c>
      <c r="N2195" s="271">
        <f t="shared" si="296"/>
        <v>5933.3333333333339</v>
      </c>
      <c r="O2195" s="66">
        <f t="shared" si="297"/>
        <v>7120.0000000000009</v>
      </c>
      <c r="P2195" s="18">
        <f t="shared" si="298"/>
        <v>4516.666666666667</v>
      </c>
      <c r="Q2195" s="268">
        <f t="shared" si="299"/>
        <v>5420</v>
      </c>
      <c r="R2195" s="271">
        <f t="shared" si="300"/>
        <v>6308.3333333333339</v>
      </c>
      <c r="S2195" s="66">
        <f t="shared" si="301"/>
        <v>7570</v>
      </c>
      <c r="T2195" s="18">
        <f t="shared" si="302"/>
        <v>4808.3333333333339</v>
      </c>
      <c r="U2195" s="268">
        <f t="shared" si="303"/>
        <v>5770.0000000000009</v>
      </c>
      <c r="V2195" s="271">
        <f t="shared" si="304"/>
        <v>6725</v>
      </c>
      <c r="W2195" s="403">
        <f t="shared" si="305"/>
        <v>8070</v>
      </c>
      <c r="X2195" s="401"/>
      <c r="Y2195" s="59"/>
      <c r="Z2195" s="28"/>
      <c r="AA2195" s="59"/>
      <c r="AB2195" s="22"/>
      <c r="AC2195" s="332">
        <v>4290</v>
      </c>
      <c r="AD2195" s="332">
        <v>6000</v>
      </c>
      <c r="AE2195" s="332">
        <v>4940</v>
      </c>
      <c r="AF2195" s="332">
        <v>6920</v>
      </c>
      <c r="AG2195" s="332">
        <v>5090</v>
      </c>
      <c r="AH2195" s="332">
        <v>7120</v>
      </c>
      <c r="AI2195" s="332">
        <v>5420</v>
      </c>
      <c r="AJ2195" s="332">
        <v>7570</v>
      </c>
      <c r="AK2195" s="332">
        <v>5770</v>
      </c>
      <c r="AL2195" s="332">
        <v>8070</v>
      </c>
      <c r="AM2195" s="334">
        <v>4290</v>
      </c>
      <c r="AN2195" s="310">
        <f t="shared" si="306"/>
        <v>0</v>
      </c>
      <c r="AO2195" s="334">
        <f t="shared" si="307"/>
        <v>1716</v>
      </c>
      <c r="AP2195" s="399">
        <f t="shared" si="308"/>
        <v>-0.71399999999999997</v>
      </c>
      <c r="AQ2195" s="334">
        <v>4940</v>
      </c>
      <c r="AR2195" s="399">
        <f t="shared" si="309"/>
        <v>0</v>
      </c>
      <c r="AS2195" s="334">
        <v>6920</v>
      </c>
      <c r="AT2195" s="399">
        <f t="shared" si="310"/>
        <v>0</v>
      </c>
      <c r="AU2195" s="334">
        <v>5090</v>
      </c>
      <c r="AV2195" s="399">
        <f t="shared" si="311"/>
        <v>0</v>
      </c>
      <c r="AW2195" s="334">
        <v>7120</v>
      </c>
      <c r="AX2195" s="399"/>
      <c r="AY2195" s="334"/>
      <c r="AZ2195" s="399"/>
      <c r="BA2195" s="334"/>
      <c r="BB2195" s="399"/>
      <c r="BC2195" s="334"/>
      <c r="BD2195" s="399"/>
      <c r="BE2195" s="334"/>
      <c r="BF2195" s="399"/>
    </row>
    <row r="2196" spans="1:58">
      <c r="A2196" s="8"/>
      <c r="B2196" s="23" t="str">
        <f>IF($C$1="ENG","I (240 - 260 mm)","I (240 - 260 мм)")</f>
        <v>I (240 - 260 мм)</v>
      </c>
      <c r="C2196" s="433"/>
      <c r="D2196" s="25">
        <f t="shared" si="286"/>
        <v>3741.666666666667</v>
      </c>
      <c r="E2196" s="269">
        <f t="shared" si="287"/>
        <v>4490</v>
      </c>
      <c r="F2196" s="272">
        <f t="shared" si="288"/>
        <v>5241.666666666667</v>
      </c>
      <c r="G2196" s="69">
        <f t="shared" si="289"/>
        <v>6290</v>
      </c>
      <c r="H2196" s="25">
        <f t="shared" si="290"/>
        <v>4308.3333333333339</v>
      </c>
      <c r="I2196" s="269">
        <f t="shared" si="291"/>
        <v>5170.0000000000009</v>
      </c>
      <c r="J2196" s="272">
        <f t="shared" si="292"/>
        <v>6033.3333333333339</v>
      </c>
      <c r="K2196" s="69">
        <f t="shared" si="293"/>
        <v>7240.0000000000009</v>
      </c>
      <c r="L2196" s="25">
        <f t="shared" si="294"/>
        <v>4416.666666666667</v>
      </c>
      <c r="M2196" s="269">
        <f t="shared" si="295"/>
        <v>5300</v>
      </c>
      <c r="N2196" s="272">
        <f t="shared" si="296"/>
        <v>6191.666666666667</v>
      </c>
      <c r="O2196" s="69">
        <f t="shared" si="297"/>
        <v>7430</v>
      </c>
      <c r="P2196" s="25">
        <f t="shared" si="298"/>
        <v>4700</v>
      </c>
      <c r="Q2196" s="269">
        <f t="shared" si="299"/>
        <v>5640</v>
      </c>
      <c r="R2196" s="272">
        <f t="shared" si="300"/>
        <v>6583.3333333333339</v>
      </c>
      <c r="S2196" s="69">
        <f t="shared" si="301"/>
        <v>7900</v>
      </c>
      <c r="T2196" s="25">
        <f t="shared" si="302"/>
        <v>5016.666666666667</v>
      </c>
      <c r="U2196" s="269">
        <f t="shared" si="303"/>
        <v>6020</v>
      </c>
      <c r="V2196" s="272">
        <f t="shared" si="304"/>
        <v>7016.666666666667</v>
      </c>
      <c r="W2196" s="404">
        <f t="shared" si="305"/>
        <v>8420</v>
      </c>
      <c r="X2196" s="401"/>
      <c r="Y2196" s="59"/>
      <c r="Z2196" s="28"/>
      <c r="AA2196" s="59"/>
      <c r="AB2196" s="22"/>
      <c r="AC2196" s="332">
        <v>4490</v>
      </c>
      <c r="AD2196" s="332">
        <v>6290</v>
      </c>
      <c r="AE2196" s="332">
        <v>5170</v>
      </c>
      <c r="AF2196" s="332">
        <v>7240</v>
      </c>
      <c r="AG2196" s="332">
        <v>5300</v>
      </c>
      <c r="AH2196" s="332">
        <v>7430</v>
      </c>
      <c r="AI2196" s="332">
        <v>5640</v>
      </c>
      <c r="AJ2196" s="332">
        <v>7900</v>
      </c>
      <c r="AK2196" s="332">
        <v>6020</v>
      </c>
      <c r="AL2196" s="332">
        <v>8420</v>
      </c>
      <c r="AM2196" s="334">
        <v>4490</v>
      </c>
      <c r="AN2196" s="310">
        <f t="shared" si="306"/>
        <v>0</v>
      </c>
      <c r="AO2196" s="334">
        <f t="shared" si="307"/>
        <v>1796</v>
      </c>
      <c r="AP2196" s="399">
        <f t="shared" si="308"/>
        <v>-0.71446740858505564</v>
      </c>
      <c r="AQ2196" s="334">
        <v>5170</v>
      </c>
      <c r="AR2196" s="399">
        <f t="shared" si="309"/>
        <v>0</v>
      </c>
      <c r="AS2196" s="334">
        <v>7240</v>
      </c>
      <c r="AT2196" s="399">
        <f t="shared" si="310"/>
        <v>0</v>
      </c>
      <c r="AU2196" s="334">
        <v>5300</v>
      </c>
      <c r="AV2196" s="399">
        <f t="shared" si="311"/>
        <v>0</v>
      </c>
      <c r="AW2196" s="334">
        <v>7430</v>
      </c>
      <c r="AX2196" s="399"/>
      <c r="AY2196" s="334"/>
      <c r="AZ2196" s="399"/>
      <c r="BA2196" s="334"/>
      <c r="BB2196" s="399"/>
      <c r="BC2196" s="334"/>
      <c r="BD2196" s="399"/>
      <c r="BE2196" s="334"/>
      <c r="BF2196" s="399"/>
    </row>
    <row r="2197" spans="1:58" s="48" customFormat="1" ht="24.95" customHeight="1">
      <c r="B2197" s="54" t="str">
        <f>IF($C$1="ENG","ADJUSTABLE PANELS","ПЛАНКИ РЕГУЛЮВАЛЬНІ")</f>
        <v>ПЛАНКИ РЕГУЛЮВАЛЬНІ</v>
      </c>
      <c r="C2197" s="428"/>
      <c r="D2197" s="28"/>
      <c r="E2197" s="472" t="str">
        <f>IF($C$1="ENG","For Door Frames Verto-FIT, Verto-FIT  Plus","Для Дверних Коробок Verto-FIT, Verto-FIT  Plus")</f>
        <v>Для Дверних Коробок Verto-FIT, Verto-FIT  Plus</v>
      </c>
      <c r="F2197" s="472"/>
      <c r="G2197" s="472"/>
      <c r="H2197" s="472"/>
      <c r="I2197" s="472"/>
      <c r="J2197" s="472"/>
      <c r="K2197" s="472"/>
      <c r="L2197" s="28"/>
      <c r="M2197" s="106"/>
      <c r="N2197" s="28"/>
      <c r="O2197" s="29"/>
      <c r="P2197" s="28"/>
      <c r="Q2197" s="106"/>
      <c r="R2197" s="28"/>
      <c r="S2197" s="29"/>
      <c r="T2197" s="153"/>
      <c r="U2197" s="155"/>
      <c r="V2197" s="153"/>
      <c r="W2197" s="154"/>
      <c r="Y2197" s="59"/>
      <c r="Z2197" s="28"/>
      <c r="AA2197" s="59"/>
      <c r="AC2197" s="143"/>
      <c r="AN2197" s="56"/>
      <c r="AO2197" s="389"/>
      <c r="AP2197" s="389"/>
      <c r="AQ2197" s="56"/>
      <c r="AR2197" s="56"/>
      <c r="AS2197" s="56"/>
      <c r="AT2197" s="56"/>
    </row>
    <row r="2198" spans="1:58" ht="34.5" customHeight="1">
      <c r="A2198" s="8"/>
      <c r="B2198" s="244" t="str">
        <f>IF($C$1="ENG","Panel (1 set) 80 mm","Планка (1 к-т) 80 мм")</f>
        <v>Планка (1 к-т) 80 мм</v>
      </c>
      <c r="C2198" s="434"/>
      <c r="D2198" s="15">
        <f>IF(AC2198="","",(1-$W$2)*(AC2198/1.2))</f>
        <v>883.33333333333337</v>
      </c>
      <c r="E2198" s="299">
        <f>IF($W$5=0.2,D2198*1.2,D2198)/$W$4</f>
        <v>1060</v>
      </c>
      <c r="F2198" s="270">
        <f>IF(AD2198="","",(1-$W$2)*(AD2198/1.2))</f>
        <v>1150</v>
      </c>
      <c r="G2198" s="64">
        <f>IF($W$5=0.2,F2198*1.2,F2198)/$W$4</f>
        <v>1380</v>
      </c>
      <c r="H2198" s="15">
        <f>IF(AE2198="","",(1-$W$2)*(AE2198/1.2))</f>
        <v>1025</v>
      </c>
      <c r="I2198" s="267">
        <f>IF($W$5=0.2,H2198*1.2,H2198)/$W$4</f>
        <v>1230</v>
      </c>
      <c r="J2198" s="270">
        <f>IF(AF2198="","",(1-$W$2)*(AF2198/1.2))</f>
        <v>1341.6666666666667</v>
      </c>
      <c r="K2198" s="64">
        <f>IF($W$5=0.2,J2198*1.2,J2198)/$W$4</f>
        <v>1610</v>
      </c>
      <c r="L2198" s="15">
        <f>IF(AG2198="","",(1-$W$2)*(AG2198/1.2))</f>
        <v>1075</v>
      </c>
      <c r="M2198" s="267">
        <f>IF($W$5=0.2,L2198*1.2,L2198)/$W$4</f>
        <v>1290</v>
      </c>
      <c r="N2198" s="270">
        <f>IF(AH2198="","",(1-$W$2)*(AH2198/1.2))</f>
        <v>1408.3333333333335</v>
      </c>
      <c r="O2198" s="64">
        <f>IF($W$5=0.2,N2198*1.2,N2198)/$W$4</f>
        <v>1690.0000000000002</v>
      </c>
      <c r="P2198" s="15">
        <f>IF(AI2198="","",(1-$W$2)*(AI2198/1.2))</f>
        <v>1166.6666666666667</v>
      </c>
      <c r="Q2198" s="267">
        <f>IF($W$5=0.2,P2198*1.2,P2198)/$W$4</f>
        <v>1400</v>
      </c>
      <c r="R2198" s="270">
        <f>IF(AJ2198="","",(1-$W$2)*(AJ2198/1.2))</f>
        <v>1516.6666666666667</v>
      </c>
      <c r="S2198" s="64">
        <f>IF($W$5=0.2,R2198*1.2,R2198)/$W$4</f>
        <v>1820</v>
      </c>
      <c r="T2198" s="15">
        <f>IF(AK2198="","",(1-$W$2)*(AK2198/1.2))</f>
        <v>1225</v>
      </c>
      <c r="U2198" s="267">
        <f>IF($W$5=0.2,T2198*1.2,T2198)/$W$4</f>
        <v>1470</v>
      </c>
      <c r="V2198" s="270">
        <f>IF(AL2198="","",(1-$W$2)*(AL2198/1.2))</f>
        <v>1591.6666666666667</v>
      </c>
      <c r="W2198" s="402">
        <f>IF($W$5=0.2,V2198*1.2,V2198)/$W$4</f>
        <v>1910</v>
      </c>
      <c r="X2198" s="401"/>
      <c r="Y2198" s="401"/>
      <c r="Z2198" s="401"/>
      <c r="AA2198" s="401"/>
      <c r="AB2198" s="22"/>
      <c r="AC2198" s="332">
        <v>1060</v>
      </c>
      <c r="AD2198" s="332">
        <v>1380</v>
      </c>
      <c r="AE2198" s="332">
        <v>1230</v>
      </c>
      <c r="AF2198" s="332">
        <v>1610</v>
      </c>
      <c r="AG2198" s="332">
        <v>1290</v>
      </c>
      <c r="AH2198" s="332">
        <v>1690</v>
      </c>
      <c r="AI2198" s="332">
        <v>1400</v>
      </c>
      <c r="AJ2198" s="332">
        <v>1820</v>
      </c>
      <c r="AK2198" s="332">
        <v>1470</v>
      </c>
      <c r="AL2198" s="332">
        <v>1910</v>
      </c>
      <c r="AM2198" s="334">
        <v>1060</v>
      </c>
      <c r="AN2198" s="310">
        <f>AM2198/AC2198-1</f>
        <v>0</v>
      </c>
      <c r="AO2198" s="334">
        <v>1380</v>
      </c>
      <c r="AP2198" s="399">
        <f>AO2198/AD2198-1</f>
        <v>0</v>
      </c>
      <c r="AQ2198" s="334">
        <v>1230</v>
      </c>
      <c r="AR2198" s="334">
        <f>AQ2198/AE2198-1</f>
        <v>0</v>
      </c>
      <c r="AS2198" s="334">
        <v>1610</v>
      </c>
      <c r="AT2198" s="334">
        <f>AS2198/AF2198-1</f>
        <v>0</v>
      </c>
      <c r="AU2198" s="334">
        <v>1290</v>
      </c>
      <c r="AV2198" s="334">
        <f>AU2198/AG2198-1</f>
        <v>0</v>
      </c>
      <c r="AW2198" s="1">
        <v>1690</v>
      </c>
    </row>
    <row r="2199" spans="1:58" ht="34.5" customHeight="1">
      <c r="A2199" s="8"/>
      <c r="B2199" s="312" t="str">
        <f>IF($C$1="ENG","Panel (1 set) 160 mm","Планка (1 к-т) 160 мм")</f>
        <v>Планка (1 к-т) 160 мм</v>
      </c>
      <c r="C2199" s="432"/>
      <c r="D2199" s="18">
        <f>IF(AC2199="","",(1-$W$2)*(AC2199/1.2))</f>
        <v>1508.3333333333335</v>
      </c>
      <c r="E2199" s="268">
        <f>IF($W$5=0.2,D2199*1.2,D2199)/$W$4</f>
        <v>1810.0000000000002</v>
      </c>
      <c r="F2199" s="271">
        <f>IF(AD2199="","",(1-$W$2)*(AD2199/1.2))</f>
        <v>1958.3333333333335</v>
      </c>
      <c r="G2199" s="66">
        <f>IF($W$5=0.2,F2199*1.2,F2199)/$W$4</f>
        <v>2350</v>
      </c>
      <c r="H2199" s="18">
        <f>IF(AE2199="","",(1-$W$2)*(AE2199/1.2))</f>
        <v>1741.6666666666667</v>
      </c>
      <c r="I2199" s="268">
        <f>IF($W$5=0.2,H2199*1.2,H2199)/$W$4</f>
        <v>2090</v>
      </c>
      <c r="J2199" s="271">
        <f>IF(AF2199="","",(1-$W$2)*(AF2199/1.2))</f>
        <v>2275</v>
      </c>
      <c r="K2199" s="66">
        <f>IF($W$5=0.2,J2199*1.2,J2199)/$W$4</f>
        <v>2730</v>
      </c>
      <c r="L2199" s="18">
        <f>IF(AG2199="","",(1-$W$2)*(AG2199/1.2))</f>
        <v>1858.3333333333335</v>
      </c>
      <c r="M2199" s="268">
        <f>IF($W$5=0.2,L2199*1.2,L2199)/$W$4</f>
        <v>2230</v>
      </c>
      <c r="N2199" s="271">
        <f>IF(AH2199="","",(1-$W$2)*(AH2199/1.2))</f>
        <v>2408.3333333333335</v>
      </c>
      <c r="O2199" s="66">
        <f>IF($W$5=0.2,N2199*1.2,N2199)/$W$4</f>
        <v>2890</v>
      </c>
      <c r="P2199" s="18">
        <f>IF(AI2199="","",(1-$W$2)*(AI2199/1.2))</f>
        <v>1966.6666666666667</v>
      </c>
      <c r="Q2199" s="268">
        <f>IF($W$5=0.2,P2199*1.2,P2199)/$W$4</f>
        <v>2360</v>
      </c>
      <c r="R2199" s="271">
        <f>IF(AJ2199="","",(1-$W$2)*(AJ2199/1.2))</f>
        <v>2575</v>
      </c>
      <c r="S2199" s="66">
        <f>IF($W$5=0.2,R2199*1.2,R2199)/$W$4</f>
        <v>3090</v>
      </c>
      <c r="T2199" s="18">
        <f>IF(AK2199="","",(1-$W$2)*(AK2199/1.2))</f>
        <v>2133.3333333333335</v>
      </c>
      <c r="U2199" s="268">
        <f>IF($W$5=0.2,T2199*1.2,T2199)/$W$4</f>
        <v>2560</v>
      </c>
      <c r="V2199" s="271">
        <f>IF(AL2199="","",(1-$W$2)*(AL2199/1.2))</f>
        <v>2758.3333333333335</v>
      </c>
      <c r="W2199" s="66">
        <f>IF($W$5=0.2,V2199*1.2,V2199)/$W$4</f>
        <v>3310</v>
      </c>
      <c r="X2199" s="22"/>
      <c r="Y2199" s="22"/>
      <c r="Z2199" s="22"/>
      <c r="AA2199" s="22"/>
      <c r="AB2199" s="22"/>
      <c r="AC2199" s="332">
        <v>1810</v>
      </c>
      <c r="AD2199" s="332">
        <v>2350</v>
      </c>
      <c r="AE2199" s="332">
        <v>2090</v>
      </c>
      <c r="AF2199" s="332">
        <v>2730</v>
      </c>
      <c r="AG2199" s="332">
        <v>2230</v>
      </c>
      <c r="AH2199" s="332">
        <v>2890</v>
      </c>
      <c r="AI2199" s="332">
        <v>2360</v>
      </c>
      <c r="AJ2199" s="332">
        <v>3090</v>
      </c>
      <c r="AK2199" s="332">
        <v>2560</v>
      </c>
      <c r="AL2199" s="332">
        <v>3310</v>
      </c>
      <c r="AM2199" s="334">
        <v>1810</v>
      </c>
      <c r="AN2199" s="310">
        <f t="shared" ref="AN2199:AN2200" si="312">AM2199/AC2199-1</f>
        <v>0</v>
      </c>
      <c r="AO2199" s="334">
        <v>2350</v>
      </c>
      <c r="AP2199" s="399">
        <f t="shared" ref="AP2199:AP2200" si="313">AO2199/AD2199-1</f>
        <v>0</v>
      </c>
      <c r="AQ2199" s="334">
        <v>2090</v>
      </c>
      <c r="AR2199" s="334">
        <f t="shared" ref="AR2199:AR2200" si="314">AQ2199/AE2199-1</f>
        <v>0</v>
      </c>
      <c r="AS2199" s="334">
        <v>2730</v>
      </c>
      <c r="AT2199" s="334">
        <f t="shared" ref="AT2199:AT2200" si="315">AS2199/AF2199-1</f>
        <v>0</v>
      </c>
      <c r="AU2199" s="334">
        <v>2230</v>
      </c>
      <c r="AV2199" s="334">
        <f t="shared" ref="AV2199:AV2200" si="316">AU2199/AG2199-1</f>
        <v>0</v>
      </c>
      <c r="AW2199" s="1">
        <v>2890</v>
      </c>
    </row>
    <row r="2200" spans="1:58" ht="34.5" customHeight="1">
      <c r="A2200" s="8"/>
      <c r="B2200" s="108" t="str">
        <f>IF($C$1="ENG","Panel (1 set) 200 mm","Планка (1 к-т) 200 мм")</f>
        <v>Планка (1 к-т) 200 мм</v>
      </c>
      <c r="C2200" s="433"/>
      <c r="D2200" s="25">
        <f>IF(AC2200="","",(1-$W$2)*(AC2200/1.2))</f>
        <v>1833.3333333333335</v>
      </c>
      <c r="E2200" s="269">
        <f>IF($W$5=0.2,D2200*1.2,D2200)/$W$4</f>
        <v>2200</v>
      </c>
      <c r="F2200" s="272">
        <f>IF(AD2200="","",(1-$W$2)*(AD2200/1.2))</f>
        <v>2383.3333333333335</v>
      </c>
      <c r="G2200" s="69">
        <f>IF($W$5=0.2,F2200*1.2,F2200)/$W$4</f>
        <v>2860</v>
      </c>
      <c r="H2200" s="25">
        <f>IF(AE2200="","",(1-$W$2)*(AE2200/1.2))</f>
        <v>2116.666666666667</v>
      </c>
      <c r="I2200" s="269">
        <f>IF($W$5=0.2,H2200*1.2,H2200)/$W$4</f>
        <v>2540.0000000000005</v>
      </c>
      <c r="J2200" s="272">
        <f>IF(AF2200="","",(1-$W$2)*(AF2200/1.2))</f>
        <v>2750</v>
      </c>
      <c r="K2200" s="69">
        <f>IF($W$5=0.2,J2200*1.2,J2200)/$W$4</f>
        <v>3300</v>
      </c>
      <c r="L2200" s="25">
        <f>IF(AG2200="","",(1-$W$2)*(AG2200/1.2))</f>
        <v>2275</v>
      </c>
      <c r="M2200" s="269">
        <f>IF($W$5=0.2,L2200*1.2,L2200)/$W$4</f>
        <v>2730</v>
      </c>
      <c r="N2200" s="272">
        <f>IF(AH2200="","",(1-$W$2)*(AH2200/1.2))</f>
        <v>2950</v>
      </c>
      <c r="O2200" s="69">
        <f>IF($W$5=0.2,N2200*1.2,N2200)/$W$4</f>
        <v>3540</v>
      </c>
      <c r="P2200" s="25">
        <f>IF(AI2200="","",(1-$W$2)*(AI2200/1.2))</f>
        <v>2391.666666666667</v>
      </c>
      <c r="Q2200" s="269">
        <f>IF($W$5=0.2,P2200*1.2,P2200)/$W$4</f>
        <v>2870.0000000000005</v>
      </c>
      <c r="R2200" s="272">
        <f>IF(AJ2200="","",(1-$W$2)*(AJ2200/1.2))</f>
        <v>3108.3333333333335</v>
      </c>
      <c r="S2200" s="69">
        <f>IF($W$5=0.2,R2200*1.2,R2200)/$W$4</f>
        <v>3730</v>
      </c>
      <c r="T2200" s="25">
        <f>IF(AK2200="","",(1-$W$2)*(AK2200/1.2))</f>
        <v>2600</v>
      </c>
      <c r="U2200" s="269">
        <f>IF($W$5=0.2,T2200*1.2,T2200)/$W$4</f>
        <v>3120</v>
      </c>
      <c r="V2200" s="272">
        <f>IF(AL2200="","",(1-$W$2)*(AL2200/1.2))</f>
        <v>3383.3333333333335</v>
      </c>
      <c r="W2200" s="69">
        <f>IF($W$5=0.2,V2200*1.2,V2200)/$W$4</f>
        <v>4060</v>
      </c>
      <c r="X2200" s="22"/>
      <c r="Y2200" s="22"/>
      <c r="Z2200" s="22"/>
      <c r="AA2200" s="22"/>
      <c r="AB2200" s="22"/>
      <c r="AC2200" s="332">
        <v>2200</v>
      </c>
      <c r="AD2200" s="332">
        <v>2860</v>
      </c>
      <c r="AE2200" s="332">
        <v>2540</v>
      </c>
      <c r="AF2200" s="332">
        <v>3300</v>
      </c>
      <c r="AG2200" s="332">
        <v>2730</v>
      </c>
      <c r="AH2200" s="332">
        <v>3540</v>
      </c>
      <c r="AI2200" s="332">
        <v>2870</v>
      </c>
      <c r="AJ2200" s="332">
        <v>3730</v>
      </c>
      <c r="AK2200" s="332">
        <v>3120</v>
      </c>
      <c r="AL2200" s="332">
        <v>4060</v>
      </c>
      <c r="AM2200" s="334">
        <v>2200</v>
      </c>
      <c r="AN2200" s="310">
        <f t="shared" si="312"/>
        <v>0</v>
      </c>
      <c r="AO2200" s="334">
        <v>2860</v>
      </c>
      <c r="AP2200" s="399">
        <f t="shared" si="313"/>
        <v>0</v>
      </c>
      <c r="AQ2200" s="334">
        <v>2540</v>
      </c>
      <c r="AR2200" s="334">
        <f t="shared" si="314"/>
        <v>0</v>
      </c>
      <c r="AS2200" s="334">
        <v>3300</v>
      </c>
      <c r="AT2200" s="334">
        <f t="shared" si="315"/>
        <v>0</v>
      </c>
      <c r="AU2200" s="334">
        <v>2730</v>
      </c>
      <c r="AV2200" s="334">
        <f t="shared" si="316"/>
        <v>0</v>
      </c>
      <c r="AW2200" s="1">
        <v>3540</v>
      </c>
    </row>
    <row r="2201" spans="1:58">
      <c r="C2201" s="245"/>
      <c r="D2201" s="26"/>
      <c r="E2201" s="57"/>
      <c r="F2201" s="57"/>
      <c r="G2201" s="57"/>
      <c r="H2201" s="57"/>
      <c r="I2201" s="57"/>
      <c r="J2201" s="57"/>
      <c r="K2201" s="57"/>
      <c r="L2201" s="57"/>
      <c r="M2201" s="57"/>
      <c r="N2201" s="57"/>
      <c r="O2201" s="57"/>
      <c r="P2201" s="57"/>
      <c r="Q2201" s="57"/>
      <c r="R2201" s="57"/>
      <c r="S2201" s="57"/>
      <c r="T2201" s="57"/>
      <c r="U2201" s="57"/>
      <c r="V2201" s="57">
        <f t="shared" ref="V2201" si="317">V2199/100*30</f>
        <v>827.50000000000011</v>
      </c>
      <c r="W2201" s="57"/>
      <c r="AD2201" s="1">
        <f>AD2200-AC2200</f>
        <v>660</v>
      </c>
      <c r="AF2201" s="1">
        <f>AF2200-AE2200</f>
        <v>760</v>
      </c>
      <c r="AH2201" s="1">
        <f>AH2200-AG2200</f>
        <v>810</v>
      </c>
      <c r="AJ2201" s="1">
        <f>AJ2200-AI2200</f>
        <v>860</v>
      </c>
      <c r="AL2201" s="1">
        <f>AL2200-AK2200</f>
        <v>940</v>
      </c>
      <c r="AP2201" s="333"/>
      <c r="AQ2201" s="333"/>
      <c r="AR2201" s="333"/>
      <c r="AT2201" s="388"/>
    </row>
    <row r="2202" spans="1:58">
      <c r="B2202" s="212" t="str">
        <f>IF($C$1="ENG","For additonal charge:","Послуги за додаткову плату:")</f>
        <v>Послуги за додаткову плату:</v>
      </c>
      <c r="C2202" s="421"/>
      <c r="D2202" s="213"/>
      <c r="E2202" s="214"/>
      <c r="F2202" s="39"/>
      <c r="G2202" s="39"/>
      <c r="H2202" s="10"/>
      <c r="I2202" s="84"/>
      <c r="J2202" s="8"/>
      <c r="K2202" s="8"/>
      <c r="L2202" s="105"/>
      <c r="N2202" s="105"/>
      <c r="P2202" s="105"/>
      <c r="R2202" s="105"/>
      <c r="U2202" s="20"/>
      <c r="W2202" s="20"/>
      <c r="AP2202" s="333"/>
      <c r="AQ2202" s="333"/>
      <c r="AR2202" s="333"/>
      <c r="AT2202" s="388"/>
    </row>
    <row r="2203" spans="1:58" ht="5.0999999999999996" customHeight="1">
      <c r="B2203" s="27"/>
      <c r="C2203" s="245"/>
      <c r="D2203" s="26"/>
      <c r="E2203" s="57"/>
      <c r="F2203" s="26"/>
      <c r="G2203" s="26"/>
      <c r="H2203" s="10"/>
      <c r="I2203" s="8"/>
      <c r="J2203" s="8"/>
      <c r="K2203" s="8"/>
      <c r="U2203" s="20"/>
      <c r="W2203" s="20"/>
      <c r="AP2203" s="334"/>
      <c r="AQ2203" s="334"/>
      <c r="AR2203" s="334"/>
      <c r="AS2203" s="310"/>
      <c r="AT2203" s="387"/>
    </row>
    <row r="2204" spans="1:58">
      <c r="B2204" s="485" t="str">
        <f>IF($C$1="ENG","third door hindge","третя завіса")</f>
        <v>третя завіса</v>
      </c>
      <c r="C2204" s="486"/>
      <c r="D2204" s="51">
        <f>IF(AC2204="","",(1-$W$2)*(AC2204/1.2))</f>
        <v>66.666666666666671</v>
      </c>
      <c r="E2204" s="85">
        <f>IF($W$5=0.2,D2204*1.2,D2204)/$W$4</f>
        <v>80</v>
      </c>
      <c r="F2204" s="26"/>
      <c r="G2204" s="26"/>
      <c r="H2204" s="10"/>
      <c r="I2204" s="84"/>
      <c r="J2204" s="8"/>
      <c r="K2204" s="84"/>
      <c r="U2204" s="20"/>
      <c r="W2204" s="20"/>
      <c r="AC2204" s="298">
        <v>80</v>
      </c>
      <c r="AE2204" s="30"/>
      <c r="AF2204" s="289"/>
      <c r="AG2204" s="289"/>
      <c r="AH2204" s="289"/>
      <c r="AI2204" s="289"/>
      <c r="AJ2204" s="289"/>
      <c r="AK2204" s="289"/>
      <c r="AL2204" s="289"/>
      <c r="AP2204" s="333"/>
      <c r="AQ2204" s="333"/>
      <c r="AR2204" s="333"/>
      <c r="AT2204" s="388"/>
    </row>
    <row r="2205" spans="1:58" ht="14.25" customHeight="1">
      <c r="T2205" s="489" t="str">
        <f>IF($C$1="ENG",CONCATENATE("down to: ",B2255),CONCATENATE("вниз до: ",B2255))</f>
        <v>вниз до: Дверна коробка Verto-FIT Plus</v>
      </c>
      <c r="U2205" s="489"/>
      <c r="V2205" s="489"/>
      <c r="W2205" s="489"/>
      <c r="AP2205" s="333"/>
      <c r="AQ2205" s="333"/>
      <c r="AR2205" s="333"/>
      <c r="AT2205" s="388"/>
    </row>
    <row r="2206" spans="1:58" ht="14.25" customHeight="1">
      <c r="C2206" s="245"/>
      <c r="D2206" s="26"/>
      <c r="E2206" s="26"/>
      <c r="F2206" s="26"/>
      <c r="G2206" s="57"/>
      <c r="H2206" s="5"/>
      <c r="K2206" s="84"/>
      <c r="L2206" s="279"/>
      <c r="O2206" s="57"/>
      <c r="P2206" s="279"/>
      <c r="S2206" s="57"/>
      <c r="T2206" s="279"/>
      <c r="W2206" s="57"/>
      <c r="X2206" s="279"/>
      <c r="Y2206" s="279"/>
      <c r="Z2206" s="279"/>
      <c r="AA2206" s="279"/>
      <c r="AB2206" s="279"/>
      <c r="AP2206" s="333"/>
      <c r="AQ2206" s="333"/>
      <c r="AR2206" s="333"/>
      <c r="AT2206" s="388"/>
    </row>
    <row r="2207" spans="1:58" ht="14.25" customHeight="1">
      <c r="C2207" s="245"/>
      <c r="D2207" s="26"/>
      <c r="E2207" s="26"/>
      <c r="F2207" s="26"/>
      <c r="G2207" s="57"/>
      <c r="H2207" s="279"/>
      <c r="K2207" s="57"/>
      <c r="L2207" s="279"/>
      <c r="M2207" s="249"/>
      <c r="N2207" s="245"/>
      <c r="O2207" s="249"/>
      <c r="P2207" s="279"/>
      <c r="Q2207" s="249"/>
      <c r="R2207" s="245"/>
      <c r="S2207" s="249"/>
      <c r="T2207" s="279"/>
      <c r="U2207" s="249"/>
      <c r="V2207" s="245"/>
      <c r="W2207" s="249"/>
      <c r="X2207" s="279"/>
      <c r="Y2207" s="279"/>
      <c r="Z2207" s="279"/>
      <c r="AA2207" s="279"/>
      <c r="AB2207" s="279"/>
      <c r="AP2207" s="333"/>
      <c r="AQ2207" s="333"/>
      <c r="AR2207" s="333"/>
      <c r="AT2207" s="388"/>
    </row>
    <row r="2208" spans="1:58" ht="14.25" customHeight="1">
      <c r="C2208" s="245"/>
      <c r="D2208" s="245"/>
      <c r="F2208" s="245"/>
      <c r="G2208" s="249"/>
      <c r="H2208" s="279"/>
      <c r="I2208" s="249"/>
      <c r="J2208" s="245"/>
      <c r="K2208" s="249"/>
      <c r="L2208" s="279"/>
      <c r="M2208" s="284"/>
      <c r="N2208" s="245"/>
      <c r="O2208" s="249"/>
      <c r="P2208" s="279"/>
      <c r="Q2208" s="284"/>
      <c r="R2208" s="245"/>
      <c r="S2208" s="249"/>
      <c r="T2208" s="279"/>
      <c r="U2208" s="284"/>
      <c r="V2208" s="245"/>
      <c r="W2208" s="249"/>
      <c r="X2208" s="279"/>
      <c r="Y2208" s="279"/>
      <c r="Z2208" s="279"/>
      <c r="AA2208" s="279"/>
      <c r="AB2208" s="279"/>
    </row>
    <row r="2209" spans="3:49" ht="14.25" customHeight="1">
      <c r="C2209" s="245"/>
      <c r="D2209" s="245"/>
      <c r="E2209" s="284"/>
      <c r="F2209" s="245"/>
      <c r="G2209" s="249"/>
      <c r="H2209" s="279"/>
      <c r="I2209" s="284"/>
      <c r="J2209" s="245"/>
      <c r="K2209" s="249"/>
      <c r="L2209" s="279"/>
      <c r="M2209" s="284"/>
      <c r="N2209" s="245"/>
      <c r="O2209" s="249"/>
      <c r="P2209" s="279"/>
      <c r="Q2209" s="284"/>
      <c r="R2209" s="245"/>
      <c r="S2209" s="249"/>
      <c r="T2209" s="279"/>
      <c r="U2209" s="284"/>
      <c r="V2209" s="245"/>
      <c r="W2209" s="249"/>
      <c r="X2209" s="279"/>
      <c r="Y2209" s="279"/>
      <c r="Z2209" s="279"/>
      <c r="AA2209" s="279"/>
      <c r="AB2209" s="279"/>
    </row>
    <row r="2210" spans="3:49" ht="14.25" customHeight="1">
      <c r="C2210" s="245"/>
      <c r="D2210" s="245"/>
      <c r="E2210" s="284"/>
      <c r="F2210" s="245"/>
      <c r="G2210" s="249"/>
      <c r="H2210" s="279"/>
      <c r="I2210" s="284"/>
      <c r="J2210" s="245"/>
      <c r="K2210" s="249"/>
      <c r="L2210" s="279"/>
      <c r="M2210" s="284"/>
      <c r="N2210" s="245"/>
      <c r="O2210" s="249"/>
      <c r="P2210" s="279"/>
      <c r="Q2210" s="284"/>
      <c r="R2210" s="245"/>
      <c r="S2210" s="249"/>
      <c r="T2210" s="279"/>
      <c r="U2210" s="284"/>
      <c r="V2210" s="245"/>
      <c r="W2210" s="249"/>
      <c r="X2210" s="279"/>
      <c r="Y2210" s="279"/>
      <c r="Z2210" s="279"/>
      <c r="AA2210" s="279"/>
      <c r="AB2210" s="279"/>
    </row>
    <row r="2211" spans="3:49" ht="14.25" customHeight="1">
      <c r="C2211" s="245"/>
      <c r="D2211" s="245"/>
      <c r="E2211" s="284"/>
      <c r="F2211" s="245"/>
      <c r="G2211" s="249"/>
      <c r="H2211" s="279"/>
      <c r="I2211" s="284"/>
      <c r="J2211" s="245"/>
      <c r="K2211" s="249"/>
      <c r="L2211" s="279"/>
      <c r="M2211" s="284"/>
      <c r="N2211" s="245"/>
      <c r="O2211" s="249"/>
      <c r="P2211" s="279"/>
      <c r="Q2211" s="284"/>
      <c r="R2211" s="245"/>
      <c r="S2211" s="249"/>
      <c r="T2211" s="279"/>
      <c r="U2211" s="284"/>
      <c r="V2211" s="245"/>
      <c r="W2211" s="249"/>
      <c r="X2211" s="279"/>
      <c r="Y2211" s="279"/>
      <c r="Z2211" s="279"/>
      <c r="AA2211" s="279"/>
      <c r="AB2211" s="279"/>
    </row>
    <row r="2212" spans="3:49" ht="14.25" customHeight="1">
      <c r="C2212" s="245"/>
      <c r="D2212" s="245"/>
      <c r="E2212" s="284"/>
      <c r="F2212" s="245"/>
      <c r="G2212" s="249"/>
      <c r="H2212" s="279"/>
      <c r="I2212" s="284"/>
      <c r="J2212" s="245"/>
      <c r="K2212" s="249"/>
      <c r="L2212" s="279"/>
      <c r="M2212" s="284"/>
      <c r="N2212" s="245"/>
      <c r="O2212" s="249"/>
      <c r="P2212" s="279"/>
      <c r="Q2212" s="284"/>
      <c r="R2212" s="245"/>
      <c r="S2212" s="249"/>
      <c r="T2212" s="279"/>
      <c r="U2212" s="284"/>
      <c r="V2212" s="245"/>
      <c r="W2212" s="249"/>
      <c r="X2212" s="279"/>
      <c r="Y2212" s="279"/>
      <c r="Z2212" s="279"/>
      <c r="AA2212" s="279"/>
      <c r="AB2212" s="279"/>
      <c r="AM2212" s="1">
        <f>AC2212/100*13+AC2212</f>
        <v>0</v>
      </c>
      <c r="AN2212" s="30" t="e">
        <f>AM2212/AC2212-1</f>
        <v>#DIV/0!</v>
      </c>
      <c r="AO2212" s="30">
        <f>AD2212/100*13+AD2212</f>
        <v>0</v>
      </c>
      <c r="AP2212" s="30" t="e">
        <f>AO2212/AD2212-1</f>
        <v>#DIV/0!</v>
      </c>
      <c r="AQ2212" s="30">
        <f>AE2212/100*13+AE2212</f>
        <v>0</v>
      </c>
      <c r="AR2212" s="30" t="e">
        <f>AQ2212/AE2212-1</f>
        <v>#DIV/0!</v>
      </c>
      <c r="AS2212" s="30">
        <f>AF2212/100*13+AF2212</f>
        <v>0</v>
      </c>
      <c r="AT2212" s="30" t="e">
        <f>AS2212/AF2212-1</f>
        <v>#DIV/0!</v>
      </c>
      <c r="AU2212" s="1">
        <f>AG2212/100*13+AG2212</f>
        <v>0</v>
      </c>
      <c r="AV2212" s="1" t="e">
        <f>AU2212/AG2212-1</f>
        <v>#DIV/0!</v>
      </c>
      <c r="AW2212" s="1">
        <f>AH2212/100*13+AH2212</f>
        <v>0</v>
      </c>
    </row>
    <row r="2213" spans="3:49" ht="14.25" customHeight="1">
      <c r="C2213" s="245"/>
      <c r="D2213" s="245"/>
      <c r="E2213" s="284"/>
      <c r="F2213" s="245"/>
      <c r="G2213" s="249"/>
      <c r="H2213" s="279"/>
      <c r="I2213" s="284"/>
      <c r="J2213" s="245"/>
      <c r="K2213" s="249"/>
      <c r="L2213" s="279"/>
      <c r="M2213" s="284"/>
      <c r="N2213" s="245"/>
      <c r="O2213" s="249"/>
      <c r="P2213" s="279"/>
      <c r="Q2213" s="284"/>
      <c r="R2213" s="245"/>
      <c r="S2213" s="249"/>
      <c r="T2213" s="279"/>
      <c r="U2213" s="284"/>
      <c r="V2213" s="245"/>
      <c r="W2213" s="249"/>
      <c r="X2213" s="279"/>
      <c r="Y2213" s="279"/>
      <c r="Z2213" s="279"/>
      <c r="AA2213" s="279"/>
      <c r="AB2213" s="279"/>
      <c r="AM2213" s="1">
        <f t="shared" ref="AM2213:AM2221" si="318">AC2213/100*13+AC2213</f>
        <v>0</v>
      </c>
      <c r="AN2213" s="30" t="e">
        <f t="shared" ref="AN2213:AN2221" si="319">AM2213/AC2213-1</f>
        <v>#DIV/0!</v>
      </c>
      <c r="AO2213" s="30">
        <f t="shared" ref="AO2213:AO2221" si="320">AD2213/100*13+AD2213</f>
        <v>0</v>
      </c>
      <c r="AP2213" s="30" t="e">
        <f t="shared" ref="AP2213:AP2221" si="321">AO2213/AD2213-1</f>
        <v>#DIV/0!</v>
      </c>
      <c r="AQ2213" s="30">
        <f t="shared" ref="AQ2213:AQ2221" si="322">AE2213/100*13+AE2213</f>
        <v>0</v>
      </c>
      <c r="AR2213" s="30" t="e">
        <f t="shared" ref="AR2213:AR2221" si="323">AQ2213/AE2213-1</f>
        <v>#DIV/0!</v>
      </c>
      <c r="AS2213" s="30">
        <f t="shared" ref="AS2213:AS2221" si="324">AF2213/100*13+AF2213</f>
        <v>0</v>
      </c>
      <c r="AT2213" s="30" t="e">
        <f t="shared" ref="AT2213:AT2221" si="325">AS2213/AF2213-1</f>
        <v>#DIV/0!</v>
      </c>
      <c r="AU2213" s="1">
        <f t="shared" ref="AU2213:AU2221" si="326">AG2213/100*13+AG2213</f>
        <v>0</v>
      </c>
      <c r="AV2213" s="1" t="e">
        <f t="shared" ref="AV2213:AV2221" si="327">AU2213/AG2213-1</f>
        <v>#DIV/0!</v>
      </c>
      <c r="AW2213" s="1">
        <f t="shared" ref="AW2213:AW2221" si="328">AH2213/100*13+AH2213</f>
        <v>0</v>
      </c>
    </row>
    <row r="2214" spans="3:49" ht="14.25" customHeight="1">
      <c r="C2214" s="245"/>
      <c r="D2214" s="245"/>
      <c r="E2214" s="284"/>
      <c r="F2214" s="245"/>
      <c r="G2214" s="249"/>
      <c r="H2214" s="279"/>
      <c r="I2214" s="284"/>
      <c r="J2214" s="245"/>
      <c r="K2214" s="249"/>
      <c r="L2214" s="279"/>
      <c r="M2214" s="284"/>
      <c r="N2214" s="245"/>
      <c r="O2214" s="249"/>
      <c r="P2214" s="279"/>
      <c r="Q2214" s="284"/>
      <c r="R2214" s="245"/>
      <c r="S2214" s="249"/>
      <c r="T2214" s="279"/>
      <c r="U2214" s="284"/>
      <c r="V2214" s="245"/>
      <c r="W2214" s="249"/>
      <c r="X2214" s="279"/>
      <c r="Y2214" s="279"/>
      <c r="Z2214" s="279"/>
      <c r="AA2214" s="279"/>
      <c r="AB2214" s="279"/>
      <c r="AM2214" s="1">
        <f t="shared" si="318"/>
        <v>0</v>
      </c>
      <c r="AN2214" s="30" t="e">
        <f t="shared" si="319"/>
        <v>#DIV/0!</v>
      </c>
      <c r="AO2214" s="30">
        <f t="shared" si="320"/>
        <v>0</v>
      </c>
      <c r="AP2214" s="30" t="e">
        <f t="shared" si="321"/>
        <v>#DIV/0!</v>
      </c>
      <c r="AQ2214" s="30">
        <f t="shared" si="322"/>
        <v>0</v>
      </c>
      <c r="AR2214" s="30" t="e">
        <f t="shared" si="323"/>
        <v>#DIV/0!</v>
      </c>
      <c r="AS2214" s="30">
        <f t="shared" si="324"/>
        <v>0</v>
      </c>
      <c r="AT2214" s="30" t="e">
        <f t="shared" si="325"/>
        <v>#DIV/0!</v>
      </c>
      <c r="AU2214" s="1">
        <f t="shared" si="326"/>
        <v>0</v>
      </c>
      <c r="AV2214" s="1" t="e">
        <f t="shared" si="327"/>
        <v>#DIV/0!</v>
      </c>
      <c r="AW2214" s="1">
        <f t="shared" si="328"/>
        <v>0</v>
      </c>
    </row>
    <row r="2215" spans="3:49" ht="14.25" customHeight="1">
      <c r="C2215" s="245"/>
      <c r="D2215" s="245"/>
      <c r="E2215" s="284"/>
      <c r="F2215" s="245"/>
      <c r="G2215" s="249"/>
      <c r="H2215" s="279"/>
      <c r="I2215" s="284"/>
      <c r="J2215" s="245"/>
      <c r="K2215" s="249"/>
      <c r="L2215" s="279"/>
      <c r="M2215" s="284"/>
      <c r="N2215" s="245"/>
      <c r="O2215" s="249"/>
      <c r="P2215" s="279"/>
      <c r="Q2215" s="284"/>
      <c r="R2215" s="245"/>
      <c r="S2215" s="249"/>
      <c r="T2215" s="279"/>
      <c r="U2215" s="284"/>
      <c r="V2215" s="245"/>
      <c r="W2215" s="249"/>
      <c r="X2215" s="279"/>
      <c r="Y2215" s="279"/>
      <c r="Z2215" s="279"/>
      <c r="AA2215" s="279"/>
      <c r="AB2215" s="279"/>
      <c r="AM2215" s="1">
        <f t="shared" si="318"/>
        <v>0</v>
      </c>
      <c r="AN2215" s="30" t="e">
        <f t="shared" si="319"/>
        <v>#DIV/0!</v>
      </c>
      <c r="AO2215" s="30">
        <f t="shared" si="320"/>
        <v>0</v>
      </c>
      <c r="AP2215" s="30" t="e">
        <f t="shared" si="321"/>
        <v>#DIV/0!</v>
      </c>
      <c r="AQ2215" s="30">
        <f t="shared" si="322"/>
        <v>0</v>
      </c>
      <c r="AR2215" s="30" t="e">
        <f t="shared" si="323"/>
        <v>#DIV/0!</v>
      </c>
      <c r="AS2215" s="30">
        <f t="shared" si="324"/>
        <v>0</v>
      </c>
      <c r="AT2215" s="30" t="e">
        <f t="shared" si="325"/>
        <v>#DIV/0!</v>
      </c>
      <c r="AU2215" s="1">
        <f t="shared" si="326"/>
        <v>0</v>
      </c>
      <c r="AV2215" s="1" t="e">
        <f t="shared" si="327"/>
        <v>#DIV/0!</v>
      </c>
      <c r="AW2215" s="1">
        <f t="shared" si="328"/>
        <v>0</v>
      </c>
    </row>
    <row r="2216" spans="3:49" ht="14.25" customHeight="1">
      <c r="C2216" s="245"/>
      <c r="D2216" s="245"/>
      <c r="E2216" s="284"/>
      <c r="F2216" s="245"/>
      <c r="G2216" s="249"/>
      <c r="H2216" s="279"/>
      <c r="I2216" s="284"/>
      <c r="J2216" s="245"/>
      <c r="K2216" s="249"/>
      <c r="L2216" s="279"/>
      <c r="M2216" s="284"/>
      <c r="N2216" s="245"/>
      <c r="O2216" s="249"/>
      <c r="P2216" s="279"/>
      <c r="Q2216" s="284"/>
      <c r="R2216" s="245"/>
      <c r="S2216" s="249"/>
      <c r="T2216" s="279"/>
      <c r="U2216" s="284"/>
      <c r="V2216" s="245"/>
      <c r="W2216" s="249"/>
      <c r="X2216" s="279"/>
      <c r="Y2216" s="279"/>
      <c r="Z2216" s="279"/>
      <c r="AA2216" s="279"/>
      <c r="AB2216" s="279"/>
      <c r="AM2216" s="1">
        <f t="shared" si="318"/>
        <v>0</v>
      </c>
      <c r="AN2216" s="30" t="e">
        <f t="shared" si="319"/>
        <v>#DIV/0!</v>
      </c>
      <c r="AO2216" s="30">
        <f t="shared" si="320"/>
        <v>0</v>
      </c>
      <c r="AP2216" s="30" t="e">
        <f t="shared" si="321"/>
        <v>#DIV/0!</v>
      </c>
      <c r="AQ2216" s="30">
        <f t="shared" si="322"/>
        <v>0</v>
      </c>
      <c r="AR2216" s="30" t="e">
        <f t="shared" si="323"/>
        <v>#DIV/0!</v>
      </c>
      <c r="AS2216" s="30">
        <f t="shared" si="324"/>
        <v>0</v>
      </c>
      <c r="AT2216" s="30" t="e">
        <f t="shared" si="325"/>
        <v>#DIV/0!</v>
      </c>
      <c r="AU2216" s="1">
        <f t="shared" si="326"/>
        <v>0</v>
      </c>
      <c r="AV2216" s="1" t="e">
        <f t="shared" si="327"/>
        <v>#DIV/0!</v>
      </c>
      <c r="AW2216" s="1">
        <f t="shared" si="328"/>
        <v>0</v>
      </c>
    </row>
    <row r="2217" spans="3:49" ht="14.25" customHeight="1">
      <c r="C2217" s="245"/>
      <c r="D2217" s="245"/>
      <c r="E2217" s="284"/>
      <c r="F2217" s="245"/>
      <c r="G2217" s="249"/>
      <c r="H2217" s="279"/>
      <c r="I2217" s="284"/>
      <c r="J2217" s="245"/>
      <c r="K2217" s="249"/>
      <c r="L2217" s="279"/>
      <c r="M2217" s="284"/>
      <c r="N2217" s="245"/>
      <c r="O2217" s="249"/>
      <c r="P2217" s="279"/>
      <c r="Q2217" s="284"/>
      <c r="R2217" s="245"/>
      <c r="S2217" s="249"/>
      <c r="T2217" s="279"/>
      <c r="U2217" s="284"/>
      <c r="V2217" s="245"/>
      <c r="W2217" s="249"/>
      <c r="X2217" s="279"/>
      <c r="Y2217" s="279"/>
      <c r="Z2217" s="279"/>
      <c r="AA2217" s="279"/>
      <c r="AB2217" s="279"/>
      <c r="AM2217" s="1">
        <f t="shared" si="318"/>
        <v>0</v>
      </c>
      <c r="AN2217" s="30" t="e">
        <f t="shared" si="319"/>
        <v>#DIV/0!</v>
      </c>
      <c r="AO2217" s="30">
        <f t="shared" si="320"/>
        <v>0</v>
      </c>
      <c r="AP2217" s="30" t="e">
        <f t="shared" si="321"/>
        <v>#DIV/0!</v>
      </c>
      <c r="AQ2217" s="30">
        <f t="shared" si="322"/>
        <v>0</v>
      </c>
      <c r="AR2217" s="30" t="e">
        <f t="shared" si="323"/>
        <v>#DIV/0!</v>
      </c>
      <c r="AS2217" s="30">
        <f t="shared" si="324"/>
        <v>0</v>
      </c>
      <c r="AT2217" s="30" t="e">
        <f t="shared" si="325"/>
        <v>#DIV/0!</v>
      </c>
      <c r="AU2217" s="1">
        <f t="shared" si="326"/>
        <v>0</v>
      </c>
      <c r="AV2217" s="1" t="e">
        <f t="shared" si="327"/>
        <v>#DIV/0!</v>
      </c>
      <c r="AW2217" s="1">
        <f t="shared" si="328"/>
        <v>0</v>
      </c>
    </row>
    <row r="2218" spans="3:49" ht="14.25" customHeight="1">
      <c r="C2218" s="245"/>
      <c r="D2218" s="245"/>
      <c r="E2218" s="284"/>
      <c r="F2218" s="245"/>
      <c r="G2218" s="249"/>
      <c r="H2218" s="279"/>
      <c r="I2218" s="284"/>
      <c r="J2218" s="245"/>
      <c r="K2218" s="249"/>
      <c r="L2218" s="279"/>
      <c r="M2218" s="284"/>
      <c r="N2218" s="245"/>
      <c r="O2218" s="249"/>
      <c r="P2218" s="279"/>
      <c r="Q2218" s="284"/>
      <c r="R2218" s="245"/>
      <c r="S2218" s="249"/>
      <c r="T2218" s="279"/>
      <c r="U2218" s="284"/>
      <c r="V2218" s="245"/>
      <c r="W2218" s="249"/>
      <c r="X2218" s="279"/>
      <c r="Y2218" s="279"/>
      <c r="Z2218" s="279"/>
      <c r="AA2218" s="279"/>
      <c r="AB2218" s="279"/>
      <c r="AM2218" s="1">
        <f t="shared" si="318"/>
        <v>0</v>
      </c>
      <c r="AN2218" s="30" t="e">
        <f t="shared" si="319"/>
        <v>#DIV/0!</v>
      </c>
      <c r="AO2218" s="30">
        <f t="shared" si="320"/>
        <v>0</v>
      </c>
      <c r="AP2218" s="30" t="e">
        <f t="shared" si="321"/>
        <v>#DIV/0!</v>
      </c>
      <c r="AQ2218" s="30">
        <f t="shared" si="322"/>
        <v>0</v>
      </c>
      <c r="AR2218" s="30" t="e">
        <f t="shared" si="323"/>
        <v>#DIV/0!</v>
      </c>
      <c r="AS2218" s="30">
        <f t="shared" si="324"/>
        <v>0</v>
      </c>
      <c r="AT2218" s="30" t="e">
        <f t="shared" si="325"/>
        <v>#DIV/0!</v>
      </c>
      <c r="AU2218" s="1">
        <f t="shared" si="326"/>
        <v>0</v>
      </c>
      <c r="AV2218" s="1" t="e">
        <f t="shared" si="327"/>
        <v>#DIV/0!</v>
      </c>
      <c r="AW2218" s="1">
        <f t="shared" si="328"/>
        <v>0</v>
      </c>
    </row>
    <row r="2219" spans="3:49" ht="14.25" customHeight="1">
      <c r="C2219" s="245"/>
      <c r="D2219" s="245"/>
      <c r="E2219" s="284"/>
      <c r="F2219" s="245"/>
      <c r="G2219" s="249"/>
      <c r="H2219" s="279"/>
      <c r="I2219" s="284"/>
      <c r="J2219" s="245"/>
      <c r="K2219" s="249"/>
      <c r="L2219" s="279"/>
      <c r="M2219" s="284"/>
      <c r="N2219" s="245"/>
      <c r="O2219" s="249"/>
      <c r="P2219" s="279"/>
      <c r="Q2219" s="284"/>
      <c r="R2219" s="245"/>
      <c r="S2219" s="249"/>
      <c r="T2219" s="279"/>
      <c r="U2219" s="284"/>
      <c r="V2219" s="245"/>
      <c r="W2219" s="249"/>
      <c r="X2219" s="279"/>
      <c r="Y2219" s="279"/>
      <c r="Z2219" s="279"/>
      <c r="AA2219" s="279"/>
      <c r="AB2219" s="279"/>
      <c r="AM2219" s="1">
        <f t="shared" si="318"/>
        <v>0</v>
      </c>
      <c r="AN2219" s="30" t="e">
        <f t="shared" si="319"/>
        <v>#DIV/0!</v>
      </c>
      <c r="AO2219" s="30">
        <f t="shared" si="320"/>
        <v>0</v>
      </c>
      <c r="AP2219" s="30" t="e">
        <f t="shared" si="321"/>
        <v>#DIV/0!</v>
      </c>
      <c r="AQ2219" s="30">
        <f t="shared" si="322"/>
        <v>0</v>
      </c>
      <c r="AR2219" s="30" t="e">
        <f t="shared" si="323"/>
        <v>#DIV/0!</v>
      </c>
      <c r="AS2219" s="30">
        <f t="shared" si="324"/>
        <v>0</v>
      </c>
      <c r="AT2219" s="30" t="e">
        <f t="shared" si="325"/>
        <v>#DIV/0!</v>
      </c>
      <c r="AU2219" s="1">
        <f t="shared" si="326"/>
        <v>0</v>
      </c>
      <c r="AV2219" s="1" t="e">
        <f t="shared" si="327"/>
        <v>#DIV/0!</v>
      </c>
      <c r="AW2219" s="1">
        <f t="shared" si="328"/>
        <v>0</v>
      </c>
    </row>
    <row r="2220" spans="3:49" ht="14.25" customHeight="1">
      <c r="C2220" s="245"/>
      <c r="D2220" s="245"/>
      <c r="E2220" s="284"/>
      <c r="F2220" s="245"/>
      <c r="G2220" s="249"/>
      <c r="H2220" s="279"/>
      <c r="I2220" s="284"/>
      <c r="J2220" s="245"/>
      <c r="K2220" s="249"/>
      <c r="L2220" s="279"/>
      <c r="M2220" s="284"/>
      <c r="N2220" s="245"/>
      <c r="O2220" s="249"/>
      <c r="P2220" s="279"/>
      <c r="Q2220" s="284"/>
      <c r="R2220" s="245"/>
      <c r="S2220" s="249"/>
      <c r="T2220" s="279"/>
      <c r="U2220" s="284"/>
      <c r="V2220" s="245"/>
      <c r="W2220" s="249"/>
      <c r="X2220" s="279"/>
      <c r="Y2220" s="279"/>
      <c r="Z2220" s="279"/>
      <c r="AA2220" s="279"/>
      <c r="AB2220" s="279"/>
      <c r="AM2220" s="1">
        <f t="shared" si="318"/>
        <v>0</v>
      </c>
      <c r="AN2220" s="30" t="e">
        <f t="shared" si="319"/>
        <v>#DIV/0!</v>
      </c>
      <c r="AO2220" s="30">
        <f t="shared" si="320"/>
        <v>0</v>
      </c>
      <c r="AP2220" s="30" t="e">
        <f t="shared" si="321"/>
        <v>#DIV/0!</v>
      </c>
      <c r="AQ2220" s="30">
        <f t="shared" si="322"/>
        <v>0</v>
      </c>
      <c r="AR2220" s="30" t="e">
        <f t="shared" si="323"/>
        <v>#DIV/0!</v>
      </c>
      <c r="AS2220" s="30">
        <f t="shared" si="324"/>
        <v>0</v>
      </c>
      <c r="AT2220" s="30" t="e">
        <f t="shared" si="325"/>
        <v>#DIV/0!</v>
      </c>
      <c r="AU2220" s="1">
        <f t="shared" si="326"/>
        <v>0</v>
      </c>
      <c r="AV2220" s="1" t="e">
        <f t="shared" si="327"/>
        <v>#DIV/0!</v>
      </c>
      <c r="AW2220" s="1">
        <f t="shared" si="328"/>
        <v>0</v>
      </c>
    </row>
    <row r="2221" spans="3:49" ht="14.25" customHeight="1">
      <c r="C2221" s="245"/>
      <c r="D2221" s="245"/>
      <c r="E2221" s="284"/>
      <c r="F2221" s="245"/>
      <c r="G2221" s="249"/>
      <c r="H2221" s="279"/>
      <c r="I2221" s="284"/>
      <c r="J2221" s="245"/>
      <c r="K2221" s="249"/>
      <c r="L2221" s="279"/>
      <c r="M2221" s="284"/>
      <c r="N2221" s="245"/>
      <c r="O2221" s="249"/>
      <c r="P2221" s="279"/>
      <c r="Q2221" s="284"/>
      <c r="R2221" s="245"/>
      <c r="S2221" s="249"/>
      <c r="T2221" s="279"/>
      <c r="U2221" s="284"/>
      <c r="V2221" s="245"/>
      <c r="W2221" s="249"/>
      <c r="X2221" s="279"/>
      <c r="Y2221" s="279"/>
      <c r="Z2221" s="279"/>
      <c r="AA2221" s="279"/>
      <c r="AB2221" s="279"/>
      <c r="AM2221" s="1">
        <f t="shared" si="318"/>
        <v>0</v>
      </c>
      <c r="AN2221" s="30" t="e">
        <f t="shared" si="319"/>
        <v>#DIV/0!</v>
      </c>
      <c r="AO2221" s="30">
        <f t="shared" si="320"/>
        <v>0</v>
      </c>
      <c r="AP2221" s="30" t="e">
        <f t="shared" si="321"/>
        <v>#DIV/0!</v>
      </c>
      <c r="AQ2221" s="30">
        <f t="shared" si="322"/>
        <v>0</v>
      </c>
      <c r="AR2221" s="30" t="e">
        <f t="shared" si="323"/>
        <v>#DIV/0!</v>
      </c>
      <c r="AS2221" s="30">
        <f t="shared" si="324"/>
        <v>0</v>
      </c>
      <c r="AT2221" s="30" t="e">
        <f t="shared" si="325"/>
        <v>#DIV/0!</v>
      </c>
      <c r="AU2221" s="1">
        <f t="shared" si="326"/>
        <v>0</v>
      </c>
      <c r="AV2221" s="1" t="e">
        <f t="shared" si="327"/>
        <v>#DIV/0!</v>
      </c>
      <c r="AW2221" s="1">
        <f t="shared" si="328"/>
        <v>0</v>
      </c>
    </row>
    <row r="2222" spans="3:49" ht="14.25" customHeight="1">
      <c r="C2222" s="245"/>
      <c r="D2222" s="245"/>
      <c r="E2222" s="284"/>
      <c r="F2222" s="245"/>
      <c r="G2222" s="249"/>
      <c r="H2222" s="279"/>
      <c r="I2222" s="284"/>
      <c r="J2222" s="245"/>
      <c r="K2222" s="249"/>
      <c r="L2222" s="279"/>
      <c r="M2222" s="284"/>
      <c r="N2222" s="245"/>
      <c r="O2222" s="249"/>
      <c r="P2222" s="279"/>
      <c r="Q2222" s="284"/>
      <c r="R2222" s="245"/>
      <c r="S2222" s="249"/>
      <c r="T2222" s="279"/>
      <c r="U2222" s="284"/>
      <c r="V2222" s="245"/>
      <c r="W2222" s="249"/>
      <c r="X2222" s="279"/>
      <c r="Y2222" s="279"/>
      <c r="Z2222" s="279"/>
      <c r="AA2222" s="279"/>
      <c r="AB2222" s="279"/>
    </row>
    <row r="2223" spans="3:49" ht="14.25" customHeight="1">
      <c r="C2223" s="245"/>
      <c r="D2223" s="245"/>
      <c r="E2223" s="284"/>
      <c r="F2223" s="245"/>
      <c r="G2223" s="249"/>
      <c r="H2223" s="279"/>
      <c r="I2223" s="284"/>
      <c r="J2223" s="245"/>
      <c r="K2223" s="249"/>
      <c r="L2223" s="279"/>
      <c r="M2223" s="284"/>
      <c r="N2223" s="245"/>
      <c r="O2223" s="249"/>
      <c r="P2223" s="279"/>
      <c r="Q2223" s="284"/>
      <c r="R2223" s="245"/>
      <c r="S2223" s="249"/>
      <c r="T2223" s="279"/>
      <c r="U2223" s="284"/>
      <c r="V2223" s="245"/>
      <c r="W2223" s="249"/>
      <c r="X2223" s="279"/>
      <c r="Y2223" s="279"/>
      <c r="Z2223" s="279"/>
      <c r="AA2223" s="279"/>
      <c r="AB2223" s="279"/>
    </row>
    <row r="2224" spans="3:49" ht="14.25" customHeight="1">
      <c r="C2224" s="245"/>
      <c r="D2224" s="245"/>
      <c r="E2224" s="284"/>
      <c r="F2224" s="245"/>
      <c r="G2224" s="249"/>
      <c r="H2224" s="279"/>
      <c r="I2224" s="284"/>
      <c r="J2224" s="245"/>
      <c r="K2224" s="249"/>
      <c r="L2224" s="279"/>
      <c r="M2224" s="284"/>
      <c r="N2224" s="245"/>
      <c r="O2224" s="249"/>
      <c r="P2224" s="279"/>
      <c r="Q2224" s="284"/>
      <c r="R2224" s="245"/>
      <c r="S2224" s="249"/>
      <c r="T2224" s="279"/>
      <c r="U2224" s="284"/>
      <c r="V2224" s="245"/>
      <c r="W2224" s="249"/>
      <c r="X2224" s="279"/>
      <c r="Y2224" s="279"/>
      <c r="Z2224" s="279"/>
      <c r="AA2224" s="279"/>
      <c r="AB2224" s="279"/>
    </row>
    <row r="2225" spans="3:28" ht="14.25" customHeight="1">
      <c r="C2225" s="245"/>
      <c r="D2225" s="245"/>
      <c r="E2225" s="284"/>
      <c r="F2225" s="245"/>
      <c r="G2225" s="249"/>
      <c r="H2225" s="279"/>
      <c r="I2225" s="284"/>
      <c r="J2225" s="245"/>
      <c r="K2225" s="249"/>
      <c r="L2225" s="279"/>
      <c r="M2225" s="284"/>
      <c r="N2225" s="245"/>
      <c r="O2225" s="249"/>
      <c r="P2225" s="279"/>
      <c r="Q2225" s="284"/>
      <c r="R2225" s="245"/>
      <c r="S2225" s="249"/>
      <c r="T2225" s="279"/>
      <c r="U2225" s="284"/>
      <c r="V2225" s="245"/>
      <c r="W2225" s="249"/>
      <c r="X2225" s="279"/>
      <c r="Y2225" s="279"/>
      <c r="Z2225" s="279"/>
      <c r="AA2225" s="279"/>
      <c r="AB2225" s="279"/>
    </row>
    <row r="2226" spans="3:28" ht="14.25" customHeight="1">
      <c r="C2226" s="245"/>
      <c r="D2226" s="245"/>
      <c r="E2226" s="284"/>
      <c r="F2226" s="245"/>
      <c r="G2226" s="249"/>
      <c r="H2226" s="279"/>
      <c r="I2226" s="284"/>
      <c r="J2226" s="245"/>
      <c r="K2226" s="249"/>
      <c r="L2226" s="279"/>
      <c r="M2226" s="284"/>
      <c r="N2226" s="245"/>
      <c r="O2226" s="249"/>
      <c r="P2226" s="279"/>
      <c r="Q2226" s="284"/>
      <c r="R2226" s="245"/>
      <c r="S2226" s="249"/>
      <c r="T2226" s="279"/>
      <c r="U2226" s="284"/>
      <c r="V2226" s="245"/>
      <c r="W2226" s="249"/>
      <c r="X2226" s="279"/>
      <c r="Y2226" s="279"/>
      <c r="Z2226" s="279"/>
      <c r="AA2226" s="279"/>
      <c r="AB2226" s="279"/>
    </row>
    <row r="2227" spans="3:28" ht="14.25" customHeight="1">
      <c r="C2227" s="245"/>
      <c r="D2227" s="245"/>
      <c r="E2227" s="284"/>
      <c r="F2227" s="245"/>
      <c r="G2227" s="249"/>
      <c r="H2227" s="279"/>
      <c r="I2227" s="284"/>
      <c r="J2227" s="245"/>
      <c r="K2227" s="249"/>
      <c r="L2227" s="279"/>
      <c r="M2227" s="284"/>
      <c r="N2227" s="245"/>
      <c r="O2227" s="249"/>
      <c r="P2227" s="279"/>
      <c r="Q2227" s="284"/>
      <c r="R2227" s="245"/>
      <c r="S2227" s="249"/>
      <c r="T2227" s="279"/>
      <c r="U2227" s="284"/>
      <c r="V2227" s="245"/>
      <c r="W2227" s="249"/>
      <c r="X2227" s="279"/>
      <c r="Y2227" s="279"/>
      <c r="Z2227" s="279"/>
      <c r="AA2227" s="279"/>
      <c r="AB2227" s="279"/>
    </row>
    <row r="2228" spans="3:28" ht="14.25" customHeight="1">
      <c r="C2228" s="245"/>
      <c r="D2228" s="245"/>
      <c r="E2228" s="284"/>
      <c r="F2228" s="245"/>
      <c r="G2228" s="249"/>
      <c r="H2228" s="279"/>
      <c r="I2228" s="284"/>
      <c r="J2228" s="245"/>
      <c r="K2228" s="249"/>
      <c r="L2228" s="279"/>
      <c r="M2228" s="284"/>
      <c r="N2228" s="245"/>
      <c r="O2228" s="249"/>
      <c r="P2228" s="279"/>
      <c r="Q2228" s="284"/>
      <c r="R2228" s="245"/>
      <c r="S2228" s="249"/>
      <c r="T2228" s="279"/>
      <c r="U2228" s="284"/>
      <c r="V2228" s="245"/>
      <c r="W2228" s="249"/>
      <c r="X2228" s="279"/>
      <c r="Y2228" s="279"/>
      <c r="Z2228" s="279"/>
      <c r="AA2228" s="279"/>
      <c r="AB2228" s="279"/>
    </row>
    <row r="2229" spans="3:28" ht="14.25" customHeight="1">
      <c r="C2229" s="245"/>
      <c r="D2229" s="245"/>
      <c r="E2229" s="284"/>
      <c r="F2229" s="245"/>
      <c r="G2229" s="249"/>
      <c r="H2229" s="279"/>
      <c r="I2229" s="284"/>
      <c r="J2229" s="245"/>
      <c r="K2229" s="249"/>
      <c r="L2229" s="279"/>
      <c r="M2229" s="284"/>
      <c r="N2229" s="245"/>
      <c r="O2229" s="249"/>
      <c r="P2229" s="279"/>
      <c r="Q2229" s="284"/>
      <c r="R2229" s="245"/>
      <c r="S2229" s="249"/>
      <c r="T2229" s="279"/>
      <c r="U2229" s="284"/>
      <c r="V2229" s="245"/>
      <c r="W2229" s="249"/>
      <c r="X2229" s="279"/>
      <c r="Y2229" s="279"/>
      <c r="Z2229" s="279"/>
      <c r="AA2229" s="279"/>
      <c r="AB2229" s="279"/>
    </row>
    <row r="2230" spans="3:28" ht="14.25" customHeight="1">
      <c r="C2230" s="245"/>
      <c r="D2230" s="245"/>
      <c r="E2230" s="284"/>
      <c r="F2230" s="245"/>
      <c r="G2230" s="249"/>
      <c r="H2230" s="279"/>
      <c r="I2230" s="284"/>
      <c r="J2230" s="245"/>
      <c r="K2230" s="249"/>
      <c r="L2230" s="279"/>
      <c r="M2230" s="284"/>
      <c r="N2230" s="245"/>
      <c r="O2230" s="249"/>
      <c r="P2230" s="279"/>
      <c r="Q2230" s="284"/>
      <c r="R2230" s="245"/>
      <c r="S2230" s="249"/>
      <c r="T2230" s="279"/>
      <c r="U2230" s="284"/>
      <c r="V2230" s="245"/>
      <c r="W2230" s="249"/>
      <c r="X2230" s="279"/>
      <c r="Y2230" s="279"/>
      <c r="Z2230" s="279"/>
      <c r="AA2230" s="279"/>
      <c r="AB2230" s="279"/>
    </row>
    <row r="2231" spans="3:28" ht="14.25" customHeight="1">
      <c r="C2231" s="245"/>
      <c r="D2231" s="245"/>
      <c r="E2231" s="284"/>
      <c r="F2231" s="245"/>
      <c r="G2231" s="249"/>
      <c r="H2231" s="279"/>
      <c r="I2231" s="284"/>
      <c r="J2231" s="245"/>
      <c r="K2231" s="249"/>
      <c r="L2231" s="279"/>
      <c r="M2231" s="284"/>
      <c r="N2231" s="245"/>
      <c r="O2231" s="249"/>
      <c r="P2231" s="279"/>
      <c r="Q2231" s="284"/>
      <c r="R2231" s="245"/>
      <c r="S2231" s="249"/>
      <c r="T2231" s="279"/>
      <c r="U2231" s="284"/>
      <c r="V2231" s="245"/>
      <c r="W2231" s="249"/>
      <c r="X2231" s="279"/>
      <c r="Y2231" s="279"/>
      <c r="Z2231" s="279"/>
      <c r="AA2231" s="279"/>
      <c r="AB2231" s="279"/>
    </row>
    <row r="2232" spans="3:28" ht="14.25" customHeight="1">
      <c r="C2232" s="245"/>
      <c r="D2232" s="245"/>
      <c r="E2232" s="284"/>
      <c r="F2232" s="245"/>
      <c r="G2232" s="249"/>
      <c r="H2232" s="279"/>
      <c r="I2232" s="284"/>
      <c r="J2232" s="245"/>
      <c r="K2232" s="249"/>
      <c r="L2232" s="279"/>
      <c r="M2232" s="284"/>
      <c r="N2232" s="245"/>
      <c r="O2232" s="249"/>
      <c r="P2232" s="279"/>
      <c r="Q2232" s="284"/>
      <c r="R2232" s="245"/>
      <c r="S2232" s="249"/>
      <c r="T2232" s="279"/>
      <c r="U2232" s="284"/>
      <c r="V2232" s="245"/>
      <c r="W2232" s="249"/>
      <c r="X2232" s="279"/>
      <c r="Y2232" s="279"/>
      <c r="Z2232" s="279"/>
      <c r="AA2232" s="279"/>
      <c r="AB2232" s="279"/>
    </row>
    <row r="2233" spans="3:28" ht="14.25" customHeight="1">
      <c r="C2233" s="245"/>
      <c r="D2233" s="245"/>
      <c r="E2233" s="284"/>
      <c r="F2233" s="245"/>
      <c r="G2233" s="249"/>
      <c r="H2233" s="279"/>
      <c r="I2233" s="284"/>
      <c r="J2233" s="245"/>
      <c r="K2233" s="249"/>
      <c r="L2233" s="279"/>
      <c r="M2233" s="284"/>
      <c r="N2233" s="245"/>
      <c r="O2233" s="249"/>
      <c r="P2233" s="279"/>
      <c r="Q2233" s="284"/>
      <c r="R2233" s="245"/>
      <c r="S2233" s="249"/>
      <c r="T2233" s="279"/>
      <c r="U2233" s="284"/>
      <c r="V2233" s="245"/>
      <c r="W2233" s="249"/>
      <c r="X2233" s="279"/>
      <c r="Y2233" s="279"/>
      <c r="Z2233" s="279"/>
      <c r="AA2233" s="279"/>
      <c r="AB2233" s="279"/>
    </row>
    <row r="2234" spans="3:28" ht="14.25" customHeight="1">
      <c r="C2234" s="245"/>
      <c r="D2234" s="245"/>
      <c r="E2234" s="284"/>
      <c r="F2234" s="245"/>
      <c r="G2234" s="249"/>
      <c r="H2234" s="279"/>
      <c r="I2234" s="284"/>
      <c r="J2234" s="245"/>
      <c r="K2234" s="249"/>
      <c r="L2234" s="279"/>
      <c r="M2234" s="284"/>
      <c r="N2234" s="245"/>
      <c r="O2234" s="249"/>
      <c r="P2234" s="279"/>
      <c r="Q2234" s="284"/>
      <c r="R2234" s="245"/>
      <c r="S2234" s="249"/>
      <c r="T2234" s="279"/>
      <c r="U2234" s="284"/>
      <c r="V2234" s="245"/>
      <c r="W2234" s="249"/>
      <c r="X2234" s="279"/>
      <c r="Y2234" s="279"/>
      <c r="Z2234" s="279"/>
      <c r="AA2234" s="279"/>
      <c r="AB2234" s="279"/>
    </row>
    <row r="2235" spans="3:28" ht="14.25" customHeight="1">
      <c r="C2235" s="245"/>
      <c r="D2235" s="245"/>
      <c r="E2235" s="284"/>
      <c r="F2235" s="245"/>
      <c r="G2235" s="249"/>
      <c r="H2235" s="279"/>
      <c r="I2235" s="284"/>
      <c r="J2235" s="245"/>
      <c r="K2235" s="249"/>
      <c r="L2235" s="279"/>
      <c r="M2235" s="284"/>
      <c r="N2235" s="245"/>
      <c r="O2235" s="249"/>
      <c r="P2235" s="279"/>
      <c r="Q2235" s="284"/>
      <c r="R2235" s="245"/>
      <c r="S2235" s="249"/>
      <c r="T2235" s="279"/>
      <c r="U2235" s="284"/>
      <c r="V2235" s="245"/>
      <c r="W2235" s="249"/>
      <c r="X2235" s="279"/>
      <c r="Y2235" s="279"/>
      <c r="Z2235" s="279"/>
      <c r="AA2235" s="279"/>
      <c r="AB2235" s="279"/>
    </row>
    <row r="2236" spans="3:28" ht="14.25" customHeight="1">
      <c r="C2236" s="245"/>
      <c r="D2236" s="245"/>
      <c r="E2236" s="284"/>
      <c r="F2236" s="245"/>
      <c r="G2236" s="249"/>
      <c r="H2236" s="279"/>
      <c r="I2236" s="284"/>
      <c r="J2236" s="245"/>
      <c r="K2236" s="249"/>
      <c r="L2236" s="279"/>
      <c r="M2236" s="284"/>
      <c r="N2236" s="245"/>
      <c r="O2236" s="249"/>
      <c r="P2236" s="279"/>
      <c r="Q2236" s="284"/>
      <c r="R2236" s="245"/>
      <c r="S2236" s="249"/>
      <c r="T2236" s="279"/>
      <c r="U2236" s="284"/>
      <c r="V2236" s="245"/>
      <c r="W2236" s="249"/>
      <c r="X2236" s="279"/>
      <c r="Y2236" s="279"/>
      <c r="Z2236" s="279"/>
      <c r="AA2236" s="279"/>
      <c r="AB2236" s="279"/>
    </row>
    <row r="2237" spans="3:28" ht="14.25" customHeight="1">
      <c r="C2237" s="245"/>
      <c r="D2237" s="245"/>
      <c r="E2237" s="284"/>
      <c r="F2237" s="245"/>
      <c r="G2237" s="249"/>
      <c r="H2237" s="279"/>
      <c r="I2237" s="284"/>
      <c r="J2237" s="245"/>
      <c r="K2237" s="249"/>
      <c r="L2237" s="279"/>
      <c r="M2237" s="284"/>
      <c r="N2237" s="245"/>
      <c r="O2237" s="249"/>
      <c r="P2237" s="279"/>
      <c r="Q2237" s="284"/>
      <c r="R2237" s="245"/>
      <c r="S2237" s="249"/>
      <c r="T2237" s="279"/>
      <c r="U2237" s="284"/>
      <c r="V2237" s="245"/>
      <c r="W2237" s="249"/>
      <c r="X2237" s="279"/>
      <c r="Y2237" s="279"/>
      <c r="Z2237" s="279"/>
      <c r="AA2237" s="279"/>
      <c r="AB2237" s="279"/>
    </row>
    <row r="2238" spans="3:28" ht="14.25" customHeight="1">
      <c r="C2238" s="245"/>
      <c r="D2238" s="245"/>
      <c r="E2238" s="284"/>
      <c r="F2238" s="245"/>
      <c r="G2238" s="249"/>
      <c r="H2238" s="279"/>
      <c r="I2238" s="284"/>
      <c r="J2238" s="245"/>
      <c r="K2238" s="249"/>
      <c r="L2238" s="279"/>
      <c r="M2238" s="284"/>
      <c r="N2238" s="245"/>
      <c r="O2238" s="249"/>
      <c r="P2238" s="279"/>
      <c r="Q2238" s="284"/>
      <c r="R2238" s="245"/>
      <c r="S2238" s="249"/>
      <c r="T2238" s="279"/>
      <c r="U2238" s="284"/>
      <c r="V2238" s="245"/>
      <c r="W2238" s="249"/>
      <c r="X2238" s="279"/>
      <c r="Y2238" s="279"/>
      <c r="Z2238" s="279"/>
      <c r="AA2238" s="279"/>
      <c r="AB2238" s="279"/>
    </row>
    <row r="2239" spans="3:28" ht="14.25" customHeight="1">
      <c r="C2239" s="245"/>
      <c r="D2239" s="245"/>
      <c r="E2239" s="284"/>
      <c r="F2239" s="245"/>
      <c r="G2239" s="249"/>
      <c r="H2239" s="279"/>
      <c r="I2239" s="284"/>
      <c r="J2239" s="245"/>
      <c r="K2239" s="249"/>
      <c r="L2239" s="279"/>
      <c r="M2239" s="284"/>
      <c r="N2239" s="245"/>
      <c r="O2239" s="249"/>
      <c r="P2239" s="279"/>
      <c r="Q2239" s="284"/>
      <c r="R2239" s="245"/>
      <c r="S2239" s="249"/>
      <c r="T2239" s="279"/>
      <c r="U2239" s="284"/>
      <c r="V2239" s="245"/>
      <c r="W2239" s="249"/>
      <c r="X2239" s="279"/>
      <c r="Y2239" s="279"/>
      <c r="Z2239" s="279"/>
      <c r="AA2239" s="279"/>
      <c r="AB2239" s="279"/>
    </row>
    <row r="2240" spans="3:28" ht="14.25" customHeight="1">
      <c r="C2240" s="245"/>
      <c r="D2240" s="245"/>
      <c r="E2240" s="284"/>
      <c r="F2240" s="245"/>
      <c r="G2240" s="249"/>
      <c r="H2240" s="279"/>
      <c r="I2240" s="284"/>
      <c r="J2240" s="245"/>
      <c r="K2240" s="249"/>
      <c r="L2240" s="279"/>
      <c r="M2240" s="284"/>
      <c r="N2240" s="245"/>
      <c r="O2240" s="249"/>
      <c r="P2240" s="279"/>
      <c r="Q2240" s="284"/>
      <c r="R2240" s="245"/>
      <c r="S2240" s="249"/>
      <c r="T2240" s="279"/>
      <c r="U2240" s="284"/>
      <c r="V2240" s="245"/>
      <c r="W2240" s="249"/>
      <c r="X2240" s="279"/>
      <c r="Y2240" s="279"/>
      <c r="Z2240" s="279"/>
      <c r="AA2240" s="279"/>
      <c r="AB2240" s="279"/>
    </row>
    <row r="2241" spans="2:46" ht="14.25" customHeight="1">
      <c r="C2241" s="245"/>
      <c r="D2241" s="245"/>
      <c r="E2241" s="284"/>
      <c r="F2241" s="245"/>
      <c r="G2241" s="249"/>
      <c r="H2241" s="279"/>
      <c r="I2241" s="284"/>
      <c r="J2241" s="245"/>
      <c r="K2241" s="249"/>
      <c r="L2241" s="279"/>
      <c r="M2241" s="284"/>
      <c r="N2241" s="245"/>
      <c r="O2241" s="249"/>
      <c r="P2241" s="279"/>
      <c r="Q2241" s="284"/>
      <c r="R2241" s="245"/>
      <c r="S2241" s="249"/>
      <c r="T2241" s="279"/>
      <c r="U2241" s="284"/>
      <c r="V2241" s="245"/>
      <c r="W2241" s="249"/>
      <c r="X2241" s="279"/>
      <c r="Y2241" s="279"/>
      <c r="Z2241" s="279"/>
      <c r="AA2241" s="279"/>
      <c r="AB2241" s="279"/>
    </row>
    <row r="2242" spans="2:46" ht="14.25" customHeight="1">
      <c r="C2242" s="245"/>
      <c r="D2242" s="245"/>
      <c r="E2242" s="284"/>
      <c r="F2242" s="245"/>
      <c r="G2242" s="249"/>
      <c r="H2242" s="279"/>
      <c r="I2242" s="284"/>
      <c r="J2242" s="245"/>
      <c r="K2242" s="249"/>
      <c r="L2242" s="279"/>
      <c r="M2242" s="284"/>
      <c r="N2242" s="245"/>
      <c r="O2242" s="249"/>
      <c r="P2242" s="279"/>
      <c r="Q2242" s="284"/>
      <c r="R2242" s="245"/>
      <c r="S2242" s="249"/>
      <c r="T2242" s="279"/>
      <c r="U2242" s="284"/>
      <c r="V2242" s="245"/>
      <c r="W2242" s="249"/>
      <c r="X2242" s="279"/>
      <c r="Y2242" s="279"/>
      <c r="Z2242" s="279"/>
      <c r="AA2242" s="279"/>
      <c r="AB2242" s="279"/>
    </row>
    <row r="2243" spans="2:46" ht="14.25" customHeight="1">
      <c r="C2243" s="245"/>
      <c r="D2243" s="245"/>
      <c r="E2243" s="284"/>
      <c r="F2243" s="245"/>
      <c r="G2243" s="249"/>
      <c r="H2243" s="279"/>
      <c r="I2243" s="284"/>
      <c r="J2243" s="245"/>
      <c r="K2243" s="249"/>
      <c r="L2243" s="279"/>
      <c r="M2243" s="284"/>
      <c r="N2243" s="245"/>
      <c r="O2243" s="249"/>
      <c r="P2243" s="279"/>
      <c r="Q2243" s="284"/>
      <c r="R2243" s="245"/>
      <c r="S2243" s="249"/>
      <c r="T2243" s="279"/>
      <c r="U2243" s="284"/>
      <c r="V2243" s="245"/>
      <c r="W2243" s="249"/>
      <c r="X2243" s="279"/>
      <c r="Y2243" s="279"/>
      <c r="Z2243" s="279"/>
      <c r="AA2243" s="279"/>
      <c r="AB2243" s="279"/>
    </row>
    <row r="2244" spans="2:46" ht="14.25" customHeight="1">
      <c r="C2244" s="245"/>
      <c r="D2244" s="245"/>
      <c r="E2244" s="284"/>
      <c r="F2244" s="245"/>
      <c r="G2244" s="249"/>
      <c r="H2244" s="279"/>
      <c r="I2244" s="284"/>
      <c r="J2244" s="245"/>
      <c r="K2244" s="249"/>
      <c r="L2244" s="279"/>
      <c r="M2244" s="284"/>
      <c r="N2244" s="245"/>
      <c r="O2244" s="249"/>
      <c r="P2244" s="279"/>
      <c r="Q2244" s="284"/>
      <c r="R2244" s="245"/>
      <c r="S2244" s="249"/>
      <c r="T2244" s="279"/>
      <c r="U2244" s="284"/>
      <c r="V2244" s="245"/>
      <c r="W2244" s="249"/>
      <c r="X2244" s="279"/>
      <c r="Y2244" s="279"/>
      <c r="Z2244" s="279"/>
      <c r="AA2244" s="279"/>
      <c r="AB2244" s="279"/>
    </row>
    <row r="2245" spans="2:46" ht="14.25" customHeight="1">
      <c r="C2245" s="245"/>
      <c r="D2245" s="245"/>
      <c r="E2245" s="284"/>
      <c r="F2245" s="245"/>
      <c r="G2245" s="249"/>
      <c r="H2245" s="279"/>
      <c r="I2245" s="284"/>
      <c r="J2245" s="245"/>
      <c r="K2245" s="249"/>
      <c r="L2245" s="279"/>
      <c r="M2245" s="284"/>
      <c r="N2245" s="245"/>
      <c r="O2245" s="249"/>
      <c r="P2245" s="279"/>
      <c r="Q2245" s="284"/>
      <c r="R2245" s="245"/>
      <c r="S2245" s="249"/>
      <c r="T2245" s="279"/>
      <c r="U2245" s="284"/>
      <c r="V2245" s="245"/>
      <c r="W2245" s="249"/>
      <c r="X2245" s="279"/>
      <c r="Y2245" s="279"/>
      <c r="Z2245" s="279"/>
      <c r="AA2245" s="279"/>
      <c r="AB2245" s="279"/>
    </row>
    <row r="2246" spans="2:46" ht="14.25" customHeight="1">
      <c r="C2246" s="245"/>
      <c r="D2246" s="245"/>
      <c r="E2246" s="284"/>
      <c r="F2246" s="245"/>
      <c r="G2246" s="249"/>
      <c r="H2246" s="279"/>
      <c r="I2246" s="284"/>
      <c r="J2246" s="245"/>
      <c r="K2246" s="249"/>
      <c r="L2246" s="279"/>
      <c r="M2246" s="284"/>
      <c r="N2246" s="245"/>
      <c r="O2246" s="249"/>
      <c r="P2246" s="279"/>
      <c r="Q2246" s="284"/>
      <c r="R2246" s="245"/>
      <c r="S2246" s="249"/>
      <c r="T2246" s="279"/>
      <c r="U2246" s="284"/>
      <c r="V2246" s="245"/>
      <c r="W2246" s="249"/>
      <c r="X2246" s="279"/>
      <c r="Y2246" s="279"/>
      <c r="Z2246" s="279"/>
      <c r="AA2246" s="279"/>
      <c r="AB2246" s="279"/>
    </row>
    <row r="2247" spans="2:46" ht="14.25" customHeight="1">
      <c r="C2247" s="245"/>
      <c r="D2247" s="245"/>
      <c r="E2247" s="284"/>
      <c r="F2247" s="245"/>
      <c r="G2247" s="249"/>
      <c r="H2247" s="279"/>
      <c r="I2247" s="284"/>
      <c r="J2247" s="245"/>
      <c r="K2247" s="249"/>
      <c r="L2247" s="279"/>
      <c r="M2247" s="249"/>
      <c r="N2247" s="207"/>
      <c r="O2247" s="249"/>
      <c r="P2247" s="279"/>
      <c r="Q2247" s="249"/>
      <c r="R2247" s="207"/>
      <c r="S2247" s="249"/>
      <c r="T2247" s="279"/>
      <c r="U2247" s="57"/>
      <c r="V2247" s="57"/>
      <c r="W2247" s="249"/>
      <c r="X2247" s="279"/>
      <c r="Y2247" s="279"/>
      <c r="Z2247" s="279"/>
      <c r="AA2247" s="279"/>
      <c r="AB2247" s="279"/>
    </row>
    <row r="2248" spans="2:46" ht="14.25" customHeight="1">
      <c r="C2248" s="245"/>
      <c r="D2248" s="245"/>
      <c r="E2248" s="249"/>
      <c r="F2248" s="207"/>
      <c r="G2248" s="249"/>
      <c r="H2248" s="279"/>
      <c r="I2248" s="249"/>
      <c r="J2248" s="207"/>
      <c r="K2248" s="249"/>
      <c r="L2248" s="279"/>
      <c r="M2248" s="249"/>
      <c r="N2248" s="207"/>
      <c r="O2248" s="249"/>
      <c r="P2248" s="279"/>
      <c r="Q2248" s="249"/>
      <c r="R2248" s="207"/>
      <c r="S2248" s="249"/>
      <c r="T2248" s="279"/>
      <c r="U2248" s="249"/>
      <c r="V2248" s="57"/>
      <c r="W2248" s="249"/>
      <c r="X2248" s="279"/>
      <c r="Y2248" s="279"/>
      <c r="Z2248" s="279"/>
      <c r="AA2248" s="279"/>
      <c r="AB2248" s="279"/>
    </row>
    <row r="2249" spans="2:46" ht="14.25" customHeight="1">
      <c r="C2249" s="245"/>
      <c r="D2249" s="245"/>
      <c r="E2249" s="249"/>
      <c r="F2249" s="207"/>
      <c r="G2249" s="249"/>
      <c r="H2249" s="279"/>
      <c r="I2249" s="249"/>
      <c r="J2249" s="207"/>
      <c r="K2249" s="249"/>
      <c r="L2249" s="279"/>
      <c r="M2249" s="249"/>
      <c r="N2249" s="251"/>
      <c r="O2249" s="249"/>
      <c r="P2249" s="279"/>
      <c r="Q2249" s="249"/>
      <c r="R2249" s="251"/>
      <c r="S2249" s="249"/>
      <c r="T2249" s="279"/>
      <c r="U2249" s="249"/>
      <c r="V2249" s="57"/>
      <c r="W2249" s="249"/>
      <c r="X2249" s="279"/>
      <c r="Y2249" s="279"/>
      <c r="Z2249" s="279"/>
      <c r="AA2249" s="279"/>
      <c r="AB2249" s="279"/>
    </row>
    <row r="2250" spans="2:46" ht="14.25" customHeight="1">
      <c r="C2250" s="245"/>
      <c r="D2250" s="245"/>
      <c r="E2250" s="249"/>
      <c r="F2250" s="245"/>
      <c r="G2250" s="249"/>
      <c r="H2250" s="279"/>
      <c r="I2250" s="249"/>
      <c r="J2250" s="245"/>
      <c r="K2250" s="249"/>
      <c r="L2250" s="279"/>
      <c r="M2250" s="252"/>
      <c r="N2250" s="251"/>
      <c r="O2250" s="249"/>
      <c r="P2250" s="279"/>
      <c r="Q2250" s="252"/>
      <c r="R2250" s="251"/>
      <c r="S2250" s="249"/>
      <c r="T2250" s="279"/>
      <c r="U2250" s="57"/>
      <c r="V2250" s="57"/>
      <c r="W2250" s="249"/>
      <c r="X2250" s="279"/>
      <c r="Y2250" s="279"/>
      <c r="Z2250" s="279"/>
      <c r="AA2250" s="279"/>
      <c r="AB2250" s="279"/>
    </row>
    <row r="2251" spans="2:46" ht="14.25" customHeight="1">
      <c r="C2251" s="245"/>
      <c r="D2251" s="245"/>
      <c r="E2251" s="249"/>
      <c r="F2251" s="245"/>
      <c r="G2251" s="249"/>
      <c r="H2251" s="279"/>
      <c r="I2251" s="248"/>
      <c r="J2251" s="245"/>
      <c r="K2251" s="249"/>
      <c r="L2251" s="279"/>
      <c r="M2251" s="252"/>
      <c r="N2251" s="251"/>
      <c r="O2251" s="249"/>
      <c r="P2251" s="279"/>
      <c r="Q2251" s="252"/>
      <c r="R2251" s="251"/>
      <c r="S2251" s="249"/>
      <c r="T2251" s="279"/>
      <c r="U2251" s="57"/>
      <c r="V2251" s="57"/>
      <c r="W2251" s="249"/>
      <c r="X2251" s="279"/>
      <c r="Y2251" s="279"/>
      <c r="Z2251" s="279"/>
      <c r="AA2251" s="279"/>
      <c r="AB2251" s="279"/>
    </row>
    <row r="2252" spans="2:46" ht="14.25" customHeight="1">
      <c r="C2252" s="245"/>
      <c r="D2252" s="245"/>
      <c r="E2252" s="249"/>
      <c r="F2252" s="245"/>
      <c r="G2252" s="249"/>
      <c r="H2252" s="279"/>
      <c r="I2252" s="248"/>
      <c r="J2252" s="245"/>
      <c r="K2252" s="249"/>
      <c r="L2252" s="279"/>
      <c r="M2252" s="252"/>
      <c r="N2252" s="251"/>
      <c r="O2252" s="249"/>
      <c r="P2252" s="279"/>
      <c r="Q2252" s="252"/>
      <c r="R2252" s="251"/>
      <c r="S2252" s="249"/>
      <c r="T2252" s="279"/>
      <c r="U2252" s="57"/>
      <c r="V2252" s="57"/>
      <c r="W2252" s="249"/>
      <c r="X2252" s="279"/>
      <c r="Y2252" s="279"/>
      <c r="Z2252" s="279"/>
      <c r="AA2252" s="279"/>
      <c r="AB2252" s="279"/>
    </row>
    <row r="2253" spans="2:46" ht="14.25" customHeight="1">
      <c r="C2253" s="245"/>
      <c r="D2253" s="245"/>
      <c r="E2253" s="249"/>
      <c r="F2253" s="245"/>
      <c r="G2253" s="249"/>
      <c r="H2253" s="279"/>
      <c r="I2253" s="248"/>
      <c r="J2253" s="245"/>
      <c r="K2253" s="249"/>
      <c r="L2253" s="250"/>
      <c r="M2253" s="252"/>
      <c r="N2253" s="251"/>
      <c r="O2253" s="249"/>
      <c r="P2253" s="250"/>
      <c r="Q2253" s="252"/>
      <c r="R2253" s="251"/>
      <c r="S2253" s="249"/>
      <c r="T2253" s="251"/>
      <c r="U2253" s="57"/>
      <c r="V2253" s="57"/>
      <c r="W2253" s="249"/>
    </row>
    <row r="2254" spans="2:46" ht="14.25" customHeight="1">
      <c r="C2254" s="245"/>
      <c r="D2254" s="245"/>
      <c r="E2254" s="58"/>
      <c r="F2254" s="58"/>
      <c r="G2254" s="58"/>
      <c r="H2254" s="58"/>
      <c r="I2254" s="58"/>
      <c r="J2254" s="58"/>
      <c r="K2254" s="58"/>
      <c r="L2254" s="58"/>
      <c r="M2254" s="58"/>
      <c r="N2254" s="58"/>
      <c r="O2254" s="58"/>
      <c r="P2254" s="58"/>
      <c r="Q2254" s="58"/>
      <c r="R2254" s="58"/>
      <c r="S2254" s="58"/>
      <c r="T2254" s="58"/>
      <c r="U2254" s="58"/>
      <c r="V2254" s="58">
        <f t="shared" ref="V2254" si="329">V2263/100*40</f>
        <v>2520</v>
      </c>
      <c r="W2254" s="249"/>
    </row>
    <row r="2255" spans="2:46" s="8" customFormat="1">
      <c r="B2255" s="471" t="str">
        <f>TITLE!$C$43</f>
        <v>Дверна коробка Verto-FIT Plus</v>
      </c>
      <c r="C2255" s="471"/>
      <c r="D2255" s="118"/>
      <c r="E2255" s="474" t="str">
        <f>IF($C$1="ENG","For Door Leafs with Rebbit","Для Дверних Полотен с Фальцем")</f>
        <v>Для Дверних Полотен с Фальцем</v>
      </c>
      <c r="F2255" s="474"/>
      <c r="G2255" s="474"/>
      <c r="H2255" s="474"/>
      <c r="I2255" s="474"/>
      <c r="J2255" s="474"/>
      <c r="K2255" s="474"/>
      <c r="L2255" s="455"/>
      <c r="M2255" s="455"/>
      <c r="N2255" s="455"/>
      <c r="O2255" s="455"/>
      <c r="P2255" s="455"/>
      <c r="Q2255" s="455"/>
      <c r="R2255" s="455"/>
      <c r="S2255" s="455"/>
      <c r="T2255" s="456" t="str">
        <f>IF($C$1="ENG",CONCATENATE("up to: ",B2183),CONCATENATE("вгору до: ",B2183))</f>
        <v>вгору до: Дверна коробка Verto-FIT</v>
      </c>
      <c r="U2255" s="456"/>
      <c r="V2255" s="456"/>
      <c r="W2255" s="456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N2255" s="280"/>
      <c r="AO2255" s="280"/>
      <c r="AP2255" s="280"/>
      <c r="AQ2255" s="280"/>
      <c r="AR2255" s="280"/>
      <c r="AS2255" s="280"/>
      <c r="AT2255" s="280"/>
    </row>
    <row r="2256" spans="2:46" s="8" customFormat="1" ht="5.0999999999999996" customHeight="1">
      <c r="C2256" s="424"/>
      <c r="T2256" s="116"/>
      <c r="U2256" s="116"/>
      <c r="V2256" s="116"/>
      <c r="W2256" s="116"/>
      <c r="AN2256" s="280"/>
      <c r="AO2256" s="280"/>
      <c r="AP2256" s="280"/>
      <c r="AQ2256" s="280"/>
      <c r="AR2256" s="280"/>
      <c r="AS2256" s="280"/>
      <c r="AT2256" s="280"/>
    </row>
    <row r="2257" spans="1:49" ht="12.75" customHeight="1">
      <c r="A2257" s="8"/>
      <c r="B2257" s="307" t="str">
        <f>IF($C$1="ENG","model","модель")</f>
        <v>модель</v>
      </c>
      <c r="C2257" s="122" t="str">
        <f>IF($C$1="ENG","cover:","покриття:")</f>
        <v>покриття:</v>
      </c>
      <c r="D2257" s="458" t="str">
        <f>IF($C$1="ENG","SIMPLEX / VERTO-CELL","SIMPLEX / VERTO-CELL")</f>
        <v>SIMPLEX / VERTO-CELL</v>
      </c>
      <c r="E2257" s="473"/>
      <c r="F2257" s="473"/>
      <c r="G2257" s="459"/>
      <c r="H2257" s="458" t="str">
        <f>IF($C$1="ENG","UNI-MAT","UNI-MAT")</f>
        <v>UNI-MAT</v>
      </c>
      <c r="I2257" s="473"/>
      <c r="J2257" s="473"/>
      <c r="K2257" s="459"/>
      <c r="L2257" s="458" t="str">
        <f>IF($C$1="ENG","RESIST","RESIST")</f>
        <v>RESIST</v>
      </c>
      <c r="M2257" s="473"/>
      <c r="N2257" s="473"/>
      <c r="O2257" s="459"/>
      <c r="P2257" s="458" t="str">
        <f>IF($C$1="ENG","Verto LINE-3D","Verto LINE-3D")</f>
        <v>Verto LINE-3D</v>
      </c>
      <c r="Q2257" s="473"/>
      <c r="R2257" s="473"/>
      <c r="S2257" s="459"/>
      <c r="T2257" s="458" t="str">
        <f>IF($C$1="ENG","ECO Shpon / LOFT","ЕКО Шпон / LOFT")</f>
        <v>ЕКО Шпон / LOFT</v>
      </c>
      <c r="U2257" s="473"/>
      <c r="V2257" s="473"/>
      <c r="W2257" s="459"/>
      <c r="AO2257" s="384"/>
    </row>
    <row r="2258" spans="1:49" ht="12.75" customHeight="1">
      <c r="A2258" s="8"/>
      <c r="B2258" s="309"/>
      <c r="C2258" s="124" t="str">
        <f>IF($C$1="ENG","type:","виконання:")</f>
        <v>виконання:</v>
      </c>
      <c r="D2258" s="449" t="str">
        <f>IF($C$1="ENG","single leaf","одностулкове")</f>
        <v>одностулкове</v>
      </c>
      <c r="E2258" s="468"/>
      <c r="F2258" s="487" t="str">
        <f>IF($C$1="ENG","double leaf","двостулкові")</f>
        <v>двостулкові</v>
      </c>
      <c r="G2258" s="450"/>
      <c r="H2258" s="449" t="str">
        <f>IF($C$1="ENG","single leaf","одностулкове")</f>
        <v>одностулкове</v>
      </c>
      <c r="I2258" s="468"/>
      <c r="J2258" s="487" t="str">
        <f>IF($C$1="ENG","double leaf","двостулкові")</f>
        <v>двостулкові</v>
      </c>
      <c r="K2258" s="450"/>
      <c r="L2258" s="449" t="str">
        <f>IF($C$1="ENG","single leaf","одностулкове")</f>
        <v>одностулкове</v>
      </c>
      <c r="M2258" s="468"/>
      <c r="N2258" s="490" t="str">
        <f>IF($C$1="ENG","double leaf","двостулкові")</f>
        <v>двостулкові</v>
      </c>
      <c r="O2258" s="450"/>
      <c r="P2258" s="449" t="str">
        <f>IF($C$1="ENG","single leaf","одностулкове")</f>
        <v>одностулкове</v>
      </c>
      <c r="Q2258" s="468"/>
      <c r="R2258" s="490" t="str">
        <f>IF($C$1="ENG","double leaf","двостулкові")</f>
        <v>двостулкові</v>
      </c>
      <c r="S2258" s="450"/>
      <c r="T2258" s="449" t="str">
        <f>IF($C$1="ENG","single leaf","одностулкове")</f>
        <v>одностулкове</v>
      </c>
      <c r="U2258" s="468"/>
      <c r="V2258" s="490" t="str">
        <f>IF($C$1="ENG","double leaf","двостулкові")</f>
        <v>двостулкові</v>
      </c>
      <c r="W2258" s="450"/>
    </row>
    <row r="2259" spans="1:49" ht="12.75" customHeight="1">
      <c r="A2259" s="8"/>
      <c r="B2259" s="13" t="str">
        <f>IF($C$1="ENG","A (75 - 95 mm)","A (75 - 95 мм)")</f>
        <v>A (75 - 95 мм)</v>
      </c>
      <c r="C2259" s="426"/>
      <c r="D2259" s="15">
        <f t="shared" ref="D2259:D2268" si="330">IF(AC2259="","",(1-$W$2)*(AC2259/1.2))</f>
        <v>2766.666666666667</v>
      </c>
      <c r="E2259" s="267">
        <f t="shared" ref="E2259:E2268" si="331">IF($W$5=0.2,D2259*1.2,D2259)/$W$4</f>
        <v>3320.0000000000005</v>
      </c>
      <c r="F2259" s="270">
        <f t="shared" ref="F2259:F2268" si="332">IF(AD2259="","",(1-$W$2)*(AD2259/1.2))</f>
        <v>3883.3333333333335</v>
      </c>
      <c r="G2259" s="64">
        <f t="shared" ref="G2259:G2268" si="333">IF($W$5=0.2,F2259*1.2,F2259)/$W$4</f>
        <v>4660</v>
      </c>
      <c r="H2259" s="15">
        <f t="shared" ref="H2259:H2268" si="334">IF(AE2259="","",(1-$W$2)*(AE2259/1.2))</f>
        <v>3183.3333333333335</v>
      </c>
      <c r="I2259" s="267">
        <f t="shared" ref="I2259:I2268" si="335">IF($W$5=0.2,H2259*1.2,H2259)/$W$4</f>
        <v>3820</v>
      </c>
      <c r="J2259" s="270">
        <f t="shared" ref="J2259:J2268" si="336">IF(AF2259="","",(1-$W$2)*(AF2259/1.2))</f>
        <v>4458.3333333333339</v>
      </c>
      <c r="K2259" s="64">
        <f t="shared" ref="K2259:K2268" si="337">IF($W$5=0.2,J2259*1.2,J2259)/$W$4</f>
        <v>5350.0000000000009</v>
      </c>
      <c r="L2259" s="15">
        <f t="shared" ref="L2259:L2268" si="338">IF(AG2259="","",(1-$W$2)*(AG2259/1.2))</f>
        <v>3383.3333333333335</v>
      </c>
      <c r="M2259" s="267">
        <f t="shared" ref="M2259:M2268" si="339">IF($W$5=0.2,L2259*1.2,L2259)/$W$4</f>
        <v>4060</v>
      </c>
      <c r="N2259" s="270">
        <f t="shared" ref="N2259:N2268" si="340">IF(AH2259="","",(1-$W$2)*(AH2259/1.2))</f>
        <v>4741.666666666667</v>
      </c>
      <c r="O2259" s="64">
        <f t="shared" ref="O2259:O2268" si="341">IF($W$5=0.2,N2259*1.2,N2259)/$W$4</f>
        <v>5690</v>
      </c>
      <c r="P2259" s="15">
        <f t="shared" ref="P2259:P2268" si="342">IF(AI2259="","",(1-$W$2)*(AI2259/1.2))</f>
        <v>3616.666666666667</v>
      </c>
      <c r="Q2259" s="267">
        <f t="shared" ref="Q2259:Q2268" si="343">IF($W$5=0.2,P2259*1.2,P2259)/$W$4</f>
        <v>4340</v>
      </c>
      <c r="R2259" s="270">
        <f t="shared" ref="R2259:R2268" si="344">IF(AJ2259="","",(1-$W$2)*(AJ2259/1.2))</f>
        <v>5066.666666666667</v>
      </c>
      <c r="S2259" s="64">
        <f t="shared" ref="S2259:S2268" si="345">IF($W$5=0.2,R2259*1.2,R2259)/$W$4</f>
        <v>6080</v>
      </c>
      <c r="T2259" s="15">
        <f t="shared" ref="T2259:T2268" si="346">IF(AK2259="","",(1-$W$2)*(AK2259/1.2))</f>
        <v>3883.3333333333335</v>
      </c>
      <c r="U2259" s="267">
        <f t="shared" ref="U2259:U2268" si="347">IF($W$5=0.2,T2259*1.2,T2259)/$W$4</f>
        <v>4660</v>
      </c>
      <c r="V2259" s="270">
        <f t="shared" ref="V2259:V2268" si="348">IF(AL2259="","",(1-$W$2)*(AL2259/1.2))</f>
        <v>5433.3333333333339</v>
      </c>
      <c r="W2259" s="64">
        <f t="shared" ref="W2259:W2268" si="349">IF($W$5=0.2,V2259*1.2,V2259)/$W$4</f>
        <v>6520.0000000000009</v>
      </c>
      <c r="X2259" s="22"/>
      <c r="Y2259" s="22"/>
      <c r="Z2259" s="22"/>
      <c r="AA2259" s="22"/>
      <c r="AB2259" s="22"/>
      <c r="AC2259" s="332">
        <v>3320</v>
      </c>
      <c r="AD2259" s="332">
        <v>4660</v>
      </c>
      <c r="AE2259" s="332">
        <v>3820</v>
      </c>
      <c r="AF2259" s="332">
        <v>5350</v>
      </c>
      <c r="AG2259" s="332">
        <v>4060</v>
      </c>
      <c r="AH2259" s="332">
        <v>5690</v>
      </c>
      <c r="AI2259" s="332">
        <v>4340</v>
      </c>
      <c r="AJ2259" s="332">
        <v>6080</v>
      </c>
      <c r="AK2259" s="332">
        <v>4660</v>
      </c>
      <c r="AL2259" s="332">
        <v>6520</v>
      </c>
      <c r="AM2259" s="334">
        <v>3320</v>
      </c>
      <c r="AN2259" s="310">
        <f>AM2259/AC2259-1</f>
        <v>0</v>
      </c>
      <c r="AO2259" s="334">
        <v>4660</v>
      </c>
      <c r="AP2259" s="399">
        <f>AO2259/AD2259-1</f>
        <v>0</v>
      </c>
      <c r="AQ2259" s="334">
        <v>3820</v>
      </c>
      <c r="AR2259" s="334">
        <f>AQ2259/AE2259-1</f>
        <v>0</v>
      </c>
      <c r="AS2259" s="334">
        <v>5350</v>
      </c>
      <c r="AT2259" s="334">
        <f>AS2259/AF2259-1</f>
        <v>0</v>
      </c>
      <c r="AU2259" s="334">
        <v>4060</v>
      </c>
      <c r="AV2259" s="334">
        <f>AU2259/AG2259-1</f>
        <v>0</v>
      </c>
      <c r="AW2259" s="334">
        <v>5690</v>
      </c>
    </row>
    <row r="2260" spans="1:49">
      <c r="A2260" s="8"/>
      <c r="B2260" s="16" t="str">
        <f>IF($C$1="ENG","B (95 - 115 mm)","B (95 - 115 мм)")</f>
        <v>B (95 - 115 мм)</v>
      </c>
      <c r="C2260" s="432"/>
      <c r="D2260" s="18">
        <f t="shared" si="330"/>
        <v>2916.666666666667</v>
      </c>
      <c r="E2260" s="268">
        <f t="shared" si="331"/>
        <v>3500.0000000000005</v>
      </c>
      <c r="F2260" s="271">
        <f t="shared" si="332"/>
        <v>4083.3333333333335</v>
      </c>
      <c r="G2260" s="66">
        <f t="shared" si="333"/>
        <v>4900</v>
      </c>
      <c r="H2260" s="18">
        <f t="shared" si="334"/>
        <v>3366.666666666667</v>
      </c>
      <c r="I2260" s="268">
        <f t="shared" si="335"/>
        <v>4040</v>
      </c>
      <c r="J2260" s="271">
        <f t="shared" si="336"/>
        <v>4708.3333333333339</v>
      </c>
      <c r="K2260" s="66">
        <f t="shared" si="337"/>
        <v>5650.0000000000009</v>
      </c>
      <c r="L2260" s="18">
        <f t="shared" si="338"/>
        <v>3558.3333333333335</v>
      </c>
      <c r="M2260" s="268">
        <f t="shared" si="339"/>
        <v>4270</v>
      </c>
      <c r="N2260" s="271">
        <f t="shared" si="340"/>
        <v>4983.3333333333339</v>
      </c>
      <c r="O2260" s="66">
        <f t="shared" si="341"/>
        <v>5980.0000000000009</v>
      </c>
      <c r="P2260" s="18">
        <f t="shared" si="342"/>
        <v>3816.666666666667</v>
      </c>
      <c r="Q2260" s="268">
        <f t="shared" si="343"/>
        <v>4580</v>
      </c>
      <c r="R2260" s="271">
        <f t="shared" si="344"/>
        <v>5341.666666666667</v>
      </c>
      <c r="S2260" s="66">
        <f t="shared" si="345"/>
        <v>6410</v>
      </c>
      <c r="T2260" s="18">
        <f t="shared" si="346"/>
        <v>4075</v>
      </c>
      <c r="U2260" s="268">
        <f t="shared" si="347"/>
        <v>4890</v>
      </c>
      <c r="V2260" s="271">
        <f t="shared" si="348"/>
        <v>5708.3333333333339</v>
      </c>
      <c r="W2260" s="66">
        <f t="shared" si="349"/>
        <v>6850.0000000000009</v>
      </c>
      <c r="X2260" s="22"/>
      <c r="Y2260" s="22"/>
      <c r="Z2260" s="22"/>
      <c r="AA2260" s="22"/>
      <c r="AB2260" s="22"/>
      <c r="AC2260" s="332">
        <v>3500</v>
      </c>
      <c r="AD2260" s="332">
        <v>4900</v>
      </c>
      <c r="AE2260" s="332">
        <v>4040</v>
      </c>
      <c r="AF2260" s="332">
        <v>5650</v>
      </c>
      <c r="AG2260" s="332">
        <v>4270</v>
      </c>
      <c r="AH2260" s="332">
        <v>5980</v>
      </c>
      <c r="AI2260" s="332">
        <v>4580</v>
      </c>
      <c r="AJ2260" s="332">
        <v>6410</v>
      </c>
      <c r="AK2260" s="332">
        <v>4890</v>
      </c>
      <c r="AL2260" s="332">
        <v>6850</v>
      </c>
      <c r="AM2260" s="334">
        <v>3500</v>
      </c>
      <c r="AN2260" s="310">
        <f t="shared" ref="AN2260:AN2268" si="350">AM2260/AC2260-1</f>
        <v>0</v>
      </c>
      <c r="AO2260" s="334">
        <v>4900</v>
      </c>
      <c r="AP2260" s="399">
        <f t="shared" ref="AP2260:AP2268" si="351">AO2260/AD2260-1</f>
        <v>0</v>
      </c>
      <c r="AQ2260" s="334">
        <v>4040</v>
      </c>
      <c r="AR2260" s="334">
        <f t="shared" ref="AR2260:AR2268" si="352">AQ2260/AE2260-1</f>
        <v>0</v>
      </c>
      <c r="AS2260" s="334">
        <v>5650</v>
      </c>
      <c r="AT2260" s="334">
        <f t="shared" ref="AT2260:AT2268" si="353">AS2260/AF2260-1</f>
        <v>0</v>
      </c>
      <c r="AU2260" s="334">
        <v>4270</v>
      </c>
      <c r="AV2260" s="334">
        <f t="shared" ref="AV2260:AV2268" si="354">AU2260/AG2260-1</f>
        <v>0</v>
      </c>
      <c r="AW2260" s="334">
        <v>5980</v>
      </c>
    </row>
    <row r="2261" spans="1:49">
      <c r="A2261" s="8"/>
      <c r="B2261" s="16" t="str">
        <f>IF($C$1="ENG","B+ (100 - 120 mm)","B+ (100 - 120 мм)")</f>
        <v>B+ (100 - 120 мм)</v>
      </c>
      <c r="C2261" s="432"/>
      <c r="D2261" s="18">
        <f t="shared" si="330"/>
        <v>3000</v>
      </c>
      <c r="E2261" s="268">
        <f t="shared" si="331"/>
        <v>3600</v>
      </c>
      <c r="F2261" s="271">
        <f t="shared" si="332"/>
        <v>4208.3333333333339</v>
      </c>
      <c r="G2261" s="66">
        <f t="shared" si="333"/>
        <v>5050.0000000000009</v>
      </c>
      <c r="H2261" s="18">
        <f t="shared" si="334"/>
        <v>3458.3333333333335</v>
      </c>
      <c r="I2261" s="268">
        <f t="shared" si="335"/>
        <v>4150</v>
      </c>
      <c r="J2261" s="271">
        <f t="shared" si="336"/>
        <v>4841.666666666667</v>
      </c>
      <c r="K2261" s="66">
        <f t="shared" si="337"/>
        <v>5810</v>
      </c>
      <c r="L2261" s="18">
        <f t="shared" si="338"/>
        <v>3658.3333333333335</v>
      </c>
      <c r="M2261" s="268">
        <f t="shared" si="339"/>
        <v>4390</v>
      </c>
      <c r="N2261" s="271">
        <f t="shared" si="340"/>
        <v>5116.666666666667</v>
      </c>
      <c r="O2261" s="66">
        <f t="shared" si="341"/>
        <v>6140</v>
      </c>
      <c r="P2261" s="18">
        <f t="shared" si="342"/>
        <v>3900</v>
      </c>
      <c r="Q2261" s="268">
        <f t="shared" si="343"/>
        <v>4680</v>
      </c>
      <c r="R2261" s="271">
        <f t="shared" si="344"/>
        <v>5450</v>
      </c>
      <c r="S2261" s="66">
        <f t="shared" si="345"/>
        <v>6540</v>
      </c>
      <c r="T2261" s="18">
        <f t="shared" si="346"/>
        <v>4183.3333333333339</v>
      </c>
      <c r="U2261" s="268">
        <f t="shared" si="347"/>
        <v>5020.0000000000009</v>
      </c>
      <c r="V2261" s="271">
        <f t="shared" si="348"/>
        <v>5858.3333333333339</v>
      </c>
      <c r="W2261" s="66">
        <f t="shared" si="349"/>
        <v>7030.0000000000009</v>
      </c>
      <c r="X2261" s="22"/>
      <c r="Y2261" s="22"/>
      <c r="Z2261" s="22"/>
      <c r="AA2261" s="22"/>
      <c r="AB2261" s="22"/>
      <c r="AC2261" s="332">
        <v>3600</v>
      </c>
      <c r="AD2261" s="332">
        <v>5050</v>
      </c>
      <c r="AE2261" s="332">
        <v>4150</v>
      </c>
      <c r="AF2261" s="332">
        <v>5810</v>
      </c>
      <c r="AG2261" s="332">
        <v>4390</v>
      </c>
      <c r="AH2261" s="332">
        <v>6140</v>
      </c>
      <c r="AI2261" s="332">
        <v>4680</v>
      </c>
      <c r="AJ2261" s="332">
        <v>6540</v>
      </c>
      <c r="AK2261" s="332">
        <v>5020</v>
      </c>
      <c r="AL2261" s="332">
        <v>7030</v>
      </c>
      <c r="AM2261" s="334">
        <v>3600</v>
      </c>
      <c r="AN2261" s="310">
        <f t="shared" si="350"/>
        <v>0</v>
      </c>
      <c r="AO2261" s="334">
        <v>5050</v>
      </c>
      <c r="AP2261" s="399">
        <f t="shared" si="351"/>
        <v>0</v>
      </c>
      <c r="AQ2261" s="334">
        <v>4150</v>
      </c>
      <c r="AR2261" s="334">
        <f t="shared" si="352"/>
        <v>0</v>
      </c>
      <c r="AS2261" s="334">
        <v>5810</v>
      </c>
      <c r="AT2261" s="334">
        <f t="shared" si="353"/>
        <v>0</v>
      </c>
      <c r="AU2261" s="334">
        <v>4390</v>
      </c>
      <c r="AV2261" s="334">
        <f t="shared" si="354"/>
        <v>0</v>
      </c>
      <c r="AW2261" s="334">
        <v>6140</v>
      </c>
    </row>
    <row r="2262" spans="1:49">
      <c r="A2262" s="8"/>
      <c r="B2262" s="16" t="str">
        <f>IF($C$1="ENG","C (120 - 140 mm)","C (120 - 140 мм)")</f>
        <v>C (120 - 140 мм)</v>
      </c>
      <c r="C2262" s="432"/>
      <c r="D2262" s="18">
        <f t="shared" si="330"/>
        <v>3075</v>
      </c>
      <c r="E2262" s="268">
        <f t="shared" si="331"/>
        <v>3690</v>
      </c>
      <c r="F2262" s="271">
        <f t="shared" si="332"/>
        <v>4291.666666666667</v>
      </c>
      <c r="G2262" s="66">
        <f t="shared" si="333"/>
        <v>5150</v>
      </c>
      <c r="H2262" s="18">
        <f t="shared" si="334"/>
        <v>3533.3333333333335</v>
      </c>
      <c r="I2262" s="268">
        <f t="shared" si="335"/>
        <v>4240</v>
      </c>
      <c r="J2262" s="271">
        <f t="shared" si="336"/>
        <v>4950</v>
      </c>
      <c r="K2262" s="66">
        <f t="shared" si="337"/>
        <v>5940</v>
      </c>
      <c r="L2262" s="18">
        <f t="shared" si="338"/>
        <v>3741.666666666667</v>
      </c>
      <c r="M2262" s="268">
        <f t="shared" si="339"/>
        <v>4490</v>
      </c>
      <c r="N2262" s="271">
        <f t="shared" si="340"/>
        <v>5241.666666666667</v>
      </c>
      <c r="O2262" s="66">
        <f t="shared" si="341"/>
        <v>6290</v>
      </c>
      <c r="P2262" s="18">
        <f t="shared" si="342"/>
        <v>4000</v>
      </c>
      <c r="Q2262" s="268">
        <f t="shared" si="343"/>
        <v>4800</v>
      </c>
      <c r="R2262" s="271">
        <f t="shared" si="344"/>
        <v>5600</v>
      </c>
      <c r="S2262" s="66">
        <f t="shared" si="345"/>
        <v>6720</v>
      </c>
      <c r="T2262" s="18">
        <f t="shared" si="346"/>
        <v>4291.666666666667</v>
      </c>
      <c r="U2262" s="268">
        <f t="shared" si="347"/>
        <v>5150</v>
      </c>
      <c r="V2262" s="271">
        <f t="shared" si="348"/>
        <v>6008.3333333333339</v>
      </c>
      <c r="W2262" s="66">
        <f t="shared" si="349"/>
        <v>7210.0000000000009</v>
      </c>
      <c r="X2262" s="22"/>
      <c r="Y2262" s="22"/>
      <c r="Z2262" s="22"/>
      <c r="AA2262" s="22"/>
      <c r="AB2262" s="22"/>
      <c r="AC2262" s="332">
        <v>3690</v>
      </c>
      <c r="AD2262" s="332">
        <v>5150</v>
      </c>
      <c r="AE2262" s="332">
        <v>4240</v>
      </c>
      <c r="AF2262" s="332">
        <v>5940</v>
      </c>
      <c r="AG2262" s="332">
        <v>4490</v>
      </c>
      <c r="AH2262" s="332">
        <v>6290</v>
      </c>
      <c r="AI2262" s="332">
        <v>4800</v>
      </c>
      <c r="AJ2262" s="332">
        <v>6720</v>
      </c>
      <c r="AK2262" s="332">
        <v>5150</v>
      </c>
      <c r="AL2262" s="332">
        <v>7210</v>
      </c>
      <c r="AM2262" s="334">
        <v>3690</v>
      </c>
      <c r="AN2262" s="310">
        <f t="shared" si="350"/>
        <v>0</v>
      </c>
      <c r="AO2262" s="334">
        <v>5150</v>
      </c>
      <c r="AP2262" s="399">
        <f t="shared" si="351"/>
        <v>0</v>
      </c>
      <c r="AQ2262" s="334">
        <v>4240</v>
      </c>
      <c r="AR2262" s="334">
        <f t="shared" si="352"/>
        <v>0</v>
      </c>
      <c r="AS2262" s="334">
        <v>5940</v>
      </c>
      <c r="AT2262" s="334">
        <f t="shared" si="353"/>
        <v>0</v>
      </c>
      <c r="AU2262" s="334">
        <v>4490</v>
      </c>
      <c r="AV2262" s="334">
        <f t="shared" si="354"/>
        <v>0</v>
      </c>
      <c r="AW2262" s="334">
        <v>6290</v>
      </c>
    </row>
    <row r="2263" spans="1:49">
      <c r="A2263" s="8"/>
      <c r="B2263" s="16" t="str">
        <f>IF($C$1="ENG","D (140 - 160 mm)","D (140 - 160 мм)")</f>
        <v>D (140 - 160 мм)</v>
      </c>
      <c r="C2263" s="432"/>
      <c r="D2263" s="18">
        <f t="shared" si="330"/>
        <v>3241.666666666667</v>
      </c>
      <c r="E2263" s="268">
        <f t="shared" si="331"/>
        <v>3890</v>
      </c>
      <c r="F2263" s="271">
        <f t="shared" si="332"/>
        <v>4541.666666666667</v>
      </c>
      <c r="G2263" s="66">
        <f t="shared" si="333"/>
        <v>5450</v>
      </c>
      <c r="H2263" s="18">
        <f t="shared" si="334"/>
        <v>3733.3333333333335</v>
      </c>
      <c r="I2263" s="268">
        <f t="shared" si="335"/>
        <v>4480</v>
      </c>
      <c r="J2263" s="271">
        <f t="shared" si="336"/>
        <v>5216.666666666667</v>
      </c>
      <c r="K2263" s="66">
        <f t="shared" si="337"/>
        <v>6260</v>
      </c>
      <c r="L2263" s="18">
        <f t="shared" si="338"/>
        <v>3908.3333333333335</v>
      </c>
      <c r="M2263" s="268">
        <f t="shared" si="339"/>
        <v>4690</v>
      </c>
      <c r="N2263" s="271">
        <f t="shared" si="340"/>
        <v>5558.3333333333339</v>
      </c>
      <c r="O2263" s="66">
        <f t="shared" si="341"/>
        <v>6670.0000000000009</v>
      </c>
      <c r="P2263" s="18">
        <f t="shared" si="342"/>
        <v>4183.3333333333339</v>
      </c>
      <c r="Q2263" s="268">
        <f t="shared" si="343"/>
        <v>5020.0000000000009</v>
      </c>
      <c r="R2263" s="271">
        <f t="shared" si="344"/>
        <v>5858.3333333333339</v>
      </c>
      <c r="S2263" s="66">
        <f t="shared" si="345"/>
        <v>7030.0000000000009</v>
      </c>
      <c r="T2263" s="18">
        <f t="shared" si="346"/>
        <v>4500</v>
      </c>
      <c r="U2263" s="268">
        <f t="shared" si="347"/>
        <v>5400</v>
      </c>
      <c r="V2263" s="271">
        <f t="shared" si="348"/>
        <v>6300</v>
      </c>
      <c r="W2263" s="66">
        <f t="shared" si="349"/>
        <v>7560</v>
      </c>
      <c r="X2263" s="22"/>
      <c r="Y2263" s="22"/>
      <c r="Z2263" s="22"/>
      <c r="AA2263" s="22"/>
      <c r="AB2263" s="22"/>
      <c r="AC2263" s="332">
        <v>3890</v>
      </c>
      <c r="AD2263" s="332">
        <v>5450</v>
      </c>
      <c r="AE2263" s="332">
        <v>4480</v>
      </c>
      <c r="AF2263" s="332">
        <v>6260</v>
      </c>
      <c r="AG2263" s="332">
        <v>4690</v>
      </c>
      <c r="AH2263" s="332">
        <v>6670</v>
      </c>
      <c r="AI2263" s="332">
        <v>5020</v>
      </c>
      <c r="AJ2263" s="332">
        <v>7030</v>
      </c>
      <c r="AK2263" s="332">
        <v>5400</v>
      </c>
      <c r="AL2263" s="332">
        <v>7560</v>
      </c>
      <c r="AM2263" s="334">
        <v>3890</v>
      </c>
      <c r="AN2263" s="310">
        <f t="shared" si="350"/>
        <v>0</v>
      </c>
      <c r="AO2263" s="334">
        <v>5450</v>
      </c>
      <c r="AP2263" s="399">
        <f t="shared" si="351"/>
        <v>0</v>
      </c>
      <c r="AQ2263" s="334">
        <v>4480</v>
      </c>
      <c r="AR2263" s="334">
        <f t="shared" si="352"/>
        <v>0</v>
      </c>
      <c r="AS2263" s="334">
        <v>6260</v>
      </c>
      <c r="AT2263" s="334">
        <f t="shared" si="353"/>
        <v>0</v>
      </c>
      <c r="AU2263" s="334">
        <v>4690</v>
      </c>
      <c r="AV2263" s="334">
        <f t="shared" si="354"/>
        <v>0</v>
      </c>
      <c r="AW2263" s="334">
        <v>6670</v>
      </c>
    </row>
    <row r="2264" spans="1:49">
      <c r="A2264" s="8"/>
      <c r="B2264" s="16" t="str">
        <f>IF($C$1="ENG","E (160 - 180 mm)","E (160 - 180 мм)")</f>
        <v>E (160 - 180 мм)</v>
      </c>
      <c r="C2264" s="432"/>
      <c r="D2264" s="18">
        <f t="shared" si="330"/>
        <v>3383.3333333333335</v>
      </c>
      <c r="E2264" s="268">
        <f>IF($W$5=0.2,D2264*1.2,D2264)/$W$4</f>
        <v>4060</v>
      </c>
      <c r="F2264" s="271">
        <f t="shared" si="332"/>
        <v>4725</v>
      </c>
      <c r="G2264" s="66">
        <f t="shared" si="333"/>
        <v>5670</v>
      </c>
      <c r="H2264" s="18">
        <f t="shared" si="334"/>
        <v>3891.666666666667</v>
      </c>
      <c r="I2264" s="268">
        <f t="shared" si="335"/>
        <v>4670</v>
      </c>
      <c r="J2264" s="271">
        <f t="shared" si="336"/>
        <v>5441.666666666667</v>
      </c>
      <c r="K2264" s="66">
        <f t="shared" si="337"/>
        <v>6530</v>
      </c>
      <c r="L2264" s="18">
        <f t="shared" si="338"/>
        <v>4083.3333333333335</v>
      </c>
      <c r="M2264" s="268">
        <f t="shared" si="339"/>
        <v>4900</v>
      </c>
      <c r="N2264" s="271">
        <f t="shared" si="340"/>
        <v>5725</v>
      </c>
      <c r="O2264" s="66">
        <f t="shared" si="341"/>
        <v>6870</v>
      </c>
      <c r="P2264" s="18">
        <f t="shared" si="342"/>
        <v>4366.666666666667</v>
      </c>
      <c r="Q2264" s="268">
        <f t="shared" si="343"/>
        <v>5240</v>
      </c>
      <c r="R2264" s="271">
        <f t="shared" si="344"/>
        <v>6108.3333333333339</v>
      </c>
      <c r="S2264" s="66">
        <f t="shared" si="345"/>
        <v>7330.0000000000009</v>
      </c>
      <c r="T2264" s="18">
        <f t="shared" si="346"/>
        <v>4716.666666666667</v>
      </c>
      <c r="U2264" s="268">
        <f t="shared" si="347"/>
        <v>5660</v>
      </c>
      <c r="V2264" s="271">
        <f t="shared" si="348"/>
        <v>6600.8333333333339</v>
      </c>
      <c r="W2264" s="66">
        <f t="shared" si="349"/>
        <v>7921</v>
      </c>
      <c r="X2264" s="22"/>
      <c r="Y2264" s="22"/>
      <c r="Z2264" s="22"/>
      <c r="AA2264" s="22"/>
      <c r="AB2264" s="22"/>
      <c r="AC2264" s="332">
        <v>4060</v>
      </c>
      <c r="AD2264" s="332">
        <v>5670</v>
      </c>
      <c r="AE2264" s="332">
        <v>4670</v>
      </c>
      <c r="AF2264" s="332">
        <v>6530</v>
      </c>
      <c r="AG2264" s="332">
        <v>4900</v>
      </c>
      <c r="AH2264" s="332">
        <v>6870</v>
      </c>
      <c r="AI2264" s="332">
        <v>5240</v>
      </c>
      <c r="AJ2264" s="332">
        <v>7330</v>
      </c>
      <c r="AK2264" s="332">
        <v>5660</v>
      </c>
      <c r="AL2264" s="332">
        <v>7921</v>
      </c>
      <c r="AM2264" s="334">
        <v>4060</v>
      </c>
      <c r="AN2264" s="310">
        <f t="shared" si="350"/>
        <v>0</v>
      </c>
      <c r="AO2264" s="334">
        <v>5670</v>
      </c>
      <c r="AP2264" s="399">
        <f t="shared" si="351"/>
        <v>0</v>
      </c>
      <c r="AQ2264" s="334">
        <v>4670</v>
      </c>
      <c r="AR2264" s="334">
        <f t="shared" si="352"/>
        <v>0</v>
      </c>
      <c r="AS2264" s="334">
        <v>6530</v>
      </c>
      <c r="AT2264" s="334">
        <f t="shared" si="353"/>
        <v>0</v>
      </c>
      <c r="AU2264" s="334">
        <v>4900</v>
      </c>
      <c r="AV2264" s="334">
        <f t="shared" si="354"/>
        <v>0</v>
      </c>
      <c r="AW2264" s="334">
        <v>6870</v>
      </c>
    </row>
    <row r="2265" spans="1:49">
      <c r="A2265" s="8"/>
      <c r="B2265" s="16" t="str">
        <f>IF($C$1="ENG","F (180 - 200 mm)","F (180 - 200 мм)")</f>
        <v>F (180 - 200 мм)</v>
      </c>
      <c r="C2265" s="432"/>
      <c r="D2265" s="18">
        <f t="shared" si="330"/>
        <v>3550</v>
      </c>
      <c r="E2265" s="268">
        <f t="shared" si="331"/>
        <v>4260</v>
      </c>
      <c r="F2265" s="271">
        <f t="shared" si="332"/>
        <v>4958.3333333333339</v>
      </c>
      <c r="G2265" s="66">
        <f t="shared" si="333"/>
        <v>5950.0000000000009</v>
      </c>
      <c r="H2265" s="18">
        <f t="shared" si="334"/>
        <v>4075</v>
      </c>
      <c r="I2265" s="268">
        <f t="shared" si="335"/>
        <v>4890</v>
      </c>
      <c r="J2265" s="271">
        <f t="shared" si="336"/>
        <v>5700</v>
      </c>
      <c r="K2265" s="66">
        <f t="shared" si="337"/>
        <v>6840</v>
      </c>
      <c r="L2265" s="18">
        <f t="shared" si="338"/>
        <v>4275</v>
      </c>
      <c r="M2265" s="268">
        <f t="shared" si="339"/>
        <v>5130</v>
      </c>
      <c r="N2265" s="271">
        <f t="shared" si="340"/>
        <v>5991.666666666667</v>
      </c>
      <c r="O2265" s="66">
        <f t="shared" si="341"/>
        <v>7190</v>
      </c>
      <c r="P2265" s="18">
        <f t="shared" si="342"/>
        <v>4566.666666666667</v>
      </c>
      <c r="Q2265" s="268">
        <f t="shared" si="343"/>
        <v>5480</v>
      </c>
      <c r="R2265" s="271">
        <f t="shared" si="344"/>
        <v>6391.666666666667</v>
      </c>
      <c r="S2265" s="66">
        <f t="shared" si="345"/>
        <v>7670</v>
      </c>
      <c r="T2265" s="18">
        <f t="shared" si="346"/>
        <v>4925</v>
      </c>
      <c r="U2265" s="268">
        <f t="shared" si="347"/>
        <v>5910</v>
      </c>
      <c r="V2265" s="271">
        <f t="shared" si="348"/>
        <v>6891.666666666667</v>
      </c>
      <c r="W2265" s="66">
        <f t="shared" si="349"/>
        <v>8270</v>
      </c>
      <c r="X2265" s="22"/>
      <c r="Y2265" s="22"/>
      <c r="Z2265" s="22"/>
      <c r="AA2265" s="22"/>
      <c r="AB2265" s="22"/>
      <c r="AC2265" s="332">
        <v>4260</v>
      </c>
      <c r="AD2265" s="332">
        <v>5950</v>
      </c>
      <c r="AE2265" s="332">
        <v>4890</v>
      </c>
      <c r="AF2265" s="332">
        <v>6840</v>
      </c>
      <c r="AG2265" s="332">
        <v>5130</v>
      </c>
      <c r="AH2265" s="332">
        <v>7190</v>
      </c>
      <c r="AI2265" s="332">
        <v>5480</v>
      </c>
      <c r="AJ2265" s="332">
        <v>7670</v>
      </c>
      <c r="AK2265" s="332">
        <v>5910</v>
      </c>
      <c r="AL2265" s="332">
        <v>8270</v>
      </c>
      <c r="AM2265" s="334">
        <v>4260</v>
      </c>
      <c r="AN2265" s="310">
        <f t="shared" si="350"/>
        <v>0</v>
      </c>
      <c r="AO2265" s="334">
        <v>5950</v>
      </c>
      <c r="AP2265" s="399">
        <f t="shared" si="351"/>
        <v>0</v>
      </c>
      <c r="AQ2265" s="334">
        <v>4890</v>
      </c>
      <c r="AR2265" s="334">
        <f t="shared" si="352"/>
        <v>0</v>
      </c>
      <c r="AS2265" s="334">
        <v>6840</v>
      </c>
      <c r="AT2265" s="334">
        <f t="shared" si="353"/>
        <v>0</v>
      </c>
      <c r="AU2265" s="334">
        <v>5130</v>
      </c>
      <c r="AV2265" s="334">
        <f t="shared" si="354"/>
        <v>0</v>
      </c>
      <c r="AW2265" s="334">
        <v>7190</v>
      </c>
    </row>
    <row r="2266" spans="1:49">
      <c r="A2266" s="8"/>
      <c r="B2266" s="16" t="str">
        <f>IF($C$1="ENG","G (200 - 220 mm)","G (200 - 220 мм)")</f>
        <v>G (200 - 220 мм)</v>
      </c>
      <c r="C2266" s="432"/>
      <c r="D2266" s="18">
        <f t="shared" si="330"/>
        <v>3691.666666666667</v>
      </c>
      <c r="E2266" s="268">
        <f t="shared" si="331"/>
        <v>4430</v>
      </c>
      <c r="F2266" s="271">
        <f t="shared" si="332"/>
        <v>5166.666666666667</v>
      </c>
      <c r="G2266" s="66">
        <f t="shared" si="333"/>
        <v>6200</v>
      </c>
      <c r="H2266" s="18">
        <f t="shared" si="334"/>
        <v>4250</v>
      </c>
      <c r="I2266" s="268">
        <f t="shared" si="335"/>
        <v>5100</v>
      </c>
      <c r="J2266" s="271">
        <f t="shared" si="336"/>
        <v>5941.666666666667</v>
      </c>
      <c r="K2266" s="66">
        <f t="shared" si="337"/>
        <v>7130</v>
      </c>
      <c r="L2266" s="18">
        <f t="shared" si="338"/>
        <v>4450</v>
      </c>
      <c r="M2266" s="268">
        <f t="shared" si="339"/>
        <v>5340</v>
      </c>
      <c r="N2266" s="271">
        <f t="shared" si="340"/>
        <v>6225</v>
      </c>
      <c r="O2266" s="66">
        <f t="shared" si="341"/>
        <v>7470</v>
      </c>
      <c r="P2266" s="18">
        <f t="shared" si="342"/>
        <v>4758.3333333333339</v>
      </c>
      <c r="Q2266" s="268">
        <f t="shared" si="343"/>
        <v>5710.0000000000009</v>
      </c>
      <c r="R2266" s="271">
        <f t="shared" si="344"/>
        <v>6658.3333333333339</v>
      </c>
      <c r="S2266" s="66">
        <f t="shared" si="345"/>
        <v>7990</v>
      </c>
      <c r="T2266" s="18">
        <f t="shared" si="346"/>
        <v>5141.666666666667</v>
      </c>
      <c r="U2266" s="268">
        <f t="shared" si="347"/>
        <v>6170</v>
      </c>
      <c r="V2266" s="271">
        <f t="shared" si="348"/>
        <v>7191.666666666667</v>
      </c>
      <c r="W2266" s="66">
        <f t="shared" si="349"/>
        <v>8630</v>
      </c>
      <c r="X2266" s="22"/>
      <c r="Y2266" s="22"/>
      <c r="Z2266" s="22"/>
      <c r="AA2266" s="22"/>
      <c r="AB2266" s="22"/>
      <c r="AC2266" s="332">
        <v>4430</v>
      </c>
      <c r="AD2266" s="332">
        <v>6200</v>
      </c>
      <c r="AE2266" s="332">
        <v>5100</v>
      </c>
      <c r="AF2266" s="332">
        <v>7130</v>
      </c>
      <c r="AG2266" s="332">
        <v>5340</v>
      </c>
      <c r="AH2266" s="332">
        <v>7470</v>
      </c>
      <c r="AI2266" s="332">
        <v>5710</v>
      </c>
      <c r="AJ2266" s="332">
        <v>7990</v>
      </c>
      <c r="AK2266" s="332">
        <v>6170</v>
      </c>
      <c r="AL2266" s="332">
        <v>8630</v>
      </c>
      <c r="AM2266" s="334">
        <v>4430</v>
      </c>
      <c r="AN2266" s="310">
        <f t="shared" si="350"/>
        <v>0</v>
      </c>
      <c r="AO2266" s="334">
        <v>6200</v>
      </c>
      <c r="AP2266" s="399">
        <f t="shared" si="351"/>
        <v>0</v>
      </c>
      <c r="AQ2266" s="334">
        <v>5100</v>
      </c>
      <c r="AR2266" s="334">
        <f t="shared" si="352"/>
        <v>0</v>
      </c>
      <c r="AS2266" s="334">
        <v>7130</v>
      </c>
      <c r="AT2266" s="334">
        <f t="shared" si="353"/>
        <v>0</v>
      </c>
      <c r="AU2266" s="334">
        <v>5340</v>
      </c>
      <c r="AV2266" s="334">
        <f t="shared" si="354"/>
        <v>0</v>
      </c>
      <c r="AW2266" s="334">
        <v>7470</v>
      </c>
    </row>
    <row r="2267" spans="1:49">
      <c r="A2267" s="8"/>
      <c r="B2267" s="16" t="str">
        <f>IF($C$1="ENG","H (220 - 240 mm)","H (220 - 240 мм)")</f>
        <v>H (220 - 240 мм)</v>
      </c>
      <c r="C2267" s="432"/>
      <c r="D2267" s="18">
        <f t="shared" si="330"/>
        <v>3841.666666666667</v>
      </c>
      <c r="E2267" s="268">
        <f t="shared" si="331"/>
        <v>4610</v>
      </c>
      <c r="F2267" s="271">
        <f t="shared" si="332"/>
        <v>5375</v>
      </c>
      <c r="G2267" s="66">
        <f t="shared" si="333"/>
        <v>6450</v>
      </c>
      <c r="H2267" s="18">
        <f t="shared" si="334"/>
        <v>4416.666666666667</v>
      </c>
      <c r="I2267" s="268">
        <f t="shared" si="335"/>
        <v>5300</v>
      </c>
      <c r="J2267" s="271">
        <f t="shared" si="336"/>
        <v>6191.666666666667</v>
      </c>
      <c r="K2267" s="66">
        <f t="shared" si="337"/>
        <v>7430</v>
      </c>
      <c r="L2267" s="18">
        <f t="shared" si="338"/>
        <v>4625</v>
      </c>
      <c r="M2267" s="268">
        <f t="shared" si="339"/>
        <v>5550</v>
      </c>
      <c r="N2267" s="271">
        <f t="shared" si="340"/>
        <v>6475</v>
      </c>
      <c r="O2267" s="66">
        <f t="shared" si="341"/>
        <v>7770</v>
      </c>
      <c r="P2267" s="18">
        <f t="shared" si="342"/>
        <v>4933.3333333333339</v>
      </c>
      <c r="Q2267" s="268">
        <f t="shared" si="343"/>
        <v>5920.0000000000009</v>
      </c>
      <c r="R2267" s="271">
        <f t="shared" si="344"/>
        <v>6908.3333333333339</v>
      </c>
      <c r="S2267" s="66">
        <f t="shared" si="345"/>
        <v>8290</v>
      </c>
      <c r="T2267" s="18">
        <f t="shared" si="346"/>
        <v>5350</v>
      </c>
      <c r="U2267" s="268">
        <f t="shared" si="347"/>
        <v>6420</v>
      </c>
      <c r="V2267" s="271">
        <f t="shared" si="348"/>
        <v>7483.3333333333339</v>
      </c>
      <c r="W2267" s="66">
        <f t="shared" si="349"/>
        <v>8980</v>
      </c>
      <c r="X2267" s="22"/>
      <c r="Y2267" s="22"/>
      <c r="Z2267" s="22"/>
      <c r="AA2267" s="22"/>
      <c r="AB2267" s="22"/>
      <c r="AC2267" s="332">
        <v>4610</v>
      </c>
      <c r="AD2267" s="332">
        <v>6450</v>
      </c>
      <c r="AE2267" s="332">
        <v>5300</v>
      </c>
      <c r="AF2267" s="332">
        <v>7430</v>
      </c>
      <c r="AG2267" s="332">
        <v>5550</v>
      </c>
      <c r="AH2267" s="332">
        <v>7770</v>
      </c>
      <c r="AI2267" s="332">
        <v>5920</v>
      </c>
      <c r="AJ2267" s="332">
        <v>8290</v>
      </c>
      <c r="AK2267" s="332">
        <v>6420</v>
      </c>
      <c r="AL2267" s="332">
        <v>8980</v>
      </c>
      <c r="AM2267" s="334">
        <v>4610</v>
      </c>
      <c r="AN2267" s="310">
        <f t="shared" si="350"/>
        <v>0</v>
      </c>
      <c r="AO2267" s="334">
        <v>6450</v>
      </c>
      <c r="AP2267" s="399">
        <f t="shared" si="351"/>
        <v>0</v>
      </c>
      <c r="AQ2267" s="334">
        <v>5300</v>
      </c>
      <c r="AR2267" s="334">
        <f t="shared" si="352"/>
        <v>0</v>
      </c>
      <c r="AS2267" s="334">
        <v>7430</v>
      </c>
      <c r="AT2267" s="334">
        <f t="shared" si="353"/>
        <v>0</v>
      </c>
      <c r="AU2267" s="334">
        <v>5550</v>
      </c>
      <c r="AV2267" s="334">
        <f t="shared" si="354"/>
        <v>0</v>
      </c>
      <c r="AW2267" s="334">
        <v>7770</v>
      </c>
    </row>
    <row r="2268" spans="1:49">
      <c r="A2268" s="8"/>
      <c r="B2268" s="23" t="str">
        <f>IF($C$1="ENG","I (240 - 260 mm)","I (240 - 260 мм)")</f>
        <v>I (240 - 260 мм)</v>
      </c>
      <c r="C2268" s="433"/>
      <c r="D2268" s="25">
        <f t="shared" si="330"/>
        <v>4000</v>
      </c>
      <c r="E2268" s="269">
        <f t="shared" si="331"/>
        <v>4800</v>
      </c>
      <c r="F2268" s="272">
        <f t="shared" si="332"/>
        <v>5608.3333333333339</v>
      </c>
      <c r="G2268" s="69">
        <f t="shared" si="333"/>
        <v>6730.0000000000009</v>
      </c>
      <c r="H2268" s="25">
        <f t="shared" si="334"/>
        <v>4608.3333333333339</v>
      </c>
      <c r="I2268" s="269">
        <f t="shared" si="335"/>
        <v>5530.0000000000009</v>
      </c>
      <c r="J2268" s="272">
        <f t="shared" si="336"/>
        <v>6450</v>
      </c>
      <c r="K2268" s="69">
        <f t="shared" si="337"/>
        <v>7740</v>
      </c>
      <c r="L2268" s="25">
        <f t="shared" si="338"/>
        <v>4791.666666666667</v>
      </c>
      <c r="M2268" s="269">
        <f t="shared" si="339"/>
        <v>5750</v>
      </c>
      <c r="N2268" s="272">
        <f t="shared" si="340"/>
        <v>6716.666666666667</v>
      </c>
      <c r="O2268" s="69">
        <f t="shared" si="341"/>
        <v>8060</v>
      </c>
      <c r="P2268" s="25">
        <f t="shared" si="342"/>
        <v>5133.3333333333339</v>
      </c>
      <c r="Q2268" s="269">
        <f t="shared" si="343"/>
        <v>6160.0000000000009</v>
      </c>
      <c r="R2268" s="272">
        <f t="shared" si="344"/>
        <v>7183.3333333333339</v>
      </c>
      <c r="S2268" s="69">
        <f t="shared" si="345"/>
        <v>8620</v>
      </c>
      <c r="T2268" s="25">
        <f t="shared" si="346"/>
        <v>5566.666666666667</v>
      </c>
      <c r="U2268" s="269">
        <f t="shared" si="347"/>
        <v>6680</v>
      </c>
      <c r="V2268" s="272">
        <f t="shared" si="348"/>
        <v>7791.666666666667</v>
      </c>
      <c r="W2268" s="69">
        <f t="shared" si="349"/>
        <v>9350</v>
      </c>
      <c r="X2268" s="22"/>
      <c r="Y2268" s="22"/>
      <c r="Z2268" s="22"/>
      <c r="AA2268" s="22"/>
      <c r="AB2268" s="22"/>
      <c r="AC2268" s="332">
        <v>4800</v>
      </c>
      <c r="AD2268" s="332">
        <v>6730</v>
      </c>
      <c r="AE2268" s="332">
        <v>5530</v>
      </c>
      <c r="AF2268" s="332">
        <v>7740</v>
      </c>
      <c r="AG2268" s="332">
        <v>5750</v>
      </c>
      <c r="AH2268" s="332">
        <v>8060</v>
      </c>
      <c r="AI2268" s="332">
        <v>6160</v>
      </c>
      <c r="AJ2268" s="332">
        <v>8620</v>
      </c>
      <c r="AK2268" s="332">
        <v>6680</v>
      </c>
      <c r="AL2268" s="332">
        <v>9350</v>
      </c>
      <c r="AM2268" s="334">
        <v>4800</v>
      </c>
      <c r="AN2268" s="310">
        <f t="shared" si="350"/>
        <v>0</v>
      </c>
      <c r="AO2268" s="334">
        <v>6730</v>
      </c>
      <c r="AP2268" s="399">
        <f t="shared" si="351"/>
        <v>0</v>
      </c>
      <c r="AQ2268" s="334">
        <v>5530</v>
      </c>
      <c r="AR2268" s="334">
        <f t="shared" si="352"/>
        <v>0</v>
      </c>
      <c r="AS2268" s="334">
        <v>7740</v>
      </c>
      <c r="AT2268" s="334">
        <f t="shared" si="353"/>
        <v>0</v>
      </c>
      <c r="AU2268" s="334">
        <v>5750</v>
      </c>
      <c r="AV2268" s="334">
        <f t="shared" si="354"/>
        <v>0</v>
      </c>
      <c r="AW2268" s="334">
        <v>8060</v>
      </c>
    </row>
    <row r="2269" spans="1:49">
      <c r="C2269" s="245"/>
      <c r="D2269" s="26"/>
      <c r="E2269" s="57"/>
      <c r="F2269" s="26"/>
      <c r="G2269" s="57"/>
      <c r="H2269" s="5"/>
      <c r="K2269" s="20"/>
      <c r="L2269" s="48"/>
      <c r="M2269" s="106"/>
      <c r="N2269" s="48"/>
      <c r="O2269" s="48"/>
      <c r="P2269" s="48"/>
      <c r="Q2269" s="106"/>
      <c r="R2269" s="48"/>
      <c r="S2269" s="48"/>
      <c r="U2269" s="20"/>
      <c r="W2269" s="20"/>
      <c r="AO2269" s="388"/>
      <c r="AP2269" s="388"/>
      <c r="AQ2269" s="388"/>
      <c r="AR2269" s="388"/>
      <c r="AS2269" s="388"/>
      <c r="AT2269" s="388"/>
      <c r="AU2269" s="388"/>
      <c r="AV2269" s="388"/>
    </row>
    <row r="2270" spans="1:49">
      <c r="B2270" s="212" t="str">
        <f>IF($C$1="ENG","For additonal charge:","Послуги за додаткову плату:")</f>
        <v>Послуги за додаткову плату:</v>
      </c>
      <c r="C2270" s="421"/>
      <c r="D2270" s="213"/>
      <c r="E2270" s="214"/>
      <c r="F2270" s="39"/>
      <c r="G2270" s="39"/>
      <c r="H2270" s="10"/>
      <c r="I2270" s="84"/>
      <c r="J2270" s="8"/>
      <c r="K2270" s="8"/>
      <c r="L2270" s="105"/>
      <c r="N2270" s="105"/>
      <c r="P2270" s="105"/>
      <c r="R2270" s="105"/>
      <c r="U2270" s="20"/>
      <c r="W2270" s="20"/>
    </row>
    <row r="2271" spans="1:49" ht="5.0999999999999996" customHeight="1">
      <c r="B2271" s="27"/>
      <c r="C2271" s="245"/>
      <c r="D2271" s="26"/>
      <c r="E2271" s="57"/>
      <c r="F2271" s="26"/>
      <c r="G2271" s="26"/>
      <c r="H2271" s="10"/>
      <c r="I2271" s="8"/>
      <c r="J2271" s="8"/>
      <c r="K2271" s="8"/>
      <c r="U2271" s="20"/>
      <c r="W2271" s="20"/>
    </row>
    <row r="2272" spans="1:49">
      <c r="B2272" s="485" t="str">
        <f>IF($C$1="ENG","third door hindge","третя завіса")</f>
        <v>третя завіса</v>
      </c>
      <c r="C2272" s="486"/>
      <c r="D2272" s="51">
        <f>IF(AC2272="","",(1-$W$2)*(AC2272/1.2))</f>
        <v>66.666666666666671</v>
      </c>
      <c r="E2272" s="85">
        <f>IF($W$5=0.2,D2272*1.2,D2272)/$W$4</f>
        <v>80</v>
      </c>
      <c r="F2272" s="26"/>
      <c r="G2272" s="26"/>
      <c r="H2272" s="10"/>
      <c r="I2272" s="84"/>
      <c r="J2272" s="8"/>
      <c r="K2272" s="84"/>
      <c r="U2272" s="20"/>
      <c r="W2272" s="20"/>
      <c r="AC2272" s="298">
        <v>80</v>
      </c>
      <c r="AD2272" s="289"/>
      <c r="AE2272" s="289"/>
      <c r="AF2272" s="289"/>
      <c r="AG2272" s="289"/>
      <c r="AH2272" s="289"/>
      <c r="AI2272" s="289"/>
      <c r="AJ2272" s="289"/>
      <c r="AK2272" s="289"/>
      <c r="AL2272" s="289"/>
    </row>
    <row r="2273" spans="3:28" ht="14.25" customHeight="1">
      <c r="T2273" s="489" t="str">
        <f>IF($C$1="ENG",CONCATENATE("down to: ",B2323),CONCATENATE("вниз до: ",B2323))</f>
        <v>вниз до: Дверна коробка Verto-FIT Comfort</v>
      </c>
      <c r="U2273" s="489"/>
      <c r="V2273" s="489"/>
      <c r="W2273" s="489"/>
    </row>
    <row r="2274" spans="3:28" ht="14.25" customHeight="1">
      <c r="C2274" s="245"/>
      <c r="D2274" s="26"/>
      <c r="E2274" s="26"/>
      <c r="F2274" s="26"/>
      <c r="G2274" s="57"/>
      <c r="H2274" s="5"/>
      <c r="K2274" s="84"/>
      <c r="L2274" s="279"/>
      <c r="O2274" s="57"/>
      <c r="P2274" s="279"/>
      <c r="S2274" s="57"/>
      <c r="T2274" s="279"/>
      <c r="W2274" s="57"/>
      <c r="X2274" s="279"/>
      <c r="Y2274" s="279"/>
      <c r="Z2274" s="279"/>
      <c r="AA2274" s="279"/>
      <c r="AB2274" s="279"/>
    </row>
    <row r="2275" spans="3:28" ht="14.25" customHeight="1">
      <c r="C2275" s="245"/>
      <c r="D2275" s="26"/>
      <c r="E2275" s="26"/>
      <c r="F2275" s="26"/>
      <c r="G2275" s="57"/>
      <c r="H2275" s="279"/>
      <c r="K2275" s="57"/>
      <c r="L2275" s="245"/>
      <c r="M2275" s="246"/>
      <c r="N2275" s="245"/>
      <c r="O2275" s="245"/>
      <c r="P2275" s="245"/>
      <c r="Q2275" s="246"/>
      <c r="R2275" s="245"/>
      <c r="S2275" s="245"/>
      <c r="T2275" s="245"/>
      <c r="U2275" s="246"/>
      <c r="V2275" s="245"/>
      <c r="W2275" s="245"/>
    </row>
    <row r="2276" spans="3:28" ht="14.25" customHeight="1">
      <c r="C2276" s="245"/>
      <c r="D2276" s="245"/>
      <c r="E2276" s="245"/>
      <c r="F2276" s="245"/>
      <c r="G2276" s="249"/>
      <c r="H2276" s="245"/>
      <c r="I2276" s="246"/>
      <c r="J2276" s="245"/>
      <c r="K2276" s="245"/>
      <c r="L2276" s="245"/>
      <c r="M2276" s="245"/>
      <c r="N2276" s="245"/>
      <c r="O2276" s="245"/>
      <c r="P2276" s="245"/>
      <c r="Q2276" s="245"/>
      <c r="R2276" s="245"/>
      <c r="S2276" s="245"/>
      <c r="T2276" s="245"/>
      <c r="U2276" s="245"/>
      <c r="V2276" s="245"/>
      <c r="W2276" s="245"/>
    </row>
    <row r="2277" spans="3:28" ht="14.25" customHeight="1">
      <c r="C2277" s="245"/>
      <c r="D2277" s="245"/>
      <c r="E2277" s="245"/>
      <c r="F2277" s="245"/>
      <c r="G2277" s="245"/>
      <c r="H2277" s="245"/>
      <c r="I2277" s="245"/>
      <c r="J2277" s="245"/>
      <c r="K2277" s="245"/>
    </row>
    <row r="2278" spans="3:28" ht="14.25" customHeight="1">
      <c r="C2278" s="245"/>
      <c r="D2278" s="26"/>
      <c r="E2278" s="26"/>
      <c r="F2278" s="26"/>
      <c r="G2278" s="26"/>
      <c r="H2278" s="5"/>
    </row>
    <row r="2279" spans="3:28" ht="14.25" customHeight="1">
      <c r="C2279" s="245"/>
      <c r="D2279" s="26"/>
      <c r="E2279" s="26"/>
      <c r="F2279" s="26"/>
      <c r="G2279" s="26"/>
      <c r="H2279" s="5"/>
    </row>
    <row r="2280" spans="3:28" ht="14.25" customHeight="1">
      <c r="C2280" s="245"/>
      <c r="D2280" s="26"/>
      <c r="E2280" s="26"/>
      <c r="F2280" s="26"/>
      <c r="G2280" s="26"/>
      <c r="H2280" s="5"/>
    </row>
    <row r="2281" spans="3:28" ht="14.25" customHeight="1">
      <c r="C2281" s="245"/>
      <c r="D2281" s="26"/>
      <c r="E2281" s="26"/>
      <c r="F2281" s="26"/>
      <c r="G2281" s="26"/>
      <c r="H2281" s="5"/>
    </row>
    <row r="2282" spans="3:28" ht="14.25" customHeight="1">
      <c r="C2282" s="245"/>
      <c r="D2282" s="26"/>
      <c r="E2282" s="26"/>
      <c r="F2282" s="26"/>
      <c r="G2282" s="26"/>
      <c r="H2282" s="5"/>
    </row>
    <row r="2283" spans="3:28" ht="14.25" customHeight="1">
      <c r="C2283" s="245"/>
      <c r="D2283" s="26"/>
      <c r="E2283" s="26"/>
      <c r="F2283" s="26"/>
      <c r="G2283" s="26"/>
      <c r="H2283" s="5"/>
    </row>
    <row r="2284" spans="3:28" ht="14.25" customHeight="1">
      <c r="C2284" s="245"/>
      <c r="D2284" s="26"/>
      <c r="E2284" s="26"/>
      <c r="F2284" s="26"/>
      <c r="G2284" s="26"/>
      <c r="H2284" s="5"/>
    </row>
    <row r="2285" spans="3:28" ht="14.25" customHeight="1">
      <c r="C2285" s="245"/>
      <c r="D2285" s="26"/>
      <c r="E2285" s="26"/>
      <c r="F2285" s="26"/>
      <c r="G2285" s="26"/>
      <c r="H2285" s="5"/>
    </row>
    <row r="2286" spans="3:28" ht="14.25" customHeight="1">
      <c r="C2286" s="245"/>
      <c r="D2286" s="26"/>
      <c r="E2286" s="26"/>
      <c r="F2286" s="26"/>
      <c r="G2286" s="26"/>
      <c r="H2286" s="5"/>
    </row>
    <row r="2287" spans="3:28" ht="14.25" customHeight="1">
      <c r="C2287" s="245"/>
      <c r="D2287" s="26"/>
      <c r="E2287" s="26"/>
      <c r="F2287" s="26"/>
      <c r="G2287" s="26"/>
      <c r="H2287" s="5"/>
    </row>
    <row r="2288" spans="3:28" ht="14.25" customHeight="1">
      <c r="C2288" s="245"/>
      <c r="D2288" s="26"/>
      <c r="E2288" s="26"/>
      <c r="F2288" s="26"/>
      <c r="G2288" s="26"/>
      <c r="H2288" s="5"/>
    </row>
    <row r="2289" spans="3:8" ht="14.25" customHeight="1">
      <c r="C2289" s="245"/>
      <c r="D2289" s="26"/>
      <c r="E2289" s="26"/>
      <c r="F2289" s="26"/>
      <c r="G2289" s="26"/>
      <c r="H2289" s="5"/>
    </row>
    <row r="2290" spans="3:8" ht="14.25" customHeight="1">
      <c r="C2290" s="245"/>
      <c r="D2290" s="26"/>
      <c r="E2290" s="26"/>
      <c r="F2290" s="26"/>
      <c r="G2290" s="26"/>
      <c r="H2290" s="5"/>
    </row>
    <row r="2291" spans="3:8" ht="14.25" customHeight="1">
      <c r="C2291" s="245"/>
      <c r="D2291" s="26"/>
      <c r="E2291" s="26"/>
      <c r="F2291" s="26"/>
      <c r="G2291" s="26"/>
      <c r="H2291" s="5"/>
    </row>
    <row r="2292" spans="3:8" ht="14.25" customHeight="1">
      <c r="C2292" s="245"/>
      <c r="D2292" s="26"/>
      <c r="E2292" s="26"/>
      <c r="F2292" s="26"/>
      <c r="G2292" s="26"/>
      <c r="H2292" s="5"/>
    </row>
    <row r="2293" spans="3:8" ht="14.25" customHeight="1">
      <c r="C2293" s="245"/>
      <c r="D2293" s="26"/>
      <c r="E2293" s="26"/>
      <c r="F2293" s="26"/>
      <c r="G2293" s="26"/>
      <c r="H2293" s="5"/>
    </row>
    <row r="2294" spans="3:8" ht="14.25" customHeight="1">
      <c r="C2294" s="245"/>
      <c r="D2294" s="26"/>
      <c r="E2294" s="26"/>
      <c r="F2294" s="26"/>
      <c r="G2294" s="26"/>
      <c r="H2294" s="5"/>
    </row>
    <row r="2295" spans="3:8" ht="14.25" customHeight="1">
      <c r="C2295" s="245"/>
      <c r="D2295" s="26"/>
      <c r="E2295" s="26"/>
      <c r="F2295" s="26"/>
      <c r="G2295" s="26"/>
      <c r="H2295" s="5"/>
    </row>
    <row r="2296" spans="3:8" ht="14.25" customHeight="1">
      <c r="C2296" s="245"/>
      <c r="D2296" s="26"/>
      <c r="E2296" s="26"/>
      <c r="F2296" s="26"/>
      <c r="G2296" s="26"/>
      <c r="H2296" s="5"/>
    </row>
    <row r="2297" spans="3:8" ht="14.25" customHeight="1">
      <c r="C2297" s="245"/>
      <c r="D2297" s="26"/>
      <c r="E2297" s="26"/>
      <c r="F2297" s="26"/>
      <c r="G2297" s="26"/>
      <c r="H2297" s="5"/>
    </row>
    <row r="2298" spans="3:8" ht="14.25" customHeight="1">
      <c r="C2298" s="245"/>
      <c r="D2298" s="26"/>
      <c r="E2298" s="26"/>
      <c r="F2298" s="26"/>
      <c r="G2298" s="26"/>
      <c r="H2298" s="5"/>
    </row>
    <row r="2299" spans="3:8" ht="14.25" customHeight="1">
      <c r="C2299" s="245"/>
      <c r="D2299" s="26"/>
      <c r="E2299" s="26"/>
      <c r="F2299" s="26"/>
      <c r="G2299" s="26"/>
      <c r="H2299" s="5"/>
    </row>
    <row r="2300" spans="3:8" ht="14.25" customHeight="1">
      <c r="C2300" s="245"/>
      <c r="D2300" s="26"/>
      <c r="E2300" s="26"/>
      <c r="F2300" s="26"/>
      <c r="G2300" s="26"/>
      <c r="H2300" s="5"/>
    </row>
    <row r="2301" spans="3:8" ht="14.25" customHeight="1">
      <c r="C2301" s="245"/>
      <c r="D2301" s="26"/>
      <c r="E2301" s="26"/>
      <c r="F2301" s="26"/>
      <c r="G2301" s="26"/>
      <c r="H2301" s="5"/>
    </row>
    <row r="2302" spans="3:8" ht="14.25" customHeight="1">
      <c r="C2302" s="245"/>
      <c r="D2302" s="26"/>
      <c r="E2302" s="26"/>
      <c r="F2302" s="26"/>
      <c r="G2302" s="26"/>
      <c r="H2302" s="5"/>
    </row>
    <row r="2303" spans="3:8" ht="14.25" customHeight="1">
      <c r="C2303" s="245"/>
      <c r="D2303" s="26"/>
      <c r="E2303" s="26"/>
      <c r="F2303" s="26"/>
      <c r="G2303" s="26"/>
      <c r="H2303" s="5"/>
    </row>
    <row r="2304" spans="3:8" ht="14.25" customHeight="1">
      <c r="C2304" s="245"/>
      <c r="D2304" s="26"/>
      <c r="E2304" s="26"/>
      <c r="F2304" s="26"/>
      <c r="G2304" s="26"/>
      <c r="H2304" s="5"/>
    </row>
    <row r="2305" spans="3:34" ht="14.25" customHeight="1">
      <c r="C2305" s="245"/>
      <c r="D2305" s="26"/>
      <c r="E2305" s="26"/>
      <c r="F2305" s="26"/>
      <c r="G2305" s="26"/>
      <c r="H2305" s="5"/>
    </row>
    <row r="2306" spans="3:34" ht="14.25" customHeight="1">
      <c r="C2306" s="245"/>
      <c r="D2306" s="26"/>
      <c r="E2306" s="26"/>
      <c r="F2306" s="26"/>
      <c r="G2306" s="26"/>
      <c r="H2306" s="5"/>
    </row>
    <row r="2307" spans="3:34" ht="14.25" customHeight="1">
      <c r="C2307" s="245"/>
      <c r="D2307" s="26"/>
      <c r="E2307" s="26"/>
      <c r="F2307" s="26"/>
      <c r="G2307" s="26"/>
      <c r="H2307" s="5"/>
    </row>
    <row r="2308" spans="3:34" ht="14.25" customHeight="1">
      <c r="C2308" s="245"/>
      <c r="D2308" s="26"/>
      <c r="E2308" s="26"/>
      <c r="F2308" s="26"/>
      <c r="G2308" s="26"/>
      <c r="H2308" s="5"/>
    </row>
    <row r="2309" spans="3:34" ht="14.25" customHeight="1">
      <c r="C2309" s="245"/>
      <c r="D2309" s="26"/>
      <c r="E2309" s="26"/>
      <c r="F2309" s="26"/>
      <c r="G2309" s="26"/>
      <c r="H2309" s="5"/>
    </row>
    <row r="2310" spans="3:34" ht="14.25" customHeight="1">
      <c r="C2310" s="245"/>
      <c r="D2310" s="26"/>
      <c r="E2310" s="26"/>
      <c r="F2310" s="26"/>
      <c r="G2310" s="26"/>
      <c r="H2310" s="5"/>
    </row>
    <row r="2311" spans="3:34" ht="14.25" customHeight="1">
      <c r="C2311" s="245"/>
      <c r="D2311" s="26"/>
      <c r="E2311" s="26"/>
      <c r="F2311" s="26"/>
      <c r="G2311" s="26"/>
      <c r="H2311" s="5"/>
    </row>
    <row r="2312" spans="3:34" ht="14.25" customHeight="1">
      <c r="C2312" s="245"/>
      <c r="D2312" s="26"/>
      <c r="E2312" s="26"/>
      <c r="F2312" s="26"/>
      <c r="G2312" s="26"/>
      <c r="H2312" s="5"/>
    </row>
    <row r="2313" spans="3:34" ht="14.25" customHeight="1">
      <c r="C2313" s="245"/>
      <c r="D2313" s="26"/>
      <c r="E2313" s="26"/>
      <c r="F2313" s="26"/>
      <c r="G2313" s="26"/>
      <c r="H2313" s="5"/>
    </row>
    <row r="2314" spans="3:34" ht="14.25" customHeight="1">
      <c r="C2314" s="245"/>
      <c r="D2314" s="26"/>
      <c r="E2314" s="26"/>
      <c r="F2314" s="26"/>
      <c r="G2314" s="26"/>
      <c r="H2314" s="5"/>
    </row>
    <row r="2315" spans="3:34" ht="14.25" customHeight="1">
      <c r="C2315" s="245"/>
      <c r="D2315" s="26"/>
      <c r="E2315" s="26"/>
      <c r="F2315" s="26"/>
      <c r="G2315" s="26"/>
      <c r="H2315" s="5"/>
    </row>
    <row r="2316" spans="3:34" ht="14.25" customHeight="1">
      <c r="C2316" s="245"/>
      <c r="D2316" s="26"/>
      <c r="E2316" s="26"/>
      <c r="F2316" s="26"/>
      <c r="G2316" s="26"/>
      <c r="H2316" s="5"/>
      <c r="AF2316" s="8"/>
      <c r="AH2316" s="8"/>
    </row>
    <row r="2317" spans="3:34" ht="14.25" customHeight="1">
      <c r="C2317" s="245"/>
      <c r="D2317" s="26"/>
      <c r="E2317" s="26"/>
      <c r="F2317" s="26"/>
      <c r="G2317" s="26"/>
      <c r="H2317" s="5"/>
    </row>
    <row r="2318" spans="3:34" ht="14.25" customHeight="1">
      <c r="C2318" s="245"/>
      <c r="D2318" s="26"/>
      <c r="E2318" s="26"/>
      <c r="F2318" s="26"/>
      <c r="G2318" s="26"/>
      <c r="H2318" s="5"/>
    </row>
    <row r="2319" spans="3:34" ht="14.25" customHeight="1">
      <c r="C2319" s="245"/>
      <c r="D2319" s="26"/>
      <c r="E2319" s="26"/>
      <c r="F2319" s="26"/>
      <c r="G2319" s="26"/>
      <c r="H2319" s="5"/>
    </row>
    <row r="2320" spans="3:34" ht="14.25" customHeight="1">
      <c r="C2320" s="245"/>
      <c r="D2320" s="26"/>
      <c r="E2320" s="26"/>
      <c r="F2320" s="26"/>
      <c r="G2320" s="26"/>
      <c r="H2320" s="5"/>
    </row>
    <row r="2321" spans="1:49" ht="14.25" customHeight="1">
      <c r="C2321" s="245"/>
      <c r="D2321" s="26"/>
      <c r="E2321" s="26"/>
      <c r="F2321" s="26"/>
      <c r="G2321" s="26"/>
      <c r="H2321" s="5"/>
    </row>
    <row r="2322" spans="1:49" ht="14.25" customHeight="1">
      <c r="C2322" s="245"/>
      <c r="D2322" s="26"/>
      <c r="E2322" s="26"/>
      <c r="F2322" s="26"/>
      <c r="G2322" s="26"/>
      <c r="H2322" s="5"/>
    </row>
    <row r="2323" spans="1:49" s="8" customFormat="1">
      <c r="B2323" s="471" t="str">
        <f>TITLE!$C$44</f>
        <v>Дверна коробка Verto-FIT Comfort</v>
      </c>
      <c r="C2323" s="451"/>
      <c r="D2323" s="118"/>
      <c r="E2323" s="474" t="str">
        <f>IF($C$1="ENG","For Door Leafs without Rebbit","Для Дверних Полотен без Фальця")</f>
        <v>Для Дверних Полотен без Фальця</v>
      </c>
      <c r="F2323" s="474"/>
      <c r="G2323" s="474"/>
      <c r="H2323" s="474"/>
      <c r="I2323" s="474"/>
      <c r="J2323" s="474"/>
      <c r="K2323" s="474"/>
      <c r="L2323" s="455"/>
      <c r="M2323" s="455"/>
      <c r="N2323" s="455"/>
      <c r="O2323" s="455"/>
      <c r="P2323" s="455"/>
      <c r="Q2323" s="455"/>
      <c r="R2323" s="455"/>
      <c r="S2323" s="455"/>
      <c r="T2323" s="456" t="str">
        <f>IF($C$1="ENG",CONCATENATE("up to: ",B2255),CONCATENATE("вгору до: ",B2255))</f>
        <v>вгору до: Дверна коробка Verto-FIT Plus</v>
      </c>
      <c r="U2323" s="456"/>
      <c r="V2323" s="456"/>
      <c r="W2323" s="456"/>
      <c r="AC2323" s="1"/>
      <c r="AE2323" s="1"/>
      <c r="AF2323" s="1"/>
      <c r="AG2323" s="1"/>
      <c r="AI2323" s="1"/>
      <c r="AK2323" s="1"/>
      <c r="AN2323" s="280"/>
      <c r="AO2323" s="280"/>
      <c r="AP2323" s="280"/>
      <c r="AQ2323" s="280"/>
      <c r="AR2323" s="280"/>
      <c r="AS2323" s="280"/>
      <c r="AT2323" s="280"/>
    </row>
    <row r="2324" spans="1:49" s="8" customFormat="1" ht="5.0999999999999996" customHeight="1">
      <c r="C2324" s="424"/>
      <c r="T2324" s="116"/>
      <c r="U2324" s="116"/>
      <c r="V2324" s="116"/>
      <c r="W2324" s="116"/>
      <c r="AN2324" s="280"/>
      <c r="AO2324" s="280"/>
      <c r="AP2324" s="280"/>
      <c r="AQ2324" s="280"/>
      <c r="AR2324" s="280"/>
      <c r="AS2324" s="280"/>
      <c r="AT2324" s="280"/>
    </row>
    <row r="2325" spans="1:49" ht="12.75" customHeight="1">
      <c r="A2325" s="8"/>
      <c r="B2325" s="307" t="str">
        <f>IF($C$1="ENG","model","модель")</f>
        <v>модель</v>
      </c>
      <c r="C2325" s="122" t="str">
        <f>IF($C$1="ENG","cover:","покриття:")</f>
        <v>покриття:</v>
      </c>
      <c r="D2325" s="458" t="str">
        <f>IF($C$1="ENG","SIMPLEX / VERTO-CELL","SIMPLEX / VERTO-CELL ")</f>
        <v xml:space="preserve">SIMPLEX / VERTO-CELL </v>
      </c>
      <c r="E2325" s="473"/>
      <c r="F2325" s="473"/>
      <c r="G2325" s="459"/>
      <c r="H2325" s="458" t="str">
        <f>IF($C$1="ENG","UNI-MAT","UNI-MAT")</f>
        <v>UNI-MAT</v>
      </c>
      <c r="I2325" s="473"/>
      <c r="J2325" s="473"/>
      <c r="K2325" s="459"/>
      <c r="L2325" s="458" t="str">
        <f>IF($C$1="ENG","RESIST","RESIST")</f>
        <v>RESIST</v>
      </c>
      <c r="M2325" s="473"/>
      <c r="N2325" s="473"/>
      <c r="O2325" s="459"/>
      <c r="P2325" s="458" t="str">
        <f>IF($C$1="ENG","Verto LINE-3D","Verto LINE-3D")</f>
        <v>Verto LINE-3D</v>
      </c>
      <c r="Q2325" s="473"/>
      <c r="R2325" s="473"/>
      <c r="S2325" s="459"/>
      <c r="T2325" s="458" t="str">
        <f>IF($C$1="ENG","ECO Shpon / LOFT","ЕКО Шпон / LOFT")</f>
        <v>ЕКО Шпон / LOFT</v>
      </c>
      <c r="U2325" s="473"/>
      <c r="V2325" s="473"/>
      <c r="W2325" s="459"/>
      <c r="AO2325" s="384">
        <v>0.15</v>
      </c>
    </row>
    <row r="2326" spans="1:49" ht="12.75" customHeight="1">
      <c r="A2326" s="8"/>
      <c r="B2326" s="308"/>
      <c r="C2326" s="124" t="str">
        <f>IF($C$1="ENG","type:","виконання:")</f>
        <v>виконання:</v>
      </c>
      <c r="D2326" s="449" t="str">
        <f>IF($C$1="ENG","single leaf","одностулкове")</f>
        <v>одностулкове</v>
      </c>
      <c r="E2326" s="468"/>
      <c r="F2326" s="137"/>
      <c r="G2326" s="126"/>
      <c r="H2326" s="449" t="str">
        <f>IF($C$1="ENG","single leaf","одностулкове")</f>
        <v>одностулкове</v>
      </c>
      <c r="I2326" s="468"/>
      <c r="J2326" s="137"/>
      <c r="K2326" s="126"/>
      <c r="L2326" s="449" t="str">
        <f>IF($C$1="ENG","single leaf","одностулкове")</f>
        <v>одностулкове</v>
      </c>
      <c r="M2326" s="468"/>
      <c r="N2326" s="490"/>
      <c r="O2326" s="450"/>
      <c r="P2326" s="449" t="str">
        <f>IF($C$1="ENG","single leaf","одностулкове")</f>
        <v>одностулкове</v>
      </c>
      <c r="Q2326" s="468"/>
      <c r="R2326" s="490"/>
      <c r="S2326" s="450"/>
      <c r="T2326" s="449" t="str">
        <f>IF($C$1="ENG","single leaf","одностулкове")</f>
        <v>одностулкове</v>
      </c>
      <c r="U2326" s="468"/>
      <c r="V2326" s="490"/>
      <c r="W2326" s="450"/>
    </row>
    <row r="2327" spans="1:49" ht="12.75" customHeight="1">
      <c r="A2327" s="8"/>
      <c r="B2327" s="13" t="str">
        <f>IF($C$1="ENG","A (75 - 95 mm)","A (75 - 95 мм)")</f>
        <v>A (75 - 95 мм)</v>
      </c>
      <c r="C2327" s="426"/>
      <c r="D2327" s="15">
        <f t="shared" ref="D2327:D2336" si="355">IF(AC2327="","",(1-$W$2)*(AC2327/1.2))</f>
        <v>2975</v>
      </c>
      <c r="E2327" s="267">
        <f t="shared" ref="E2327:E2336" si="356">IF($W$5=0.2,D2327*1.2,D2327)/$W$4</f>
        <v>3570</v>
      </c>
      <c r="F2327" s="270"/>
      <c r="G2327" s="64"/>
      <c r="H2327" s="15">
        <f t="shared" ref="H2327:H2336" si="357">IF(AE2327="","",(1-$W$2)*(AE2327/1.2))</f>
        <v>3417.5</v>
      </c>
      <c r="I2327" s="267">
        <f t="shared" ref="I2327:I2336" si="358">IF($W$5=0.2,H2327*1.2,H2327)/$W$4</f>
        <v>4101</v>
      </c>
      <c r="J2327" s="270"/>
      <c r="K2327" s="64"/>
      <c r="L2327" s="15">
        <f t="shared" ref="L2327:L2336" si="359">IF(AG2327="","",(1-$W$2)*(AG2327/1.2))</f>
        <v>3600</v>
      </c>
      <c r="M2327" s="267">
        <f t="shared" ref="M2327:M2336" si="360">IF($W$5=0.2,L2327*1.2,L2327)/$W$4</f>
        <v>4320</v>
      </c>
      <c r="N2327" s="270"/>
      <c r="O2327" s="64"/>
      <c r="P2327" s="15">
        <f t="shared" ref="P2327:P2336" si="361">IF(AI2327="","",(1-$W$2)*(AI2327/1.2))</f>
        <v>3841.666666666667</v>
      </c>
      <c r="Q2327" s="267">
        <f t="shared" ref="Q2327:Q2336" si="362">IF($W$5=0.2,P2327*1.2,P2327)/$W$4</f>
        <v>4610</v>
      </c>
      <c r="R2327" s="270"/>
      <c r="S2327" s="64"/>
      <c r="T2327" s="15">
        <f t="shared" ref="T2327:T2336" si="363">IF(AK2327="","",(1-$W$2)*(AK2327/1.2))</f>
        <v>4108.3333333333339</v>
      </c>
      <c r="U2327" s="267">
        <f t="shared" ref="U2327:U2336" si="364">IF($W$5=0.2,T2327*1.2,T2327)/$W$4</f>
        <v>4930.0000000000009</v>
      </c>
      <c r="V2327" s="270"/>
      <c r="W2327" s="64"/>
      <c r="X2327" s="22"/>
      <c r="Y2327" s="22"/>
      <c r="Z2327" s="22"/>
      <c r="AA2327" s="22"/>
      <c r="AB2327" s="22"/>
      <c r="AC2327" s="332">
        <v>3570</v>
      </c>
      <c r="AD2327" s="332"/>
      <c r="AE2327" s="332">
        <v>4101</v>
      </c>
      <c r="AF2327" s="332"/>
      <c r="AG2327" s="332">
        <v>4320</v>
      </c>
      <c r="AH2327" s="332"/>
      <c r="AI2327" s="332">
        <v>4610</v>
      </c>
      <c r="AJ2327" s="332"/>
      <c r="AK2327" s="332">
        <v>4930</v>
      </c>
      <c r="AL2327" s="289"/>
      <c r="AM2327" s="387">
        <v>3570</v>
      </c>
      <c r="AN2327" s="310">
        <f>AM2327/AC2327-1</f>
        <v>0</v>
      </c>
      <c r="AO2327" s="387">
        <f>AD2327/100*13+AD2327</f>
        <v>0</v>
      </c>
      <c r="AP2327" s="30" t="e">
        <f>AO2327/AD2327-1</f>
        <v>#DIV/0!</v>
      </c>
      <c r="AQ2327" s="387">
        <v>4101</v>
      </c>
      <c r="AR2327" s="30">
        <f>AQ2327/AE2327-1</f>
        <v>0</v>
      </c>
      <c r="AS2327" s="387">
        <f>AF2327/100*13+AF2327</f>
        <v>0</v>
      </c>
      <c r="AT2327" s="30" t="e">
        <f>AS2327/AF2327-1</f>
        <v>#DIV/0!</v>
      </c>
      <c r="AU2327" s="387">
        <v>4320</v>
      </c>
      <c r="AV2327" s="1">
        <f>AU2327/AG2327-1</f>
        <v>0</v>
      </c>
      <c r="AW2327" s="1">
        <f>AH2327/100*13+AH2327</f>
        <v>0</v>
      </c>
    </row>
    <row r="2328" spans="1:49">
      <c r="A2328" s="8"/>
      <c r="B2328" s="16" t="str">
        <f>IF($C$1="ENG","B (95 - 115 mm)","B (95 - 115 мм)")</f>
        <v>B (95 - 115 мм)</v>
      </c>
      <c r="C2328" s="432"/>
      <c r="D2328" s="18">
        <f t="shared" si="355"/>
        <v>3116.666666666667</v>
      </c>
      <c r="E2328" s="268">
        <f t="shared" si="356"/>
        <v>3740</v>
      </c>
      <c r="F2328" s="271"/>
      <c r="G2328" s="66"/>
      <c r="H2328" s="18">
        <f t="shared" si="357"/>
        <v>3591.666666666667</v>
      </c>
      <c r="I2328" s="268">
        <f t="shared" si="358"/>
        <v>4310</v>
      </c>
      <c r="J2328" s="271"/>
      <c r="K2328" s="66"/>
      <c r="L2328" s="18">
        <f t="shared" si="359"/>
        <v>3766.666666666667</v>
      </c>
      <c r="M2328" s="268">
        <f t="shared" si="360"/>
        <v>4520</v>
      </c>
      <c r="N2328" s="271"/>
      <c r="O2328" s="66"/>
      <c r="P2328" s="18">
        <f t="shared" si="361"/>
        <v>4033.3333333333335</v>
      </c>
      <c r="Q2328" s="268">
        <f t="shared" si="362"/>
        <v>4840</v>
      </c>
      <c r="R2328" s="271"/>
      <c r="S2328" s="66"/>
      <c r="T2328" s="18">
        <f t="shared" si="363"/>
        <v>4308.3333333333339</v>
      </c>
      <c r="U2328" s="268">
        <f t="shared" si="364"/>
        <v>5170.0000000000009</v>
      </c>
      <c r="V2328" s="271"/>
      <c r="W2328" s="66"/>
      <c r="X2328" s="22"/>
      <c r="Y2328" s="22"/>
      <c r="Z2328" s="22"/>
      <c r="AA2328" s="22"/>
      <c r="AB2328" s="22"/>
      <c r="AC2328" s="332">
        <v>3740</v>
      </c>
      <c r="AD2328" s="332"/>
      <c r="AE2328" s="332">
        <v>4310</v>
      </c>
      <c r="AF2328" s="332"/>
      <c r="AG2328" s="332">
        <v>4520</v>
      </c>
      <c r="AH2328" s="332"/>
      <c r="AI2328" s="332">
        <v>4840</v>
      </c>
      <c r="AJ2328" s="332"/>
      <c r="AK2328" s="332">
        <v>5170</v>
      </c>
      <c r="AL2328" s="289"/>
      <c r="AM2328" s="387">
        <v>3740</v>
      </c>
      <c r="AN2328" s="30">
        <f t="shared" ref="AN2328:AN2336" si="365">AM2328/AC2328-1</f>
        <v>0</v>
      </c>
      <c r="AO2328" s="387">
        <f t="shared" ref="AO2328:AO2336" si="366">AD2328/100*13+AD2328</f>
        <v>0</v>
      </c>
      <c r="AP2328" s="30" t="e">
        <f t="shared" ref="AP2328:AP2336" si="367">AO2328/AD2328-1</f>
        <v>#DIV/0!</v>
      </c>
      <c r="AQ2328" s="387">
        <v>4310</v>
      </c>
      <c r="AR2328" s="30">
        <f t="shared" ref="AR2328:AR2336" si="368">AQ2328/AE2328-1</f>
        <v>0</v>
      </c>
      <c r="AS2328" s="387">
        <f t="shared" ref="AS2328:AS2336" si="369">AF2328/100*13+AF2328</f>
        <v>0</v>
      </c>
      <c r="AT2328" s="30" t="e">
        <f t="shared" ref="AT2328:AT2336" si="370">AS2328/AF2328-1</f>
        <v>#DIV/0!</v>
      </c>
      <c r="AU2328" s="387">
        <v>4520</v>
      </c>
      <c r="AV2328" s="1">
        <f t="shared" ref="AV2328:AV2336" si="371">AU2328/AG2328-1</f>
        <v>0</v>
      </c>
      <c r="AW2328" s="1">
        <f t="shared" ref="AW2328:AW2336" si="372">AH2328/100*13+AH2328</f>
        <v>0</v>
      </c>
    </row>
    <row r="2329" spans="1:49">
      <c r="A2329" s="8"/>
      <c r="B2329" s="16" t="str">
        <f>IF($C$1="ENG","B+ (115 - 135 mm)","B+ (115 - 135 мм)")</f>
        <v>B+ (115 - 135 мм)</v>
      </c>
      <c r="C2329" s="432"/>
      <c r="D2329" s="18">
        <f t="shared" si="355"/>
        <v>3183.3333333333335</v>
      </c>
      <c r="E2329" s="268">
        <f t="shared" si="356"/>
        <v>3820</v>
      </c>
      <c r="F2329" s="271"/>
      <c r="G2329" s="66"/>
      <c r="H2329" s="18">
        <f t="shared" si="357"/>
        <v>3666.666666666667</v>
      </c>
      <c r="I2329" s="268">
        <f t="shared" si="358"/>
        <v>4400</v>
      </c>
      <c r="J2329" s="271"/>
      <c r="K2329" s="66"/>
      <c r="L2329" s="18">
        <f t="shared" si="359"/>
        <v>3858.3333333333335</v>
      </c>
      <c r="M2329" s="268">
        <f t="shared" si="360"/>
        <v>4630</v>
      </c>
      <c r="N2329" s="271"/>
      <c r="O2329" s="66"/>
      <c r="P2329" s="18">
        <f t="shared" si="361"/>
        <v>4125</v>
      </c>
      <c r="Q2329" s="268">
        <f t="shared" si="362"/>
        <v>4950</v>
      </c>
      <c r="R2329" s="271"/>
      <c r="S2329" s="66"/>
      <c r="T2329" s="18">
        <f t="shared" si="363"/>
        <v>4400</v>
      </c>
      <c r="U2329" s="268">
        <f t="shared" si="364"/>
        <v>5280</v>
      </c>
      <c r="V2329" s="271"/>
      <c r="W2329" s="66"/>
      <c r="X2329" s="22"/>
      <c r="Y2329" s="22"/>
      <c r="Z2329" s="22"/>
      <c r="AA2329" s="22"/>
      <c r="AB2329" s="22"/>
      <c r="AC2329" s="332">
        <v>3820</v>
      </c>
      <c r="AD2329" s="332"/>
      <c r="AE2329" s="332">
        <v>4400</v>
      </c>
      <c r="AF2329" s="332"/>
      <c r="AG2329" s="332">
        <v>4630</v>
      </c>
      <c r="AH2329" s="332"/>
      <c r="AI2329" s="332">
        <v>4950</v>
      </c>
      <c r="AJ2329" s="332"/>
      <c r="AK2329" s="332">
        <v>5280</v>
      </c>
      <c r="AL2329" s="289"/>
      <c r="AM2329" s="387">
        <v>3820</v>
      </c>
      <c r="AN2329" s="310">
        <f t="shared" si="365"/>
        <v>0</v>
      </c>
      <c r="AO2329" s="387">
        <f t="shared" si="366"/>
        <v>0</v>
      </c>
      <c r="AP2329" s="310" t="e">
        <f t="shared" si="367"/>
        <v>#DIV/0!</v>
      </c>
      <c r="AQ2329" s="387">
        <v>4400</v>
      </c>
      <c r="AR2329" s="30">
        <f t="shared" si="368"/>
        <v>0</v>
      </c>
      <c r="AS2329" s="387">
        <f t="shared" si="369"/>
        <v>0</v>
      </c>
      <c r="AT2329" s="30" t="e">
        <f t="shared" si="370"/>
        <v>#DIV/0!</v>
      </c>
      <c r="AU2329" s="387">
        <v>4630</v>
      </c>
      <c r="AV2329" s="1">
        <f t="shared" si="371"/>
        <v>0</v>
      </c>
      <c r="AW2329" s="1">
        <f t="shared" si="372"/>
        <v>0</v>
      </c>
    </row>
    <row r="2330" spans="1:49">
      <c r="A2330" s="8"/>
      <c r="B2330" s="16" t="str">
        <f>IF($C$1="ENG","C (120 - 140 mm)","C (120 - 140 мм)")</f>
        <v>C (120 - 140 мм)</v>
      </c>
      <c r="C2330" s="432"/>
      <c r="D2330" s="18">
        <f t="shared" si="355"/>
        <v>3258.3333333333335</v>
      </c>
      <c r="E2330" s="268">
        <f t="shared" si="356"/>
        <v>3910</v>
      </c>
      <c r="F2330" s="271"/>
      <c r="G2330" s="66"/>
      <c r="H2330" s="18">
        <f t="shared" si="357"/>
        <v>3750</v>
      </c>
      <c r="I2330" s="268">
        <f t="shared" si="358"/>
        <v>4500</v>
      </c>
      <c r="J2330" s="271"/>
      <c r="K2330" s="66"/>
      <c r="L2330" s="18">
        <f t="shared" si="359"/>
        <v>3925</v>
      </c>
      <c r="M2330" s="268">
        <f t="shared" si="360"/>
        <v>4710</v>
      </c>
      <c r="N2330" s="271"/>
      <c r="O2330" s="66"/>
      <c r="P2330" s="18">
        <f t="shared" si="361"/>
        <v>4216.666666666667</v>
      </c>
      <c r="Q2330" s="268">
        <f t="shared" si="362"/>
        <v>5060</v>
      </c>
      <c r="R2330" s="271"/>
      <c r="S2330" s="66"/>
      <c r="T2330" s="18">
        <f t="shared" si="363"/>
        <v>4500</v>
      </c>
      <c r="U2330" s="268">
        <f t="shared" si="364"/>
        <v>5400</v>
      </c>
      <c r="V2330" s="271"/>
      <c r="W2330" s="66"/>
      <c r="X2330" s="22"/>
      <c r="Y2330" s="22"/>
      <c r="Z2330" s="22"/>
      <c r="AA2330" s="22"/>
      <c r="AB2330" s="22"/>
      <c r="AC2330" s="332">
        <v>3910</v>
      </c>
      <c r="AD2330" s="332"/>
      <c r="AE2330" s="332">
        <v>4500</v>
      </c>
      <c r="AF2330" s="332"/>
      <c r="AG2330" s="332">
        <v>4710</v>
      </c>
      <c r="AH2330" s="332"/>
      <c r="AI2330" s="332">
        <v>5060</v>
      </c>
      <c r="AJ2330" s="332"/>
      <c r="AK2330" s="332">
        <v>5400</v>
      </c>
      <c r="AL2330" s="289"/>
      <c r="AM2330" s="387">
        <v>3910</v>
      </c>
      <c r="AN2330" s="310">
        <f t="shared" si="365"/>
        <v>0</v>
      </c>
      <c r="AO2330" s="387">
        <f t="shared" si="366"/>
        <v>0</v>
      </c>
      <c r="AP2330" s="30" t="e">
        <f t="shared" si="367"/>
        <v>#DIV/0!</v>
      </c>
      <c r="AQ2330" s="387">
        <v>4400</v>
      </c>
      <c r="AR2330" s="30">
        <f t="shared" si="368"/>
        <v>-2.2222222222222254E-2</v>
      </c>
      <c r="AS2330" s="387">
        <f t="shared" si="369"/>
        <v>0</v>
      </c>
      <c r="AT2330" s="30" t="e">
        <f t="shared" si="370"/>
        <v>#DIV/0!</v>
      </c>
      <c r="AU2330" s="387">
        <v>4710</v>
      </c>
      <c r="AV2330" s="1">
        <f t="shared" si="371"/>
        <v>0</v>
      </c>
      <c r="AW2330" s="1">
        <f t="shared" si="372"/>
        <v>0</v>
      </c>
    </row>
    <row r="2331" spans="1:49">
      <c r="A2331" s="8"/>
      <c r="B2331" s="16" t="str">
        <f>IF($C$1="ENG","D (140 - 160 mm)","D (140 - 160 мм)")</f>
        <v>D (140 - 160 мм)</v>
      </c>
      <c r="C2331" s="432"/>
      <c r="D2331" s="18">
        <f t="shared" si="355"/>
        <v>3400</v>
      </c>
      <c r="E2331" s="268">
        <f t="shared" si="356"/>
        <v>4080</v>
      </c>
      <c r="F2331" s="271"/>
      <c r="G2331" s="66"/>
      <c r="H2331" s="18">
        <f t="shared" si="357"/>
        <v>3908.3333333333335</v>
      </c>
      <c r="I2331" s="268">
        <f t="shared" si="358"/>
        <v>4690</v>
      </c>
      <c r="J2331" s="271"/>
      <c r="K2331" s="66"/>
      <c r="L2331" s="18">
        <f t="shared" si="359"/>
        <v>4108.3333333333339</v>
      </c>
      <c r="M2331" s="268">
        <f t="shared" si="360"/>
        <v>4930.0000000000009</v>
      </c>
      <c r="N2331" s="271"/>
      <c r="O2331" s="66"/>
      <c r="P2331" s="18">
        <f t="shared" si="361"/>
        <v>4408.3333333333339</v>
      </c>
      <c r="Q2331" s="268">
        <f t="shared" si="362"/>
        <v>5290.0000000000009</v>
      </c>
      <c r="R2331" s="271"/>
      <c r="S2331" s="66"/>
      <c r="T2331" s="18">
        <f t="shared" si="363"/>
        <v>4708.3333333333339</v>
      </c>
      <c r="U2331" s="268">
        <f t="shared" si="364"/>
        <v>5650.0000000000009</v>
      </c>
      <c r="V2331" s="271"/>
      <c r="W2331" s="66"/>
      <c r="X2331" s="22"/>
      <c r="Y2331" s="22"/>
      <c r="Z2331" s="22"/>
      <c r="AA2331" s="22"/>
      <c r="AB2331" s="22"/>
      <c r="AC2331" s="332">
        <v>4080</v>
      </c>
      <c r="AD2331" s="332"/>
      <c r="AE2331" s="332">
        <v>4690</v>
      </c>
      <c r="AF2331" s="332"/>
      <c r="AG2331" s="332">
        <v>4930</v>
      </c>
      <c r="AH2331" s="332"/>
      <c r="AI2331" s="332">
        <v>5290</v>
      </c>
      <c r="AJ2331" s="332"/>
      <c r="AK2331" s="332">
        <v>5650</v>
      </c>
      <c r="AL2331" s="289"/>
      <c r="AM2331" s="387">
        <v>4080</v>
      </c>
      <c r="AN2331" s="310">
        <f t="shared" si="365"/>
        <v>0</v>
      </c>
      <c r="AO2331" s="387">
        <f t="shared" si="366"/>
        <v>0</v>
      </c>
      <c r="AP2331" s="30" t="e">
        <f t="shared" si="367"/>
        <v>#DIV/0!</v>
      </c>
      <c r="AQ2331" s="387">
        <v>4690</v>
      </c>
      <c r="AR2331" s="30">
        <f t="shared" si="368"/>
        <v>0</v>
      </c>
      <c r="AS2331" s="387">
        <f t="shared" si="369"/>
        <v>0</v>
      </c>
      <c r="AT2331" s="30" t="e">
        <f t="shared" si="370"/>
        <v>#DIV/0!</v>
      </c>
      <c r="AU2331" s="387">
        <v>4930</v>
      </c>
      <c r="AV2331" s="1">
        <f t="shared" si="371"/>
        <v>0</v>
      </c>
      <c r="AW2331" s="1">
        <f t="shared" si="372"/>
        <v>0</v>
      </c>
    </row>
    <row r="2332" spans="1:49">
      <c r="A2332" s="8"/>
      <c r="B2332" s="16" t="str">
        <f>IF($C$1="ENG","E (160 - 180 mm)","E (160 - 180 мм)")</f>
        <v>E (160 - 180 мм)</v>
      </c>
      <c r="C2332" s="432"/>
      <c r="D2332" s="18">
        <f t="shared" si="355"/>
        <v>3541.666666666667</v>
      </c>
      <c r="E2332" s="268">
        <f t="shared" si="356"/>
        <v>4250</v>
      </c>
      <c r="F2332" s="271"/>
      <c r="G2332" s="66"/>
      <c r="H2332" s="18">
        <f t="shared" si="357"/>
        <v>4066.666666666667</v>
      </c>
      <c r="I2332" s="268">
        <f t="shared" si="358"/>
        <v>4880</v>
      </c>
      <c r="J2332" s="271"/>
      <c r="K2332" s="66"/>
      <c r="L2332" s="18">
        <f t="shared" si="359"/>
        <v>4283.3333333333339</v>
      </c>
      <c r="M2332" s="268">
        <f t="shared" si="360"/>
        <v>5140.0000000000009</v>
      </c>
      <c r="N2332" s="271"/>
      <c r="O2332" s="66"/>
      <c r="P2332" s="18">
        <f t="shared" si="361"/>
        <v>4600</v>
      </c>
      <c r="Q2332" s="268">
        <f t="shared" si="362"/>
        <v>5520</v>
      </c>
      <c r="R2332" s="271"/>
      <c r="S2332" s="66"/>
      <c r="T2332" s="18">
        <f t="shared" si="363"/>
        <v>4908.3333333333339</v>
      </c>
      <c r="U2332" s="268">
        <f t="shared" si="364"/>
        <v>5890.0000000000009</v>
      </c>
      <c r="V2332" s="271"/>
      <c r="W2332" s="66"/>
      <c r="X2332" s="22"/>
      <c r="Y2332" s="22"/>
      <c r="Z2332" s="22"/>
      <c r="AA2332" s="22"/>
      <c r="AB2332" s="22"/>
      <c r="AC2332" s="332">
        <v>4250</v>
      </c>
      <c r="AD2332" s="332"/>
      <c r="AE2332" s="332">
        <v>4880</v>
      </c>
      <c r="AF2332" s="332"/>
      <c r="AG2332" s="332">
        <v>5140</v>
      </c>
      <c r="AH2332" s="332"/>
      <c r="AI2332" s="332">
        <v>5520</v>
      </c>
      <c r="AJ2332" s="332"/>
      <c r="AK2332" s="332">
        <v>5890</v>
      </c>
      <c r="AL2332" s="289"/>
      <c r="AM2332" s="387">
        <v>4250</v>
      </c>
      <c r="AN2332" s="310">
        <f t="shared" si="365"/>
        <v>0</v>
      </c>
      <c r="AO2332" s="387">
        <f t="shared" si="366"/>
        <v>0</v>
      </c>
      <c r="AP2332" s="30" t="e">
        <f t="shared" si="367"/>
        <v>#DIV/0!</v>
      </c>
      <c r="AQ2332" s="387">
        <v>4880</v>
      </c>
      <c r="AR2332" s="30">
        <f t="shared" si="368"/>
        <v>0</v>
      </c>
      <c r="AS2332" s="387">
        <f t="shared" si="369"/>
        <v>0</v>
      </c>
      <c r="AT2332" s="30" t="e">
        <f t="shared" si="370"/>
        <v>#DIV/0!</v>
      </c>
      <c r="AU2332" s="387">
        <v>5140</v>
      </c>
      <c r="AV2332" s="1">
        <f t="shared" si="371"/>
        <v>0</v>
      </c>
      <c r="AW2332" s="1">
        <f t="shared" si="372"/>
        <v>0</v>
      </c>
    </row>
    <row r="2333" spans="1:49">
      <c r="A2333" s="8"/>
      <c r="B2333" s="16" t="str">
        <f>IF($C$1="ENG","F (180 - 200 mm)","F (180 - 200 мм)")</f>
        <v>F (180 - 200 мм)</v>
      </c>
      <c r="C2333" s="432"/>
      <c r="D2333" s="18">
        <f t="shared" si="355"/>
        <v>3683.3333333333335</v>
      </c>
      <c r="E2333" s="268">
        <f t="shared" si="356"/>
        <v>4420</v>
      </c>
      <c r="F2333" s="271"/>
      <c r="G2333" s="66"/>
      <c r="H2333" s="18">
        <f t="shared" si="357"/>
        <v>4241.666666666667</v>
      </c>
      <c r="I2333" s="268">
        <f t="shared" si="358"/>
        <v>5090</v>
      </c>
      <c r="J2333" s="271"/>
      <c r="K2333" s="66"/>
      <c r="L2333" s="18">
        <f t="shared" si="359"/>
        <v>4458.3333333333339</v>
      </c>
      <c r="M2333" s="268">
        <f t="shared" si="360"/>
        <v>5350.0000000000009</v>
      </c>
      <c r="N2333" s="271"/>
      <c r="O2333" s="66"/>
      <c r="P2333" s="18">
        <f t="shared" si="361"/>
        <v>4783.3333333333339</v>
      </c>
      <c r="Q2333" s="268">
        <f t="shared" si="362"/>
        <v>5740.0000000000009</v>
      </c>
      <c r="R2333" s="271"/>
      <c r="S2333" s="66"/>
      <c r="T2333" s="18">
        <f t="shared" si="363"/>
        <v>5116.666666666667</v>
      </c>
      <c r="U2333" s="268">
        <f t="shared" si="364"/>
        <v>6140</v>
      </c>
      <c r="V2333" s="271"/>
      <c r="W2333" s="66"/>
      <c r="X2333" s="22"/>
      <c r="Y2333" s="22"/>
      <c r="Z2333" s="22"/>
      <c r="AA2333" s="22"/>
      <c r="AB2333" s="22"/>
      <c r="AC2333" s="332">
        <v>4420</v>
      </c>
      <c r="AD2333" s="332"/>
      <c r="AE2333" s="332">
        <v>5090</v>
      </c>
      <c r="AF2333" s="332"/>
      <c r="AG2333" s="332">
        <v>5350</v>
      </c>
      <c r="AH2333" s="332"/>
      <c r="AI2333" s="332">
        <v>5740</v>
      </c>
      <c r="AJ2333" s="332"/>
      <c r="AK2333" s="332">
        <v>6140</v>
      </c>
      <c r="AL2333" s="289"/>
      <c r="AM2333" s="387">
        <v>4420</v>
      </c>
      <c r="AN2333" s="310">
        <f t="shared" si="365"/>
        <v>0</v>
      </c>
      <c r="AO2333" s="387">
        <f t="shared" si="366"/>
        <v>0</v>
      </c>
      <c r="AP2333" s="30" t="e">
        <f t="shared" si="367"/>
        <v>#DIV/0!</v>
      </c>
      <c r="AQ2333" s="387">
        <v>5090</v>
      </c>
      <c r="AR2333" s="30">
        <f t="shared" si="368"/>
        <v>0</v>
      </c>
      <c r="AS2333" s="387">
        <f t="shared" si="369"/>
        <v>0</v>
      </c>
      <c r="AT2333" s="30" t="e">
        <f t="shared" si="370"/>
        <v>#DIV/0!</v>
      </c>
      <c r="AU2333" s="387">
        <v>5350</v>
      </c>
      <c r="AV2333" s="1">
        <f t="shared" si="371"/>
        <v>0</v>
      </c>
      <c r="AW2333" s="1">
        <f t="shared" si="372"/>
        <v>0</v>
      </c>
    </row>
    <row r="2334" spans="1:49">
      <c r="A2334" s="8"/>
      <c r="B2334" s="16" t="str">
        <f>IF($C$1="ENG","G (200 - 220 mm)","G (200 - 220 мм)")</f>
        <v>G (200 - 220 мм)</v>
      </c>
      <c r="C2334" s="432"/>
      <c r="D2334" s="18">
        <f t="shared" si="355"/>
        <v>3825</v>
      </c>
      <c r="E2334" s="268">
        <f t="shared" si="356"/>
        <v>4590</v>
      </c>
      <c r="F2334" s="271"/>
      <c r="G2334" s="66"/>
      <c r="H2334" s="18">
        <f t="shared" si="357"/>
        <v>4400</v>
      </c>
      <c r="I2334" s="268">
        <f t="shared" si="358"/>
        <v>5280</v>
      </c>
      <c r="J2334" s="271"/>
      <c r="K2334" s="66"/>
      <c r="L2334" s="18">
        <f t="shared" si="359"/>
        <v>4633.3333333333339</v>
      </c>
      <c r="M2334" s="268">
        <f t="shared" si="360"/>
        <v>5560.0000000000009</v>
      </c>
      <c r="N2334" s="271"/>
      <c r="O2334" s="66"/>
      <c r="P2334" s="18">
        <f t="shared" si="361"/>
        <v>4975</v>
      </c>
      <c r="Q2334" s="268">
        <f t="shared" si="362"/>
        <v>5970</v>
      </c>
      <c r="R2334" s="271"/>
      <c r="S2334" s="66"/>
      <c r="T2334" s="18">
        <f t="shared" si="363"/>
        <v>5308.3333333333339</v>
      </c>
      <c r="U2334" s="268">
        <f t="shared" si="364"/>
        <v>6370.0000000000009</v>
      </c>
      <c r="V2334" s="271"/>
      <c r="W2334" s="66"/>
      <c r="X2334" s="22"/>
      <c r="Y2334" s="22"/>
      <c r="Z2334" s="22"/>
      <c r="AA2334" s="22"/>
      <c r="AB2334" s="22"/>
      <c r="AC2334" s="332">
        <v>4590</v>
      </c>
      <c r="AD2334" s="332"/>
      <c r="AE2334" s="332">
        <v>5280</v>
      </c>
      <c r="AF2334" s="332"/>
      <c r="AG2334" s="332">
        <v>5560</v>
      </c>
      <c r="AH2334" s="332"/>
      <c r="AI2334" s="332">
        <v>5970</v>
      </c>
      <c r="AJ2334" s="332"/>
      <c r="AK2334" s="332">
        <v>6370</v>
      </c>
      <c r="AL2334" s="289"/>
      <c r="AM2334" s="387">
        <v>4590</v>
      </c>
      <c r="AN2334" s="310">
        <f t="shared" si="365"/>
        <v>0</v>
      </c>
      <c r="AO2334" s="387">
        <f t="shared" si="366"/>
        <v>0</v>
      </c>
      <c r="AP2334" s="30" t="e">
        <f t="shared" si="367"/>
        <v>#DIV/0!</v>
      </c>
      <c r="AQ2334" s="387">
        <v>5280</v>
      </c>
      <c r="AR2334" s="30">
        <f t="shared" si="368"/>
        <v>0</v>
      </c>
      <c r="AS2334" s="387">
        <f t="shared" si="369"/>
        <v>0</v>
      </c>
      <c r="AT2334" s="30" t="e">
        <f t="shared" si="370"/>
        <v>#DIV/0!</v>
      </c>
      <c r="AU2334" s="387">
        <v>5560</v>
      </c>
      <c r="AV2334" s="1">
        <f t="shared" si="371"/>
        <v>0</v>
      </c>
      <c r="AW2334" s="1">
        <f t="shared" si="372"/>
        <v>0</v>
      </c>
    </row>
    <row r="2335" spans="1:49">
      <c r="A2335" s="8"/>
      <c r="B2335" s="16" t="str">
        <f>IF($C$1="ENG","H (220 - 240 mm)","H (220 - 240 мм)")</f>
        <v>H (220 - 240 мм)</v>
      </c>
      <c r="C2335" s="432"/>
      <c r="D2335" s="18">
        <f t="shared" si="355"/>
        <v>3966.666666666667</v>
      </c>
      <c r="E2335" s="268">
        <f t="shared" si="356"/>
        <v>4760</v>
      </c>
      <c r="F2335" s="271"/>
      <c r="G2335" s="66"/>
      <c r="H2335" s="18">
        <f t="shared" si="357"/>
        <v>4558.3333333333339</v>
      </c>
      <c r="I2335" s="268">
        <f t="shared" si="358"/>
        <v>5470.0000000000009</v>
      </c>
      <c r="J2335" s="271"/>
      <c r="K2335" s="66"/>
      <c r="L2335" s="18">
        <f t="shared" si="359"/>
        <v>4800</v>
      </c>
      <c r="M2335" s="268">
        <f t="shared" si="360"/>
        <v>5760</v>
      </c>
      <c r="N2335" s="271"/>
      <c r="O2335" s="66"/>
      <c r="P2335" s="18">
        <f t="shared" si="361"/>
        <v>5158.3333333333339</v>
      </c>
      <c r="Q2335" s="268">
        <f t="shared" si="362"/>
        <v>6190.0000000000009</v>
      </c>
      <c r="R2335" s="271"/>
      <c r="S2335" s="66"/>
      <c r="T2335" s="18">
        <f t="shared" si="363"/>
        <v>5500</v>
      </c>
      <c r="U2335" s="268">
        <f t="shared" si="364"/>
        <v>6600</v>
      </c>
      <c r="V2335" s="271"/>
      <c r="W2335" s="66"/>
      <c r="X2335" s="22"/>
      <c r="Y2335" s="22"/>
      <c r="Z2335" s="22"/>
      <c r="AA2335" s="22"/>
      <c r="AB2335" s="22"/>
      <c r="AC2335" s="332">
        <v>4760</v>
      </c>
      <c r="AD2335" s="332"/>
      <c r="AE2335" s="332">
        <v>5470</v>
      </c>
      <c r="AF2335" s="332"/>
      <c r="AG2335" s="332">
        <v>5760</v>
      </c>
      <c r="AH2335" s="332"/>
      <c r="AI2335" s="332">
        <v>6190</v>
      </c>
      <c r="AJ2335" s="332"/>
      <c r="AK2335" s="332">
        <v>6600</v>
      </c>
      <c r="AL2335" s="289"/>
      <c r="AM2335" s="387">
        <v>4760</v>
      </c>
      <c r="AN2335" s="310">
        <f t="shared" si="365"/>
        <v>0</v>
      </c>
      <c r="AO2335" s="387">
        <f t="shared" si="366"/>
        <v>0</v>
      </c>
      <c r="AP2335" s="30" t="e">
        <f t="shared" si="367"/>
        <v>#DIV/0!</v>
      </c>
      <c r="AQ2335" s="387">
        <v>5470</v>
      </c>
      <c r="AR2335" s="30">
        <f t="shared" si="368"/>
        <v>0</v>
      </c>
      <c r="AS2335" s="387">
        <f t="shared" si="369"/>
        <v>0</v>
      </c>
      <c r="AT2335" s="30" t="e">
        <f t="shared" si="370"/>
        <v>#DIV/0!</v>
      </c>
      <c r="AU2335" s="387">
        <v>5760</v>
      </c>
      <c r="AV2335" s="1">
        <f t="shared" si="371"/>
        <v>0</v>
      </c>
      <c r="AW2335" s="1">
        <f t="shared" si="372"/>
        <v>0</v>
      </c>
    </row>
    <row r="2336" spans="1:49">
      <c r="A2336" s="8"/>
      <c r="B2336" s="23" t="str">
        <f>IF($C$1="ENG","I (240 - 260 mm)","I (240 - 260 мм)")</f>
        <v>I (240 - 260 мм)</v>
      </c>
      <c r="C2336" s="433"/>
      <c r="D2336" s="25">
        <f t="shared" si="355"/>
        <v>4108.3333333333339</v>
      </c>
      <c r="E2336" s="269">
        <f t="shared" si="356"/>
        <v>4930.0000000000009</v>
      </c>
      <c r="F2336" s="272"/>
      <c r="G2336" s="69"/>
      <c r="H2336" s="25">
        <f t="shared" si="357"/>
        <v>4716.666666666667</v>
      </c>
      <c r="I2336" s="269">
        <f t="shared" si="358"/>
        <v>5660</v>
      </c>
      <c r="J2336" s="272"/>
      <c r="K2336" s="69"/>
      <c r="L2336" s="25">
        <f t="shared" si="359"/>
        <v>4991.666666666667</v>
      </c>
      <c r="M2336" s="269">
        <f t="shared" si="360"/>
        <v>5990</v>
      </c>
      <c r="N2336" s="272"/>
      <c r="O2336" s="69"/>
      <c r="P2336" s="25">
        <f t="shared" si="361"/>
        <v>5350</v>
      </c>
      <c r="Q2336" s="269">
        <f t="shared" si="362"/>
        <v>6420</v>
      </c>
      <c r="R2336" s="272"/>
      <c r="S2336" s="69"/>
      <c r="T2336" s="25">
        <f t="shared" si="363"/>
        <v>5708.3333333333339</v>
      </c>
      <c r="U2336" s="269">
        <f t="shared" si="364"/>
        <v>6850.0000000000009</v>
      </c>
      <c r="V2336" s="272"/>
      <c r="W2336" s="69"/>
      <c r="X2336" s="22"/>
      <c r="Y2336" s="22"/>
      <c r="Z2336" s="22"/>
      <c r="AA2336" s="22"/>
      <c r="AB2336" s="22"/>
      <c r="AC2336" s="332">
        <v>4930</v>
      </c>
      <c r="AD2336" s="332"/>
      <c r="AE2336" s="332">
        <v>5660</v>
      </c>
      <c r="AF2336" s="332"/>
      <c r="AG2336" s="332">
        <v>5990</v>
      </c>
      <c r="AH2336" s="332"/>
      <c r="AI2336" s="332">
        <v>6420</v>
      </c>
      <c r="AJ2336" s="332"/>
      <c r="AK2336" s="332">
        <v>6850</v>
      </c>
      <c r="AL2336" s="289"/>
      <c r="AM2336" s="387">
        <v>4930</v>
      </c>
      <c r="AN2336" s="310">
        <f t="shared" si="365"/>
        <v>0</v>
      </c>
      <c r="AO2336" s="387">
        <f t="shared" si="366"/>
        <v>0</v>
      </c>
      <c r="AP2336" s="30" t="e">
        <f t="shared" si="367"/>
        <v>#DIV/0!</v>
      </c>
      <c r="AQ2336" s="387">
        <v>5660</v>
      </c>
      <c r="AR2336" s="30">
        <f t="shared" si="368"/>
        <v>0</v>
      </c>
      <c r="AS2336" s="387">
        <f t="shared" si="369"/>
        <v>0</v>
      </c>
      <c r="AT2336" s="30" t="e">
        <f t="shared" si="370"/>
        <v>#DIV/0!</v>
      </c>
      <c r="AU2336" s="387">
        <v>5990</v>
      </c>
      <c r="AV2336" s="1">
        <f t="shared" si="371"/>
        <v>0</v>
      </c>
      <c r="AW2336" s="1">
        <f t="shared" si="372"/>
        <v>0</v>
      </c>
    </row>
    <row r="2337" spans="1:49" s="48" customFormat="1" ht="24.95" customHeight="1">
      <c r="B2337" s="54" t="str">
        <f>IF($C$1="ENG","ADJUSTABLE PANELS","ПЛАНКИ РЕГУЛЮВАЛЬНІ")</f>
        <v>ПЛАНКИ РЕГУЛЮВАЛЬНІ</v>
      </c>
      <c r="C2337" s="428"/>
      <c r="D2337" s="28"/>
      <c r="E2337" s="472" t="str">
        <f>IF($C$1="ENG","For Door Frames Verto-FIT Comfort","Для Дверних Коробок Verto-FIT  Comfort")</f>
        <v>Для Дверних Коробок Verto-FIT  Comfort</v>
      </c>
      <c r="F2337" s="472"/>
      <c r="G2337" s="472"/>
      <c r="H2337" s="472"/>
      <c r="I2337" s="472"/>
      <c r="J2337" s="472"/>
      <c r="K2337" s="472"/>
      <c r="L2337" s="28"/>
      <c r="M2337" s="106"/>
      <c r="N2337" s="28"/>
      <c r="O2337" s="29"/>
      <c r="P2337" s="28"/>
      <c r="Q2337" s="106"/>
      <c r="R2337" s="28"/>
      <c r="S2337" s="29"/>
      <c r="T2337" s="153"/>
      <c r="U2337" s="155"/>
      <c r="V2337" s="153"/>
      <c r="W2337" s="154"/>
      <c r="AN2337" s="56"/>
      <c r="AO2337" s="56"/>
      <c r="AP2337" s="56"/>
      <c r="AQ2337" s="56"/>
      <c r="AR2337" s="56"/>
      <c r="AS2337" s="56"/>
      <c r="AT2337" s="56"/>
    </row>
    <row r="2338" spans="1:49" ht="34.5" customHeight="1">
      <c r="A2338" s="8"/>
      <c r="B2338" s="244" t="str">
        <f>IF($C$1="ENG","Panel (1 set) 80 mm","Планка (1 к-т) 80 мм")</f>
        <v>Планка (1 к-т) 80 мм</v>
      </c>
      <c r="C2338" s="434"/>
      <c r="D2338" s="15">
        <f>IF(AC2338="","",(1-$W$2)*(AC2338/1.2))</f>
        <v>991.66666666666674</v>
      </c>
      <c r="E2338" s="299">
        <f>IF($W$5=0.2,D2338*1.2,D2338)/$W$4</f>
        <v>1190</v>
      </c>
      <c r="F2338" s="270"/>
      <c r="G2338" s="64"/>
      <c r="H2338" s="15">
        <f>IF(AE2338="","",(1-$W$2)*(AE2338/1.2))</f>
        <v>1091.6666666666667</v>
      </c>
      <c r="I2338" s="267">
        <f>IF($W$5=0.2,H2338*1.2,H2338)/$W$4</f>
        <v>1310</v>
      </c>
      <c r="J2338" s="270"/>
      <c r="K2338" s="64"/>
      <c r="L2338" s="15">
        <f>IF(AG2338="","",(1-$W$2)*(AG2338/1.2))</f>
        <v>1158.3333333333335</v>
      </c>
      <c r="M2338" s="267">
        <f>IF($W$5=0.2,L2338*1.2,L2338)/$W$4</f>
        <v>1390.0000000000002</v>
      </c>
      <c r="N2338" s="270"/>
      <c r="O2338" s="64"/>
      <c r="P2338" s="15">
        <f>IF(AI2338="","",(1-$W$2)*(AI2338/1.2))</f>
        <v>1225</v>
      </c>
      <c r="Q2338" s="267">
        <f>IF($W$5=0.2,P2338*1.2,P2338)/$W$4</f>
        <v>1470</v>
      </c>
      <c r="R2338" s="270"/>
      <c r="S2338" s="64"/>
      <c r="T2338" s="15">
        <f>IF(AK2338="","",(1-$W$2)*(AK2338/1.2))</f>
        <v>1291.6666666666667</v>
      </c>
      <c r="U2338" s="267">
        <f>IF($W$5=0.2,T2338*1.2,T2338)/$W$4</f>
        <v>1550</v>
      </c>
      <c r="V2338" s="270"/>
      <c r="W2338" s="64"/>
      <c r="AC2338" s="332">
        <v>1190</v>
      </c>
      <c r="AD2338" s="332"/>
      <c r="AE2338" s="332">
        <v>1310</v>
      </c>
      <c r="AF2338" s="332"/>
      <c r="AG2338" s="332">
        <v>1390</v>
      </c>
      <c r="AH2338" s="332"/>
      <c r="AI2338" s="332">
        <v>1470</v>
      </c>
      <c r="AJ2338" s="332"/>
      <c r="AK2338" s="332">
        <v>1550</v>
      </c>
      <c r="AL2338" s="289"/>
      <c r="AM2338" s="387">
        <v>1190</v>
      </c>
      <c r="AN2338" s="310">
        <f>AM2338/AC2338-1</f>
        <v>0</v>
      </c>
      <c r="AO2338" s="387">
        <f>AD2338/100*13+AD2338</f>
        <v>0</v>
      </c>
      <c r="AP2338" s="30" t="e">
        <f>AO2338/AD2338-1</f>
        <v>#DIV/0!</v>
      </c>
      <c r="AQ2338" s="387">
        <v>1310</v>
      </c>
      <c r="AR2338" s="30">
        <f>AQ2338/AE2338-1</f>
        <v>0</v>
      </c>
      <c r="AS2338" s="387">
        <f>AF2338/100*13+AF2338</f>
        <v>0</v>
      </c>
      <c r="AT2338" s="30" t="e">
        <f>AS2338/AF2338-1</f>
        <v>#DIV/0!</v>
      </c>
      <c r="AU2338" s="387">
        <v>1390</v>
      </c>
      <c r="AV2338" s="1">
        <f>AU2338/AG2338-1</f>
        <v>0</v>
      </c>
      <c r="AW2338" s="1">
        <f>AH2338/100*13+AH2338</f>
        <v>0</v>
      </c>
    </row>
    <row r="2339" spans="1:49" ht="34.5" customHeight="1">
      <c r="A2339" s="8"/>
      <c r="B2339" s="312" t="str">
        <f>IF($C$1="ENG","Panel (1 set) 160 mm","Планка (1 к-т) 160 мм")</f>
        <v>Планка (1 к-т) 160 мм</v>
      </c>
      <c r="C2339" s="432"/>
      <c r="D2339" s="18">
        <f>IF(AC2339="","",(1-$W$2)*(AC2339/1.2))</f>
        <v>1650</v>
      </c>
      <c r="E2339" s="268">
        <f>IF($W$5=0.2,D2339*1.2,D2339)/$W$4</f>
        <v>1980</v>
      </c>
      <c r="F2339" s="271"/>
      <c r="G2339" s="66"/>
      <c r="H2339" s="18">
        <f>IF(AE2339="","",(1-$W$2)*(AE2339/1.2))</f>
        <v>1875</v>
      </c>
      <c r="I2339" s="268">
        <f>IF($W$5=0.2,H2339*1.2,H2339)/$W$4</f>
        <v>2250</v>
      </c>
      <c r="J2339" s="271"/>
      <c r="K2339" s="66"/>
      <c r="L2339" s="18">
        <f>IF(AG2339="","",(1-$W$2)*(AG2339/1.2))</f>
        <v>1991.6666666666667</v>
      </c>
      <c r="M2339" s="268">
        <f>IF($W$5=0.2,L2339*1.2,L2339)/$W$4</f>
        <v>2390</v>
      </c>
      <c r="N2339" s="271"/>
      <c r="O2339" s="66"/>
      <c r="P2339" s="18">
        <f>IF(AI2339="","",(1-$W$2)*(AI2339/1.2))</f>
        <v>2116.666666666667</v>
      </c>
      <c r="Q2339" s="268">
        <f>IF($W$5=0.2,P2339*1.2,P2339)/$W$4</f>
        <v>2540.0000000000005</v>
      </c>
      <c r="R2339" s="271"/>
      <c r="S2339" s="66"/>
      <c r="T2339" s="18">
        <f>IF(AK2339="","",(1-$W$2)*(AK2339/1.2))</f>
        <v>2241.666666666667</v>
      </c>
      <c r="U2339" s="268">
        <f>IF($W$5=0.2,T2339*1.2,T2339)/$W$4</f>
        <v>2690.0000000000005</v>
      </c>
      <c r="V2339" s="271"/>
      <c r="W2339" s="66"/>
      <c r="AC2339" s="332">
        <v>1980</v>
      </c>
      <c r="AD2339" s="332"/>
      <c r="AE2339" s="332">
        <v>2250</v>
      </c>
      <c r="AF2339" s="332"/>
      <c r="AG2339" s="332">
        <v>2390</v>
      </c>
      <c r="AH2339" s="332"/>
      <c r="AI2339" s="332">
        <v>2540</v>
      </c>
      <c r="AJ2339" s="332"/>
      <c r="AK2339" s="332">
        <v>2690</v>
      </c>
      <c r="AL2339" s="289"/>
      <c r="AM2339" s="387">
        <v>1980</v>
      </c>
      <c r="AN2339" s="310">
        <f t="shared" ref="AN2339:AN2340" si="373">AM2339/AC2339-1</f>
        <v>0</v>
      </c>
      <c r="AO2339" s="387">
        <f t="shared" ref="AO2339:AO2340" si="374">AD2339/100*13+AD2339</f>
        <v>0</v>
      </c>
      <c r="AP2339" s="30" t="e">
        <f t="shared" ref="AP2339:AP2340" si="375">AO2339/AD2339-1</f>
        <v>#DIV/0!</v>
      </c>
      <c r="AQ2339" s="387">
        <v>2250</v>
      </c>
      <c r="AR2339" s="30">
        <f t="shared" ref="AR2339:AR2340" si="376">AQ2339/AE2339-1</f>
        <v>0</v>
      </c>
      <c r="AS2339" s="387">
        <f t="shared" ref="AS2339:AS2340" si="377">AF2339/100*13+AF2339</f>
        <v>0</v>
      </c>
      <c r="AT2339" s="30" t="e">
        <f t="shared" ref="AT2339:AT2340" si="378">AS2339/AF2339-1</f>
        <v>#DIV/0!</v>
      </c>
      <c r="AU2339" s="387">
        <v>2390</v>
      </c>
      <c r="AV2339" s="1">
        <f t="shared" ref="AV2339:AV2340" si="379">AU2339/AG2339-1</f>
        <v>0</v>
      </c>
      <c r="AW2339" s="1">
        <f t="shared" ref="AW2339:AW2340" si="380">AH2339/100*13+AH2339</f>
        <v>0</v>
      </c>
    </row>
    <row r="2340" spans="1:49" ht="34.5" customHeight="1">
      <c r="A2340" s="8"/>
      <c r="B2340" s="108" t="str">
        <f>IF($C$1="ENG","Panel (1 set) 200 mm","Планка (1 к-т) 200 мм")</f>
        <v>Планка (1 к-т) 200 мм</v>
      </c>
      <c r="C2340" s="433"/>
      <c r="D2340" s="25">
        <f>IF(AC2340="","",(1-$W$2)*(AC2340/1.2))</f>
        <v>1966.6666666666667</v>
      </c>
      <c r="E2340" s="269">
        <f>IF($W$5=0.2,D2340*1.2,D2340)/$W$4</f>
        <v>2360</v>
      </c>
      <c r="F2340" s="272"/>
      <c r="G2340" s="69"/>
      <c r="H2340" s="25">
        <f>IF(AE2340="","",(1-$W$2)*(AE2340/1.2))</f>
        <v>2241.666666666667</v>
      </c>
      <c r="I2340" s="269">
        <f>IF($W$5=0.2,H2340*1.2,H2340)/$W$4</f>
        <v>2690.0000000000005</v>
      </c>
      <c r="J2340" s="272"/>
      <c r="K2340" s="69"/>
      <c r="L2340" s="25">
        <f>IF(AG2340="","",(1-$W$2)*(AG2340/1.2))</f>
        <v>2391.666666666667</v>
      </c>
      <c r="M2340" s="269">
        <f>IF($W$5=0.2,L2340*1.2,L2340)/$W$4</f>
        <v>2870.0000000000005</v>
      </c>
      <c r="N2340" s="272"/>
      <c r="O2340" s="69"/>
      <c r="P2340" s="25">
        <f>IF(AI2340="","",(1-$W$2)*(AI2340/1.2))</f>
        <v>2525</v>
      </c>
      <c r="Q2340" s="269">
        <f>IF($W$5=0.2,P2340*1.2,P2340)/$W$4</f>
        <v>3030</v>
      </c>
      <c r="R2340" s="272"/>
      <c r="S2340" s="69"/>
      <c r="T2340" s="25">
        <f>IF(AK2340="","",(1-$W$2)*(AK2340/1.2))</f>
        <v>2675</v>
      </c>
      <c r="U2340" s="269">
        <f>IF($W$5=0.2,T2340*1.2,T2340)/$W$4</f>
        <v>3210</v>
      </c>
      <c r="V2340" s="272"/>
      <c r="W2340" s="69"/>
      <c r="AC2340" s="332">
        <v>2360</v>
      </c>
      <c r="AD2340" s="332"/>
      <c r="AE2340" s="332">
        <v>2690</v>
      </c>
      <c r="AF2340" s="332"/>
      <c r="AG2340" s="332">
        <v>2870</v>
      </c>
      <c r="AH2340" s="332"/>
      <c r="AI2340" s="332">
        <v>3030</v>
      </c>
      <c r="AJ2340" s="332"/>
      <c r="AK2340" s="332">
        <v>3210</v>
      </c>
      <c r="AL2340" s="289"/>
      <c r="AM2340" s="387">
        <v>2360</v>
      </c>
      <c r="AN2340" s="310">
        <f t="shared" si="373"/>
        <v>0</v>
      </c>
      <c r="AO2340" s="387">
        <f t="shared" si="374"/>
        <v>0</v>
      </c>
      <c r="AP2340" s="30" t="e">
        <f t="shared" si="375"/>
        <v>#DIV/0!</v>
      </c>
      <c r="AQ2340" s="387">
        <v>2690</v>
      </c>
      <c r="AR2340" s="30">
        <f t="shared" si="376"/>
        <v>0</v>
      </c>
      <c r="AS2340" s="387">
        <f t="shared" si="377"/>
        <v>0</v>
      </c>
      <c r="AT2340" s="30" t="e">
        <f t="shared" si="378"/>
        <v>#DIV/0!</v>
      </c>
      <c r="AU2340" s="387">
        <v>2870</v>
      </c>
      <c r="AV2340" s="1">
        <f t="shared" si="379"/>
        <v>0</v>
      </c>
      <c r="AW2340" s="1">
        <f t="shared" si="380"/>
        <v>0</v>
      </c>
    </row>
    <row r="2341" spans="1:49">
      <c r="C2341" s="245"/>
      <c r="D2341" s="26"/>
      <c r="E2341" s="57"/>
      <c r="F2341" s="26"/>
      <c r="G2341" s="57"/>
      <c r="H2341" s="5"/>
      <c r="K2341" s="20"/>
      <c r="L2341" s="48"/>
      <c r="M2341" s="106"/>
      <c r="N2341" s="48"/>
      <c r="O2341" s="48"/>
      <c r="P2341" s="48"/>
      <c r="Q2341" s="106"/>
      <c r="R2341" s="48"/>
      <c r="S2341" s="48"/>
      <c r="U2341" s="20"/>
      <c r="W2341" s="20"/>
    </row>
    <row r="2342" spans="1:49">
      <c r="B2342" s="212" t="str">
        <f>IF($C$1="ENG","For additonal charge:","Послуги за додаткову плату:")</f>
        <v>Послуги за додаткову плату:</v>
      </c>
      <c r="C2342" s="421"/>
      <c r="D2342" s="213"/>
      <c r="E2342" s="214"/>
      <c r="F2342" s="39"/>
      <c r="G2342" s="39"/>
      <c r="H2342" s="10"/>
      <c r="I2342" s="84"/>
      <c r="J2342" s="8"/>
      <c r="K2342" s="8"/>
      <c r="L2342" s="105"/>
      <c r="N2342" s="105"/>
      <c r="P2342" s="105"/>
      <c r="R2342" s="105"/>
      <c r="U2342" s="20"/>
      <c r="W2342" s="20"/>
    </row>
    <row r="2343" spans="1:49" ht="5.0999999999999996" customHeight="1">
      <c r="B2343" s="27"/>
      <c r="C2343" s="245"/>
      <c r="D2343" s="26"/>
      <c r="E2343" s="57"/>
      <c r="F2343" s="26"/>
      <c r="G2343" s="26"/>
      <c r="H2343" s="10"/>
      <c r="I2343" s="8"/>
      <c r="J2343" s="8"/>
      <c r="K2343" s="8"/>
      <c r="U2343" s="20"/>
      <c r="W2343" s="20"/>
    </row>
    <row r="2344" spans="1:49">
      <c r="B2344" s="485" t="str">
        <f>IF($C$1="ENG","hidden 3D door hindge OTLAV","прихована 3D завіса OTLAV хром/чорн.")</f>
        <v>прихована 3D завіса OTLAV хром/чорн.</v>
      </c>
      <c r="C2344" s="486"/>
      <c r="D2344" s="51">
        <f>IF(AC2344="","",(1-$W$2)*(AC2344/1.2))</f>
        <v>741.66666666666674</v>
      </c>
      <c r="E2344" s="85">
        <f>IF($W$5=0.2,D2344*1.2,D2344)/$W$4</f>
        <v>890.00000000000011</v>
      </c>
      <c r="F2344" s="26"/>
      <c r="G2344" s="26"/>
      <c r="H2344" s="10"/>
      <c r="I2344" s="84"/>
      <c r="J2344" s="8"/>
      <c r="K2344" s="84"/>
      <c r="U2344" s="20"/>
      <c r="W2344" s="20"/>
      <c r="AC2344" s="298">
        <v>890</v>
      </c>
      <c r="AD2344" s="387"/>
      <c r="AE2344" s="30"/>
      <c r="AF2344" s="289"/>
      <c r="AG2344" s="289"/>
      <c r="AH2344" s="289"/>
      <c r="AI2344" s="289"/>
      <c r="AJ2344" s="289"/>
      <c r="AK2344" s="289"/>
      <c r="AL2344" s="289"/>
    </row>
    <row r="2345" spans="1:49" ht="14.25" customHeight="1">
      <c r="T2345" s="489" t="str">
        <f>IF($C$1="ENG",CONCATENATE("down to: ",B2395),CONCATENATE("вниз до: ",B2395))</f>
        <v>вниз до: Плінтуси</v>
      </c>
      <c r="U2345" s="489"/>
      <c r="V2345" s="489"/>
      <c r="W2345" s="489"/>
    </row>
    <row r="2346" spans="1:49" ht="14.25" customHeight="1">
      <c r="C2346" s="245"/>
      <c r="D2346" s="26"/>
      <c r="E2346" s="26"/>
      <c r="F2346" s="26"/>
      <c r="G2346" s="57"/>
      <c r="H2346" s="5"/>
      <c r="K2346" s="84"/>
    </row>
    <row r="2347" spans="1:49" ht="14.25" customHeight="1">
      <c r="C2347" s="245"/>
      <c r="D2347" s="26"/>
      <c r="E2347" s="26"/>
      <c r="F2347" s="26"/>
      <c r="G2347" s="26"/>
      <c r="H2347" s="5"/>
    </row>
    <row r="2348" spans="1:49" ht="14.25" customHeight="1">
      <c r="C2348" s="245"/>
      <c r="D2348" s="26"/>
      <c r="E2348" s="26"/>
      <c r="F2348" s="26"/>
      <c r="G2348" s="26"/>
      <c r="H2348" s="5"/>
    </row>
    <row r="2349" spans="1:49" ht="14.25" customHeight="1">
      <c r="C2349" s="245"/>
      <c r="D2349" s="26"/>
      <c r="E2349" s="26"/>
      <c r="F2349" s="26"/>
      <c r="G2349" s="26"/>
      <c r="H2349" s="5"/>
    </row>
    <row r="2350" spans="1:49" ht="14.25" customHeight="1">
      <c r="C2350" s="245"/>
      <c r="D2350" s="26"/>
      <c r="E2350" s="26"/>
      <c r="F2350" s="26"/>
      <c r="G2350" s="26"/>
      <c r="H2350" s="5"/>
    </row>
    <row r="2351" spans="1:49" ht="14.25" customHeight="1">
      <c r="C2351" s="245"/>
      <c r="D2351" s="26"/>
      <c r="E2351" s="26"/>
      <c r="F2351" s="26"/>
      <c r="G2351" s="26"/>
      <c r="H2351" s="5"/>
    </row>
    <row r="2352" spans="1:49" ht="14.25" customHeight="1">
      <c r="C2352" s="245"/>
      <c r="D2352" s="26"/>
      <c r="E2352" s="26"/>
      <c r="F2352" s="26"/>
      <c r="G2352" s="26"/>
      <c r="H2352" s="5"/>
    </row>
    <row r="2353" spans="3:8" ht="14.25" customHeight="1">
      <c r="C2353" s="245"/>
      <c r="D2353" s="26"/>
      <c r="E2353" s="26"/>
      <c r="F2353" s="26"/>
      <c r="G2353" s="26"/>
      <c r="H2353" s="5"/>
    </row>
    <row r="2354" spans="3:8" ht="14.25" customHeight="1">
      <c r="C2354" s="245"/>
      <c r="D2354" s="26"/>
      <c r="E2354" s="26"/>
      <c r="F2354" s="26"/>
      <c r="G2354" s="26"/>
      <c r="H2354" s="5"/>
    </row>
    <row r="2355" spans="3:8" ht="14.25" customHeight="1">
      <c r="C2355" s="245"/>
      <c r="D2355" s="26"/>
      <c r="E2355" s="26"/>
      <c r="F2355" s="26"/>
      <c r="G2355" s="26"/>
      <c r="H2355" s="5"/>
    </row>
    <row r="2356" spans="3:8" ht="14.25" customHeight="1">
      <c r="C2356" s="245"/>
      <c r="D2356" s="26"/>
      <c r="E2356" s="26"/>
      <c r="F2356" s="26"/>
      <c r="G2356" s="26"/>
      <c r="H2356" s="5"/>
    </row>
    <row r="2357" spans="3:8" ht="14.25" customHeight="1">
      <c r="C2357" s="245"/>
      <c r="D2357" s="26"/>
      <c r="E2357" s="26"/>
      <c r="F2357" s="26"/>
      <c r="G2357" s="26"/>
      <c r="H2357" s="5"/>
    </row>
    <row r="2358" spans="3:8" ht="14.25" customHeight="1">
      <c r="C2358" s="245"/>
      <c r="D2358" s="26"/>
      <c r="E2358" s="26"/>
      <c r="F2358" s="26"/>
      <c r="G2358" s="26"/>
      <c r="H2358" s="5"/>
    </row>
    <row r="2359" spans="3:8" ht="14.25" customHeight="1">
      <c r="C2359" s="245"/>
      <c r="D2359" s="26"/>
      <c r="E2359" s="26"/>
      <c r="F2359" s="26"/>
      <c r="G2359" s="26"/>
      <c r="H2359" s="5"/>
    </row>
    <row r="2360" spans="3:8" ht="14.25" customHeight="1">
      <c r="C2360" s="245"/>
      <c r="D2360" s="26"/>
      <c r="E2360" s="26"/>
      <c r="F2360" s="26"/>
      <c r="G2360" s="26"/>
      <c r="H2360" s="5"/>
    </row>
    <row r="2361" spans="3:8" ht="14.25" customHeight="1">
      <c r="C2361" s="245"/>
      <c r="D2361" s="26"/>
      <c r="E2361" s="26"/>
      <c r="F2361" s="26"/>
      <c r="G2361" s="26"/>
      <c r="H2361" s="5"/>
    </row>
    <row r="2362" spans="3:8" ht="14.25" customHeight="1">
      <c r="C2362" s="245"/>
      <c r="D2362" s="26"/>
      <c r="E2362" s="26"/>
      <c r="F2362" s="26"/>
      <c r="G2362" s="26"/>
      <c r="H2362" s="5"/>
    </row>
    <row r="2363" spans="3:8" ht="14.25" customHeight="1">
      <c r="C2363" s="245"/>
      <c r="D2363" s="26"/>
      <c r="E2363" s="26"/>
      <c r="F2363" s="26"/>
      <c r="G2363" s="26"/>
      <c r="H2363" s="5"/>
    </row>
    <row r="2364" spans="3:8" ht="14.25" customHeight="1">
      <c r="C2364" s="245"/>
      <c r="D2364" s="26"/>
      <c r="E2364" s="26"/>
      <c r="F2364" s="26"/>
      <c r="G2364" s="26"/>
      <c r="H2364" s="5"/>
    </row>
    <row r="2365" spans="3:8" ht="14.25" customHeight="1">
      <c r="C2365" s="245"/>
      <c r="D2365" s="26"/>
      <c r="E2365" s="26"/>
      <c r="F2365" s="26"/>
      <c r="G2365" s="26"/>
      <c r="H2365" s="5"/>
    </row>
    <row r="2366" spans="3:8" ht="14.25" customHeight="1">
      <c r="C2366" s="245"/>
      <c r="D2366" s="26"/>
      <c r="E2366" s="26"/>
      <c r="F2366" s="26"/>
      <c r="G2366" s="26"/>
      <c r="H2366" s="5"/>
    </row>
    <row r="2367" spans="3:8" ht="14.25" customHeight="1">
      <c r="C2367" s="245"/>
      <c r="D2367" s="26"/>
      <c r="E2367" s="26"/>
      <c r="F2367" s="26"/>
      <c r="G2367" s="26"/>
      <c r="H2367" s="5"/>
    </row>
    <row r="2368" spans="3:8" ht="14.25" customHeight="1">
      <c r="C2368" s="245"/>
      <c r="D2368" s="26"/>
      <c r="E2368" s="26"/>
      <c r="F2368" s="26"/>
      <c r="G2368" s="26"/>
      <c r="H2368" s="5"/>
    </row>
    <row r="2369" spans="3:8" ht="14.25" customHeight="1">
      <c r="C2369" s="245"/>
      <c r="D2369" s="26"/>
      <c r="E2369" s="26"/>
      <c r="F2369" s="26"/>
      <c r="G2369" s="26"/>
      <c r="H2369" s="5"/>
    </row>
    <row r="2370" spans="3:8" ht="14.25" customHeight="1">
      <c r="C2370" s="245"/>
      <c r="D2370" s="26"/>
      <c r="E2370" s="26"/>
      <c r="F2370" s="26"/>
      <c r="G2370" s="26"/>
      <c r="H2370" s="5"/>
    </row>
    <row r="2371" spans="3:8" ht="14.25" customHeight="1">
      <c r="C2371" s="245"/>
      <c r="D2371" s="26"/>
      <c r="E2371" s="26"/>
      <c r="F2371" s="26"/>
      <c r="G2371" s="26"/>
      <c r="H2371" s="5"/>
    </row>
    <row r="2372" spans="3:8" ht="14.25" customHeight="1">
      <c r="C2372" s="245"/>
      <c r="D2372" s="26"/>
      <c r="E2372" s="26"/>
      <c r="F2372" s="26"/>
      <c r="G2372" s="26"/>
      <c r="H2372" s="5"/>
    </row>
    <row r="2373" spans="3:8" ht="14.25" customHeight="1">
      <c r="C2373" s="245"/>
      <c r="D2373" s="26"/>
      <c r="E2373" s="26"/>
      <c r="F2373" s="26"/>
      <c r="G2373" s="26"/>
      <c r="H2373" s="5"/>
    </row>
    <row r="2374" spans="3:8" ht="14.25" customHeight="1">
      <c r="C2374" s="245"/>
      <c r="D2374" s="26"/>
      <c r="E2374" s="26"/>
      <c r="F2374" s="26"/>
      <c r="G2374" s="26"/>
      <c r="H2374" s="5"/>
    </row>
    <row r="2375" spans="3:8" ht="14.25" customHeight="1">
      <c r="C2375" s="245"/>
      <c r="D2375" s="26"/>
      <c r="E2375" s="26"/>
      <c r="F2375" s="26"/>
      <c r="G2375" s="26"/>
      <c r="H2375" s="5"/>
    </row>
    <row r="2376" spans="3:8" ht="14.25" customHeight="1">
      <c r="C2376" s="245"/>
      <c r="D2376" s="26"/>
      <c r="E2376" s="26"/>
      <c r="F2376" s="26"/>
      <c r="G2376" s="26"/>
      <c r="H2376" s="5"/>
    </row>
    <row r="2377" spans="3:8" ht="14.25" customHeight="1">
      <c r="C2377" s="245"/>
      <c r="D2377" s="26"/>
      <c r="E2377" s="26"/>
      <c r="F2377" s="26"/>
      <c r="G2377" s="26"/>
      <c r="H2377" s="5"/>
    </row>
    <row r="2378" spans="3:8" ht="14.25" customHeight="1">
      <c r="C2378" s="245"/>
      <c r="D2378" s="26"/>
      <c r="E2378" s="26"/>
      <c r="F2378" s="26"/>
      <c r="G2378" s="26"/>
      <c r="H2378" s="5"/>
    </row>
    <row r="2379" spans="3:8" ht="14.25" customHeight="1">
      <c r="C2379" s="245"/>
      <c r="D2379" s="26"/>
      <c r="E2379" s="26"/>
      <c r="F2379" s="26"/>
      <c r="G2379" s="26"/>
      <c r="H2379" s="5"/>
    </row>
    <row r="2380" spans="3:8" ht="14.25" customHeight="1">
      <c r="C2380" s="245"/>
      <c r="D2380" s="26"/>
      <c r="E2380" s="26"/>
      <c r="F2380" s="26"/>
      <c r="G2380" s="26"/>
      <c r="H2380" s="5"/>
    </row>
    <row r="2381" spans="3:8" ht="14.25" customHeight="1">
      <c r="C2381" s="245"/>
      <c r="D2381" s="26"/>
      <c r="E2381" s="26"/>
      <c r="F2381" s="26"/>
      <c r="G2381" s="26"/>
      <c r="H2381" s="5"/>
    </row>
    <row r="2382" spans="3:8" ht="14.25" customHeight="1">
      <c r="C2382" s="245"/>
      <c r="D2382" s="26"/>
      <c r="E2382" s="26"/>
      <c r="F2382" s="26"/>
      <c r="G2382" s="26"/>
      <c r="H2382" s="5"/>
    </row>
    <row r="2383" spans="3:8" ht="14.25" customHeight="1">
      <c r="C2383" s="245"/>
      <c r="D2383" s="26"/>
      <c r="E2383" s="26"/>
      <c r="F2383" s="26"/>
      <c r="G2383" s="26"/>
      <c r="H2383" s="5"/>
    </row>
    <row r="2384" spans="3:8" ht="14.25" customHeight="1">
      <c r="C2384" s="245"/>
      <c r="D2384" s="26"/>
      <c r="E2384" s="26"/>
      <c r="F2384" s="26"/>
      <c r="G2384" s="26"/>
      <c r="H2384" s="5"/>
    </row>
    <row r="2385" spans="2:45" ht="14.25" customHeight="1">
      <c r="C2385" s="245"/>
      <c r="D2385" s="26"/>
      <c r="E2385" s="26"/>
      <c r="F2385" s="26"/>
      <c r="G2385" s="26"/>
      <c r="H2385" s="5"/>
    </row>
    <row r="2386" spans="2:45" ht="14.25" customHeight="1">
      <c r="C2386" s="245"/>
      <c r="D2386" s="26"/>
      <c r="E2386" s="26"/>
      <c r="F2386" s="26"/>
      <c r="G2386" s="26"/>
      <c r="H2386" s="5"/>
    </row>
    <row r="2387" spans="2:45" ht="14.25" customHeight="1">
      <c r="C2387" s="245"/>
      <c r="D2387" s="26"/>
      <c r="E2387" s="26"/>
      <c r="F2387" s="26"/>
      <c r="G2387" s="26"/>
      <c r="H2387" s="5"/>
    </row>
    <row r="2388" spans="2:45" ht="14.25" customHeight="1">
      <c r="C2388" s="245"/>
      <c r="D2388" s="26"/>
      <c r="E2388" s="26"/>
      <c r="F2388" s="26"/>
      <c r="G2388" s="26"/>
      <c r="H2388" s="5"/>
    </row>
    <row r="2389" spans="2:45" ht="14.25" customHeight="1">
      <c r="C2389" s="245"/>
      <c r="D2389" s="26"/>
      <c r="E2389" s="26"/>
      <c r="F2389" s="26"/>
      <c r="G2389" s="26"/>
      <c r="H2389" s="5"/>
    </row>
    <row r="2390" spans="2:45" ht="14.25" customHeight="1">
      <c r="C2390" s="245"/>
      <c r="D2390" s="26"/>
      <c r="E2390" s="26"/>
      <c r="F2390" s="26"/>
      <c r="G2390" s="26"/>
      <c r="H2390" s="5"/>
    </row>
    <row r="2391" spans="2:45" ht="14.25" customHeight="1">
      <c r="C2391" s="245"/>
      <c r="D2391" s="26"/>
      <c r="E2391" s="26"/>
      <c r="F2391" s="26"/>
      <c r="G2391" s="26"/>
      <c r="H2391" s="5"/>
    </row>
    <row r="2392" spans="2:45" ht="14.25" customHeight="1">
      <c r="C2392" s="245"/>
      <c r="D2392" s="26"/>
      <c r="E2392" s="26"/>
      <c r="F2392" s="26"/>
      <c r="G2392" s="26"/>
      <c r="H2392" s="5"/>
    </row>
    <row r="2393" spans="2:45" ht="14.25" customHeight="1">
      <c r="C2393" s="245"/>
      <c r="D2393" s="26"/>
      <c r="E2393" s="26"/>
      <c r="F2393" s="26"/>
      <c r="G2393" s="26"/>
      <c r="H2393" s="5"/>
    </row>
    <row r="2394" spans="2:45" ht="14.25" customHeight="1">
      <c r="C2394" s="245"/>
      <c r="D2394" s="26"/>
      <c r="E2394" s="26"/>
      <c r="F2394" s="26"/>
      <c r="G2394" s="26"/>
      <c r="H2394" s="5"/>
    </row>
    <row r="2395" spans="2:45" ht="14.25" customHeight="1">
      <c r="B2395" s="471" t="str">
        <f>TITLE!C45</f>
        <v>Плінтуси</v>
      </c>
      <c r="C2395" s="451"/>
      <c r="D2395" s="118"/>
      <c r="E2395" s="118"/>
      <c r="F2395" s="118"/>
      <c r="G2395" s="118"/>
      <c r="H2395" s="455"/>
      <c r="I2395" s="455"/>
      <c r="J2395" s="121"/>
      <c r="K2395" s="121"/>
      <c r="L2395" s="121"/>
      <c r="M2395" s="121"/>
      <c r="N2395" s="121"/>
      <c r="O2395" s="121"/>
      <c r="P2395" s="121"/>
      <c r="Q2395" s="121"/>
      <c r="R2395" s="121"/>
      <c r="S2395" s="121"/>
      <c r="T2395" s="456" t="str">
        <f>IF($C$1="ENG",CONCATENATE("up to: ",B2323),CONCATENATE("вгору до: ",B2323))</f>
        <v>вгору до: Дверна коробка Verto-FIT Comfort</v>
      </c>
      <c r="U2395" s="456"/>
      <c r="V2395" s="456"/>
      <c r="W2395" s="456"/>
    </row>
    <row r="2396" spans="2:45" ht="14.25" customHeight="1">
      <c r="B2396" s="8"/>
      <c r="C2396" s="424"/>
      <c r="D2396" s="8"/>
      <c r="E2396" s="8"/>
      <c r="F2396" s="8"/>
      <c r="G2396" s="8"/>
      <c r="H2396" s="8"/>
      <c r="I2396" s="8"/>
      <c r="J2396" s="8"/>
      <c r="K2396" s="8"/>
      <c r="L2396" s="48"/>
      <c r="M2396" s="48"/>
      <c r="N2396" s="48"/>
      <c r="O2396" s="48"/>
      <c r="P2396" s="48"/>
      <c r="Q2396" s="48"/>
      <c r="R2396" s="48"/>
      <c r="S2396" s="48"/>
      <c r="T2396" s="115"/>
      <c r="U2396" s="115"/>
      <c r="V2396" s="115"/>
      <c r="W2396" s="115"/>
    </row>
    <row r="2397" spans="2:45" ht="27" customHeight="1">
      <c r="B2397" s="305" t="str">
        <f>IF($C$1="ENG","model","модель")</f>
        <v>модель</v>
      </c>
      <c r="C2397" s="122" t="str">
        <f>IF($C$1="ENG","cover:","покриття:")</f>
        <v>покриття:</v>
      </c>
      <c r="D2397" s="458" t="str">
        <f>IF($C$1="ENG","SIMPL / V-CELL ","SIMPL / V-CELL")</f>
        <v>SIMPL / V-CELL</v>
      </c>
      <c r="E2397" s="459"/>
      <c r="F2397" s="458" t="str">
        <f>IF($C$1="ENG","UNI-MAT","UNI-MAT")</f>
        <v>UNI-MAT</v>
      </c>
      <c r="G2397" s="459"/>
      <c r="H2397" s="458" t="str">
        <f>IF($C$1="ENG","RESIST","RESIST")</f>
        <v>RESIST</v>
      </c>
      <c r="I2397" s="459"/>
      <c r="J2397" s="458" t="str">
        <f>IF($C$1="ENG","Verto LINE-3D","Verto LINE-3D")</f>
        <v>Verto LINE-3D</v>
      </c>
      <c r="K2397" s="459"/>
      <c r="L2397" s="458" t="str">
        <f>IF($C$1="ENG","ECO Shpon / LOFT","ЕКО Шпон / LOFT")</f>
        <v>ЕКО Шпон / LOFT</v>
      </c>
      <c r="M2397" s="459"/>
      <c r="N2397" s="47"/>
      <c r="O2397" s="47"/>
      <c r="P2397" s="47"/>
      <c r="Q2397" s="47"/>
      <c r="R2397" s="47"/>
      <c r="S2397" s="47"/>
      <c r="AM2397" s="385">
        <v>0.15</v>
      </c>
    </row>
    <row r="2398" spans="2:45" ht="14.25" customHeight="1">
      <c r="B2398" s="306"/>
      <c r="C2398" s="124" t="str">
        <f>IF($C$1="ENG","type:","виконання:")</f>
        <v>виконання:</v>
      </c>
      <c r="D2398" s="449" t="str">
        <f>IF($C$1="ENG","for 1 pcs","за 1 шт.")</f>
        <v>за 1 шт.</v>
      </c>
      <c r="E2398" s="450"/>
      <c r="F2398" s="449" t="str">
        <f>IF($C$1="ENG","for 1 pcs","за 1 шт.")</f>
        <v>за 1 шт.</v>
      </c>
      <c r="G2398" s="450"/>
      <c r="H2398" s="449" t="str">
        <f>IF($C$1="ENG","for 1 pcs","за 1 шт.")</f>
        <v>за 1 шт.</v>
      </c>
      <c r="I2398" s="450"/>
      <c r="J2398" s="449" t="str">
        <f>IF($C$1="ENG","for 1 pcs","за 1 шт.")</f>
        <v>за 1 шт.</v>
      </c>
      <c r="K2398" s="450"/>
      <c r="L2398" s="449" t="str">
        <f>IF($C$1="ENG","for 1 pcs","за 1 шт.")</f>
        <v>за 1 шт.</v>
      </c>
      <c r="M2398" s="450"/>
      <c r="N2398" s="47"/>
      <c r="O2398" s="47"/>
      <c r="P2398" s="47"/>
      <c r="Q2398" s="47"/>
      <c r="R2398" s="47"/>
      <c r="S2398" s="47"/>
    </row>
    <row r="2399" spans="2:45" ht="34.5" customHeight="1">
      <c r="B2399" s="336" t="str">
        <f>IF($C$1="ENG","Plinth 60 mm","Плінтус 60 мм")</f>
        <v>Плінтус 60 мм</v>
      </c>
      <c r="C2399" s="469"/>
      <c r="D2399" s="15">
        <f>IF(AC2399="","",(1-$W$2)*(AC2399/1.2))</f>
        <v>266.66666666666669</v>
      </c>
      <c r="E2399" s="92">
        <f>IF($W$5=0.2,D2399*1.2,D2399)/$W$4</f>
        <v>320</v>
      </c>
      <c r="F2399" s="132">
        <f>IF(AD2399="","",(1-$W$2)*(AD2399/1.2))</f>
        <v>291.66666666666669</v>
      </c>
      <c r="G2399" s="92">
        <f>IF($W$5=0.2,F2399*1.2,F2399)/$W$4</f>
        <v>350</v>
      </c>
      <c r="H2399" s="132">
        <f>IF(AE2399="","",(1-$W$2)*(AE2399/1.2))</f>
        <v>341.66666666666669</v>
      </c>
      <c r="I2399" s="92">
        <f>IF($W$5=0.2,H2399*1.2,H2399)/$W$4</f>
        <v>410</v>
      </c>
      <c r="J2399" s="132">
        <f>IF(AF2399="","",(1-$W$2)*(AF2399/1.2))</f>
        <v>358.33333333333337</v>
      </c>
      <c r="K2399" s="92">
        <f>IF($W$5=0.2,J2399*1.2,J2399)/$W$4</f>
        <v>430.00000000000006</v>
      </c>
      <c r="L2399" s="132">
        <f>IF(AG2399="","",(1-$W$2)*(AG2399/1.2))</f>
        <v>375</v>
      </c>
      <c r="M2399" s="92">
        <f>IF($W$5=0.2,L2399*1.2,L2399)/$W$4</f>
        <v>450</v>
      </c>
      <c r="N2399" s="105"/>
      <c r="O2399" s="106"/>
      <c r="P2399" s="28"/>
      <c r="Q2399" s="106"/>
      <c r="R2399" s="105"/>
      <c r="S2399" s="106"/>
      <c r="T2399" s="105"/>
      <c r="U2399" s="106"/>
      <c r="V2399" s="105"/>
      <c r="W2399" s="106"/>
      <c r="AC2399" s="332">
        <v>320</v>
      </c>
      <c r="AD2399" s="332">
        <v>350</v>
      </c>
      <c r="AE2399" s="332">
        <v>410</v>
      </c>
      <c r="AF2399" s="332">
        <v>430</v>
      </c>
      <c r="AG2399" s="332">
        <v>450</v>
      </c>
      <c r="AH2399" s="289">
        <v>320</v>
      </c>
      <c r="AI2399" s="289">
        <f>AH2399/AC2399-1</f>
        <v>0</v>
      </c>
      <c r="AJ2399" s="289">
        <v>350</v>
      </c>
      <c r="AK2399" s="289">
        <f>AJ2399/AD2399-1</f>
        <v>0</v>
      </c>
      <c r="AL2399" s="289">
        <v>410</v>
      </c>
      <c r="AM2399" s="1">
        <f>AL2399/AE2399-1</f>
        <v>0</v>
      </c>
      <c r="AN2399" s="289">
        <v>430</v>
      </c>
      <c r="AO2399" s="1">
        <f>AN2399/AF2399-1</f>
        <v>0</v>
      </c>
      <c r="AP2399" s="289">
        <v>450</v>
      </c>
      <c r="AQ2399" s="1">
        <f>AP2399/AG2399-1</f>
        <v>0</v>
      </c>
      <c r="AR2399" s="333"/>
      <c r="AS2399" s="333"/>
    </row>
    <row r="2400" spans="2:45" ht="34.5" customHeight="1">
      <c r="B2400" s="337" t="str">
        <f>IF($C$1="ENG","Plinth 80 mm","Плінтус 80 мм")</f>
        <v>Плінтус 80 мм</v>
      </c>
      <c r="C2400" s="470"/>
      <c r="D2400" s="25">
        <f>IF(AC2400="","",(1-$W$2)*(AC2400/1.2))</f>
        <v>300</v>
      </c>
      <c r="E2400" s="94">
        <f>IF($W$5=0.2,D2400*1.2,D2400)/$W$4</f>
        <v>360</v>
      </c>
      <c r="F2400" s="134">
        <f>IF(AD2400="","",(1-$W$2)*(AD2400/1.2))</f>
        <v>358.33333333333337</v>
      </c>
      <c r="G2400" s="94">
        <f>IF($W$5=0.2,F2400*1.2,F2400)/$W$4</f>
        <v>430.00000000000006</v>
      </c>
      <c r="H2400" s="134">
        <f>IF(AE2400="","",(1-$W$2)*(AE2400/1.2))</f>
        <v>375</v>
      </c>
      <c r="I2400" s="94">
        <f>IF($W$5=0.2,H2400*1.2,H2400)/$W$4</f>
        <v>450</v>
      </c>
      <c r="J2400" s="134">
        <f>IF(AF2400="","",(1-$W$2)*(AF2400/1.2))</f>
        <v>425</v>
      </c>
      <c r="K2400" s="94">
        <f>IF($W$5=0.2,J2400*1.2,J2400)/$W$4</f>
        <v>510</v>
      </c>
      <c r="L2400" s="134">
        <f>IF(AG2400="","",(1-$W$2)*(AG2400/1.2))</f>
        <v>475</v>
      </c>
      <c r="M2400" s="94">
        <f>IF($W$5=0.2,L2400*1.2,L2400)/$W$4</f>
        <v>570</v>
      </c>
      <c r="AC2400" s="332">
        <v>360</v>
      </c>
      <c r="AD2400" s="332">
        <v>430</v>
      </c>
      <c r="AE2400" s="332">
        <v>450</v>
      </c>
      <c r="AF2400" s="332">
        <v>510</v>
      </c>
      <c r="AG2400" s="332">
        <v>570</v>
      </c>
      <c r="AH2400" s="289">
        <v>360</v>
      </c>
      <c r="AI2400" s="289">
        <f>AH2400/AC2400-1</f>
        <v>0</v>
      </c>
      <c r="AJ2400" s="289">
        <v>430</v>
      </c>
      <c r="AK2400" s="289">
        <f>AJ2400/AD2400-1</f>
        <v>0</v>
      </c>
      <c r="AL2400" s="289">
        <v>450</v>
      </c>
      <c r="AM2400" s="1">
        <f>AL2400/AE2400-1</f>
        <v>0</v>
      </c>
      <c r="AN2400" s="289">
        <v>510</v>
      </c>
      <c r="AO2400" s="1">
        <f>AN2400/AF2400-1</f>
        <v>0</v>
      </c>
      <c r="AP2400" s="289">
        <v>570</v>
      </c>
      <c r="AQ2400" s="1">
        <f>AP2400/AG2400-1</f>
        <v>0</v>
      </c>
      <c r="AR2400" s="333"/>
      <c r="AS2400" s="333"/>
    </row>
    <row r="2401" spans="2:49" ht="14.25" customHeight="1">
      <c r="C2401" s="245"/>
      <c r="D2401" s="26"/>
      <c r="E2401" s="26"/>
      <c r="F2401" s="26"/>
      <c r="G2401" s="26"/>
      <c r="H2401" s="5"/>
    </row>
    <row r="2402" spans="2:49">
      <c r="B2402" s="212" t="str">
        <f>IF($C$1="ENG","Orders for skirting plinths are accepted in quantities of 8 pcs.","Замовлення на Плінтус приймаються в кількості від 8 шт.")</f>
        <v>Замовлення на Плінтус приймаються в кількості від 8 шт.</v>
      </c>
      <c r="C2402" s="421"/>
      <c r="D2402" s="213"/>
      <c r="E2402" s="214"/>
      <c r="F2402" s="320"/>
      <c r="G2402" s="320"/>
      <c r="H2402" s="10"/>
      <c r="I2402" s="84"/>
      <c r="J2402" s="8"/>
      <c r="K2402" s="8"/>
      <c r="L2402" s="105"/>
      <c r="N2402" s="105"/>
      <c r="P2402" s="105"/>
      <c r="R2402" s="105"/>
      <c r="U2402" s="20"/>
      <c r="W2402" s="20"/>
    </row>
    <row r="2403" spans="2:49" ht="14.25" customHeight="1">
      <c r="B2403" s="1" t="s">
        <v>68</v>
      </c>
      <c r="C2403" s="245"/>
      <c r="D2403" s="26"/>
      <c r="E2403" s="26"/>
      <c r="F2403" s="26"/>
      <c r="G2403" s="26"/>
      <c r="H2403" s="5"/>
      <c r="T2403" s="489" t="str">
        <f>IF($C$1="ENG",CONCATENATE("down to: ",B2453),CONCATENATE("вниз до: ",B2453))</f>
        <v>вниз до: Фрамуги</v>
      </c>
      <c r="U2403" s="489"/>
      <c r="V2403" s="489"/>
      <c r="W2403" s="489"/>
      <c r="X2403" s="316"/>
      <c r="Y2403" s="316"/>
      <c r="Z2403" s="316"/>
      <c r="AA2403" s="316"/>
      <c r="AB2403" s="316"/>
    </row>
    <row r="2404" spans="2:49" ht="14.25" customHeight="1">
      <c r="C2404" s="245"/>
      <c r="D2404" s="26"/>
      <c r="E2404" s="26"/>
      <c r="F2404" s="26"/>
      <c r="G2404" s="26"/>
      <c r="H2404" s="5"/>
      <c r="U2404" s="317"/>
      <c r="V2404" s="317"/>
      <c r="W2404" s="317"/>
      <c r="X2404" s="317"/>
      <c r="Y2404" s="317"/>
      <c r="Z2404" s="317"/>
      <c r="AA2404" s="317"/>
      <c r="AB2404" s="317"/>
    </row>
    <row r="2405" spans="2:49" ht="14.25" customHeight="1">
      <c r="C2405" s="245"/>
      <c r="D2405" s="26"/>
      <c r="E2405" s="26"/>
      <c r="F2405" s="26"/>
      <c r="G2405" s="26"/>
      <c r="H2405" s="5"/>
    </row>
    <row r="2406" spans="2:49" ht="14.25" customHeight="1">
      <c r="C2406" s="245"/>
      <c r="D2406" s="26"/>
      <c r="E2406" s="26"/>
      <c r="F2406" s="26"/>
      <c r="G2406" s="26"/>
      <c r="H2406" s="5"/>
    </row>
    <row r="2407" spans="2:49" ht="14.25" customHeight="1">
      <c r="C2407" s="245"/>
      <c r="D2407" s="26"/>
      <c r="E2407" s="26"/>
      <c r="F2407" s="26"/>
      <c r="G2407" s="26"/>
      <c r="H2407" s="5"/>
    </row>
    <row r="2408" spans="2:49" ht="14.25" customHeight="1">
      <c r="C2408" s="245"/>
      <c r="D2408" s="26"/>
      <c r="E2408" s="26"/>
      <c r="F2408" s="26"/>
      <c r="G2408" s="26"/>
      <c r="H2408" s="5"/>
    </row>
    <row r="2409" spans="2:49" ht="14.25" customHeight="1">
      <c r="C2409" s="245"/>
      <c r="D2409" s="26"/>
      <c r="E2409" s="26"/>
      <c r="F2409" s="26"/>
      <c r="G2409" s="26"/>
      <c r="H2409" s="5"/>
    </row>
    <row r="2410" spans="2:49" ht="14.25" customHeight="1">
      <c r="C2410" s="245"/>
      <c r="D2410" s="26"/>
      <c r="E2410" s="26"/>
      <c r="F2410" s="26"/>
      <c r="G2410" s="26"/>
      <c r="H2410" s="5"/>
    </row>
    <row r="2411" spans="2:49" ht="14.25" customHeight="1">
      <c r="C2411" s="245"/>
      <c r="D2411" s="26"/>
      <c r="E2411" s="26"/>
      <c r="F2411" s="26"/>
      <c r="G2411" s="26"/>
      <c r="H2411" s="5"/>
    </row>
    <row r="2412" spans="2:49" ht="14.25" customHeight="1">
      <c r="C2412" s="245"/>
      <c r="D2412" s="26"/>
      <c r="E2412" s="26"/>
      <c r="F2412" s="26"/>
      <c r="G2412" s="26"/>
      <c r="H2412" s="5"/>
      <c r="AG2412" s="1">
        <f>W2412/100*13+W2412</f>
        <v>0</v>
      </c>
      <c r="AH2412" s="1" t="e">
        <f>AG2412/W2412-1</f>
        <v>#DIV/0!</v>
      </c>
      <c r="AI2412" s="1">
        <f>X2412/100*13+X2412</f>
        <v>0</v>
      </c>
      <c r="AJ2412" s="1" t="e">
        <f>AI2412/X2412-1</f>
        <v>#DIV/0!</v>
      </c>
      <c r="AK2412" s="1">
        <f>Y2412/100*13+Y2412</f>
        <v>0</v>
      </c>
      <c r="AL2412" s="1" t="e">
        <f>AK2412/Y2412-1</f>
        <v>#DIV/0!</v>
      </c>
      <c r="AM2412" s="1">
        <f>Z2412/100*13+Z2412</f>
        <v>0</v>
      </c>
      <c r="AN2412" s="30" t="e">
        <f>AM2412/Z2412-1</f>
        <v>#DIV/0!</v>
      </c>
      <c r="AO2412" s="30">
        <f>AA2412/100*13+AA2412</f>
        <v>0</v>
      </c>
      <c r="AP2412" s="30" t="e">
        <f>AO2412/AA2412-1</f>
        <v>#DIV/0!</v>
      </c>
      <c r="AQ2412" s="30">
        <f>AB2412/100*13+AB2412</f>
        <v>0</v>
      </c>
      <c r="AR2412" s="30" t="e">
        <f>AQ2412/AB2412-1</f>
        <v>#DIV/0!</v>
      </c>
      <c r="AS2412" s="30">
        <f>AC2412/100*13+AC2412</f>
        <v>0</v>
      </c>
      <c r="AT2412" s="30" t="e">
        <f>AS2412/AC2412-1</f>
        <v>#DIV/0!</v>
      </c>
      <c r="AU2412" s="1">
        <f>AD2412/100*13+AD2412</f>
        <v>0</v>
      </c>
      <c r="AV2412" s="1" t="e">
        <f>AU2412/AD2412-1</f>
        <v>#DIV/0!</v>
      </c>
      <c r="AW2412" s="1">
        <f>AE2412/100*13+AE2412</f>
        <v>0</v>
      </c>
    </row>
    <row r="2413" spans="2:49" ht="14.25" customHeight="1">
      <c r="C2413" s="245"/>
      <c r="D2413" s="26"/>
      <c r="E2413" s="26"/>
      <c r="F2413" s="26"/>
      <c r="G2413" s="26"/>
      <c r="H2413" s="5"/>
      <c r="AG2413" s="1">
        <f t="shared" ref="AG2413:AG2421" si="381">W2413/100*13+W2413</f>
        <v>0</v>
      </c>
      <c r="AH2413" s="1" t="e">
        <f t="shared" ref="AH2413:AH2421" si="382">AG2413/W2413-1</f>
        <v>#DIV/0!</v>
      </c>
      <c r="AI2413" s="1">
        <f t="shared" ref="AI2413:AI2421" si="383">X2413/100*13+X2413</f>
        <v>0</v>
      </c>
      <c r="AJ2413" s="1" t="e">
        <f t="shared" ref="AJ2413:AJ2421" si="384">AI2413/X2413-1</f>
        <v>#DIV/0!</v>
      </c>
      <c r="AK2413" s="1">
        <f t="shared" ref="AK2413:AK2421" si="385">Y2413/100*13+Y2413</f>
        <v>0</v>
      </c>
      <c r="AL2413" s="1" t="e">
        <f t="shared" ref="AL2413:AL2421" si="386">AK2413/Y2413-1</f>
        <v>#DIV/0!</v>
      </c>
      <c r="AM2413" s="1">
        <f t="shared" ref="AM2413:AM2421" si="387">Z2413/100*13+Z2413</f>
        <v>0</v>
      </c>
      <c r="AN2413" s="30" t="e">
        <f t="shared" ref="AN2413:AN2421" si="388">AM2413/Z2413-1</f>
        <v>#DIV/0!</v>
      </c>
      <c r="AO2413" s="30">
        <f t="shared" ref="AO2413:AO2421" si="389">AA2413/100*13+AA2413</f>
        <v>0</v>
      </c>
      <c r="AP2413" s="30" t="e">
        <f t="shared" ref="AP2413:AP2421" si="390">AO2413/AA2413-1</f>
        <v>#DIV/0!</v>
      </c>
      <c r="AQ2413" s="30">
        <f t="shared" ref="AQ2413:AQ2421" si="391">AB2413/100*13+AB2413</f>
        <v>0</v>
      </c>
      <c r="AR2413" s="30" t="e">
        <f t="shared" ref="AR2413:AR2421" si="392">AQ2413/AB2413-1</f>
        <v>#DIV/0!</v>
      </c>
      <c r="AS2413" s="30">
        <f t="shared" ref="AS2413:AS2421" si="393">AC2413/100*13+AC2413</f>
        <v>0</v>
      </c>
      <c r="AT2413" s="30" t="e">
        <f t="shared" ref="AT2413:AT2421" si="394">AS2413/AC2413-1</f>
        <v>#DIV/0!</v>
      </c>
      <c r="AU2413" s="1">
        <f t="shared" ref="AU2413:AU2421" si="395">AD2413/100*13+AD2413</f>
        <v>0</v>
      </c>
      <c r="AV2413" s="1" t="e">
        <f t="shared" ref="AV2413:AV2421" si="396">AU2413/AD2413-1</f>
        <v>#DIV/0!</v>
      </c>
      <c r="AW2413" s="1">
        <f t="shared" ref="AW2413:AW2421" si="397">AE2413/100*13+AE2413</f>
        <v>0</v>
      </c>
    </row>
    <row r="2414" spans="2:49" ht="14.25" customHeight="1">
      <c r="C2414" s="245"/>
      <c r="D2414" s="26"/>
      <c r="E2414" s="26"/>
      <c r="F2414" s="26"/>
      <c r="G2414" s="26"/>
      <c r="H2414" s="5"/>
      <c r="AG2414" s="1">
        <f t="shared" si="381"/>
        <v>0</v>
      </c>
      <c r="AH2414" s="1" t="e">
        <f t="shared" si="382"/>
        <v>#DIV/0!</v>
      </c>
      <c r="AI2414" s="1">
        <f t="shared" si="383"/>
        <v>0</v>
      </c>
      <c r="AJ2414" s="1" t="e">
        <f t="shared" si="384"/>
        <v>#DIV/0!</v>
      </c>
      <c r="AK2414" s="1">
        <f t="shared" si="385"/>
        <v>0</v>
      </c>
      <c r="AL2414" s="1" t="e">
        <f t="shared" si="386"/>
        <v>#DIV/0!</v>
      </c>
      <c r="AM2414" s="1">
        <f t="shared" si="387"/>
        <v>0</v>
      </c>
      <c r="AN2414" s="30" t="e">
        <f t="shared" si="388"/>
        <v>#DIV/0!</v>
      </c>
      <c r="AO2414" s="30">
        <f t="shared" si="389"/>
        <v>0</v>
      </c>
      <c r="AP2414" s="30" t="e">
        <f t="shared" si="390"/>
        <v>#DIV/0!</v>
      </c>
      <c r="AQ2414" s="30">
        <f t="shared" si="391"/>
        <v>0</v>
      </c>
      <c r="AR2414" s="30" t="e">
        <f t="shared" si="392"/>
        <v>#DIV/0!</v>
      </c>
      <c r="AS2414" s="30">
        <f t="shared" si="393"/>
        <v>0</v>
      </c>
      <c r="AT2414" s="30" t="e">
        <f t="shared" si="394"/>
        <v>#DIV/0!</v>
      </c>
      <c r="AU2414" s="1">
        <f t="shared" si="395"/>
        <v>0</v>
      </c>
      <c r="AV2414" s="1" t="e">
        <f t="shared" si="396"/>
        <v>#DIV/0!</v>
      </c>
      <c r="AW2414" s="1">
        <f t="shared" si="397"/>
        <v>0</v>
      </c>
    </row>
    <row r="2415" spans="2:49" ht="14.25" customHeight="1">
      <c r="C2415" s="245"/>
      <c r="D2415" s="26"/>
      <c r="E2415" s="26"/>
      <c r="F2415" s="26"/>
      <c r="G2415" s="26"/>
      <c r="H2415" s="5"/>
      <c r="AG2415" s="1">
        <f t="shared" si="381"/>
        <v>0</v>
      </c>
      <c r="AH2415" s="1" t="e">
        <f t="shared" si="382"/>
        <v>#DIV/0!</v>
      </c>
      <c r="AI2415" s="1">
        <f t="shared" si="383"/>
        <v>0</v>
      </c>
      <c r="AJ2415" s="1" t="e">
        <f t="shared" si="384"/>
        <v>#DIV/0!</v>
      </c>
      <c r="AK2415" s="1">
        <f t="shared" si="385"/>
        <v>0</v>
      </c>
      <c r="AL2415" s="1" t="e">
        <f t="shared" si="386"/>
        <v>#DIV/0!</v>
      </c>
      <c r="AM2415" s="1">
        <f t="shared" si="387"/>
        <v>0</v>
      </c>
      <c r="AN2415" s="30" t="e">
        <f t="shared" si="388"/>
        <v>#DIV/0!</v>
      </c>
      <c r="AO2415" s="30">
        <f t="shared" si="389"/>
        <v>0</v>
      </c>
      <c r="AP2415" s="30" t="e">
        <f t="shared" si="390"/>
        <v>#DIV/0!</v>
      </c>
      <c r="AQ2415" s="30">
        <f t="shared" si="391"/>
        <v>0</v>
      </c>
      <c r="AR2415" s="30" t="e">
        <f t="shared" si="392"/>
        <v>#DIV/0!</v>
      </c>
      <c r="AS2415" s="30">
        <f t="shared" si="393"/>
        <v>0</v>
      </c>
      <c r="AT2415" s="30" t="e">
        <f t="shared" si="394"/>
        <v>#DIV/0!</v>
      </c>
      <c r="AU2415" s="1">
        <f t="shared" si="395"/>
        <v>0</v>
      </c>
      <c r="AV2415" s="1" t="e">
        <f t="shared" si="396"/>
        <v>#DIV/0!</v>
      </c>
      <c r="AW2415" s="1">
        <f t="shared" si="397"/>
        <v>0</v>
      </c>
    </row>
    <row r="2416" spans="2:49" ht="14.25" customHeight="1">
      <c r="C2416" s="245"/>
      <c r="D2416" s="26"/>
      <c r="E2416" s="26"/>
      <c r="F2416" s="26"/>
      <c r="G2416" s="26"/>
      <c r="H2416" s="5"/>
      <c r="AG2416" s="1">
        <f t="shared" si="381"/>
        <v>0</v>
      </c>
      <c r="AH2416" s="1" t="e">
        <f t="shared" si="382"/>
        <v>#DIV/0!</v>
      </c>
      <c r="AI2416" s="1">
        <f t="shared" si="383"/>
        <v>0</v>
      </c>
      <c r="AJ2416" s="1" t="e">
        <f t="shared" si="384"/>
        <v>#DIV/0!</v>
      </c>
      <c r="AK2416" s="1">
        <f t="shared" si="385"/>
        <v>0</v>
      </c>
      <c r="AL2416" s="1" t="e">
        <f t="shared" si="386"/>
        <v>#DIV/0!</v>
      </c>
      <c r="AM2416" s="1">
        <f t="shared" si="387"/>
        <v>0</v>
      </c>
      <c r="AN2416" s="30" t="e">
        <f t="shared" si="388"/>
        <v>#DIV/0!</v>
      </c>
      <c r="AO2416" s="30">
        <f t="shared" si="389"/>
        <v>0</v>
      </c>
      <c r="AP2416" s="30" t="e">
        <f t="shared" si="390"/>
        <v>#DIV/0!</v>
      </c>
      <c r="AQ2416" s="30">
        <f t="shared" si="391"/>
        <v>0</v>
      </c>
      <c r="AR2416" s="30" t="e">
        <f t="shared" si="392"/>
        <v>#DIV/0!</v>
      </c>
      <c r="AS2416" s="30">
        <f t="shared" si="393"/>
        <v>0</v>
      </c>
      <c r="AT2416" s="30" t="e">
        <f t="shared" si="394"/>
        <v>#DIV/0!</v>
      </c>
      <c r="AU2416" s="1">
        <f t="shared" si="395"/>
        <v>0</v>
      </c>
      <c r="AV2416" s="1" t="e">
        <f t="shared" si="396"/>
        <v>#DIV/0!</v>
      </c>
      <c r="AW2416" s="1">
        <f t="shared" si="397"/>
        <v>0</v>
      </c>
    </row>
    <row r="2417" spans="3:49" ht="14.25" customHeight="1">
      <c r="C2417" s="245"/>
      <c r="D2417" s="26"/>
      <c r="E2417" s="26"/>
      <c r="F2417" s="26"/>
      <c r="G2417" s="26"/>
      <c r="H2417" s="5"/>
      <c r="AG2417" s="1">
        <f t="shared" si="381"/>
        <v>0</v>
      </c>
      <c r="AH2417" s="1" t="e">
        <f t="shared" si="382"/>
        <v>#DIV/0!</v>
      </c>
      <c r="AI2417" s="1">
        <f t="shared" si="383"/>
        <v>0</v>
      </c>
      <c r="AJ2417" s="1" t="e">
        <f t="shared" si="384"/>
        <v>#DIV/0!</v>
      </c>
      <c r="AK2417" s="1">
        <f t="shared" si="385"/>
        <v>0</v>
      </c>
      <c r="AL2417" s="1" t="e">
        <f t="shared" si="386"/>
        <v>#DIV/0!</v>
      </c>
      <c r="AM2417" s="1">
        <f t="shared" si="387"/>
        <v>0</v>
      </c>
      <c r="AN2417" s="30" t="e">
        <f t="shared" si="388"/>
        <v>#DIV/0!</v>
      </c>
      <c r="AO2417" s="30">
        <f t="shared" si="389"/>
        <v>0</v>
      </c>
      <c r="AP2417" s="30" t="e">
        <f t="shared" si="390"/>
        <v>#DIV/0!</v>
      </c>
      <c r="AQ2417" s="30">
        <f t="shared" si="391"/>
        <v>0</v>
      </c>
      <c r="AR2417" s="30" t="e">
        <f t="shared" si="392"/>
        <v>#DIV/0!</v>
      </c>
      <c r="AS2417" s="30">
        <f t="shared" si="393"/>
        <v>0</v>
      </c>
      <c r="AT2417" s="30" t="e">
        <f t="shared" si="394"/>
        <v>#DIV/0!</v>
      </c>
      <c r="AU2417" s="1">
        <f t="shared" si="395"/>
        <v>0</v>
      </c>
      <c r="AV2417" s="1" t="e">
        <f t="shared" si="396"/>
        <v>#DIV/0!</v>
      </c>
      <c r="AW2417" s="1">
        <f t="shared" si="397"/>
        <v>0</v>
      </c>
    </row>
    <row r="2418" spans="3:49" ht="14.25" customHeight="1">
      <c r="C2418" s="245"/>
      <c r="D2418" s="26"/>
      <c r="E2418" s="26"/>
      <c r="F2418" s="26"/>
      <c r="G2418" s="26"/>
      <c r="H2418" s="5"/>
      <c r="AG2418" s="1">
        <f t="shared" si="381"/>
        <v>0</v>
      </c>
      <c r="AH2418" s="1" t="e">
        <f t="shared" si="382"/>
        <v>#DIV/0!</v>
      </c>
      <c r="AI2418" s="1">
        <f t="shared" si="383"/>
        <v>0</v>
      </c>
      <c r="AJ2418" s="1" t="e">
        <f t="shared" si="384"/>
        <v>#DIV/0!</v>
      </c>
      <c r="AK2418" s="1">
        <f t="shared" si="385"/>
        <v>0</v>
      </c>
      <c r="AL2418" s="1" t="e">
        <f t="shared" si="386"/>
        <v>#DIV/0!</v>
      </c>
      <c r="AM2418" s="1">
        <f t="shared" si="387"/>
        <v>0</v>
      </c>
      <c r="AN2418" s="30" t="e">
        <f t="shared" si="388"/>
        <v>#DIV/0!</v>
      </c>
      <c r="AO2418" s="30">
        <f t="shared" si="389"/>
        <v>0</v>
      </c>
      <c r="AP2418" s="30" t="e">
        <f t="shared" si="390"/>
        <v>#DIV/0!</v>
      </c>
      <c r="AQ2418" s="30">
        <f t="shared" si="391"/>
        <v>0</v>
      </c>
      <c r="AR2418" s="30" t="e">
        <f t="shared" si="392"/>
        <v>#DIV/0!</v>
      </c>
      <c r="AS2418" s="30">
        <f t="shared" si="393"/>
        <v>0</v>
      </c>
      <c r="AT2418" s="30" t="e">
        <f t="shared" si="394"/>
        <v>#DIV/0!</v>
      </c>
      <c r="AU2418" s="1">
        <f t="shared" si="395"/>
        <v>0</v>
      </c>
      <c r="AV2418" s="1" t="e">
        <f t="shared" si="396"/>
        <v>#DIV/0!</v>
      </c>
      <c r="AW2418" s="1">
        <f t="shared" si="397"/>
        <v>0</v>
      </c>
    </row>
    <row r="2419" spans="3:49" ht="14.25" customHeight="1">
      <c r="C2419" s="245"/>
      <c r="D2419" s="26"/>
      <c r="E2419" s="26"/>
      <c r="F2419" s="26"/>
      <c r="G2419" s="26"/>
      <c r="H2419" s="5"/>
      <c r="AG2419" s="1">
        <f t="shared" si="381"/>
        <v>0</v>
      </c>
      <c r="AH2419" s="1" t="e">
        <f t="shared" si="382"/>
        <v>#DIV/0!</v>
      </c>
      <c r="AI2419" s="1">
        <f t="shared" si="383"/>
        <v>0</v>
      </c>
      <c r="AJ2419" s="1" t="e">
        <f t="shared" si="384"/>
        <v>#DIV/0!</v>
      </c>
      <c r="AK2419" s="1">
        <f t="shared" si="385"/>
        <v>0</v>
      </c>
      <c r="AL2419" s="1" t="e">
        <f t="shared" si="386"/>
        <v>#DIV/0!</v>
      </c>
      <c r="AM2419" s="1">
        <f t="shared" si="387"/>
        <v>0</v>
      </c>
      <c r="AN2419" s="30" t="e">
        <f t="shared" si="388"/>
        <v>#DIV/0!</v>
      </c>
      <c r="AO2419" s="30">
        <f t="shared" si="389"/>
        <v>0</v>
      </c>
      <c r="AP2419" s="30" t="e">
        <f t="shared" si="390"/>
        <v>#DIV/0!</v>
      </c>
      <c r="AQ2419" s="30">
        <f t="shared" si="391"/>
        <v>0</v>
      </c>
      <c r="AR2419" s="30" t="e">
        <f t="shared" si="392"/>
        <v>#DIV/0!</v>
      </c>
      <c r="AS2419" s="30">
        <f t="shared" si="393"/>
        <v>0</v>
      </c>
      <c r="AT2419" s="30" t="e">
        <f t="shared" si="394"/>
        <v>#DIV/0!</v>
      </c>
      <c r="AU2419" s="1">
        <f t="shared" si="395"/>
        <v>0</v>
      </c>
      <c r="AV2419" s="1" t="e">
        <f t="shared" si="396"/>
        <v>#DIV/0!</v>
      </c>
      <c r="AW2419" s="1">
        <f t="shared" si="397"/>
        <v>0</v>
      </c>
    </row>
    <row r="2420" spans="3:49" ht="14.25" customHeight="1">
      <c r="C2420" s="245"/>
      <c r="D2420" s="26"/>
      <c r="E2420" s="26"/>
      <c r="F2420" s="26"/>
      <c r="G2420" s="26"/>
      <c r="H2420" s="5"/>
      <c r="AG2420" s="1">
        <f t="shared" si="381"/>
        <v>0</v>
      </c>
      <c r="AH2420" s="1" t="e">
        <f t="shared" si="382"/>
        <v>#DIV/0!</v>
      </c>
      <c r="AI2420" s="1">
        <f t="shared" si="383"/>
        <v>0</v>
      </c>
      <c r="AJ2420" s="1" t="e">
        <f t="shared" si="384"/>
        <v>#DIV/0!</v>
      </c>
      <c r="AK2420" s="1">
        <f t="shared" si="385"/>
        <v>0</v>
      </c>
      <c r="AL2420" s="1" t="e">
        <f t="shared" si="386"/>
        <v>#DIV/0!</v>
      </c>
      <c r="AM2420" s="1">
        <f t="shared" si="387"/>
        <v>0</v>
      </c>
      <c r="AN2420" s="30" t="e">
        <f t="shared" si="388"/>
        <v>#DIV/0!</v>
      </c>
      <c r="AO2420" s="30">
        <f t="shared" si="389"/>
        <v>0</v>
      </c>
      <c r="AP2420" s="30" t="e">
        <f t="shared" si="390"/>
        <v>#DIV/0!</v>
      </c>
      <c r="AQ2420" s="30">
        <f t="shared" si="391"/>
        <v>0</v>
      </c>
      <c r="AR2420" s="30" t="e">
        <f t="shared" si="392"/>
        <v>#DIV/0!</v>
      </c>
      <c r="AS2420" s="30">
        <f t="shared" si="393"/>
        <v>0</v>
      </c>
      <c r="AT2420" s="30" t="e">
        <f t="shared" si="394"/>
        <v>#DIV/0!</v>
      </c>
      <c r="AU2420" s="1">
        <f t="shared" si="395"/>
        <v>0</v>
      </c>
      <c r="AV2420" s="1" t="e">
        <f t="shared" si="396"/>
        <v>#DIV/0!</v>
      </c>
      <c r="AW2420" s="1">
        <f t="shared" si="397"/>
        <v>0</v>
      </c>
    </row>
    <row r="2421" spans="3:49" ht="14.25" customHeight="1">
      <c r="C2421" s="245"/>
      <c r="D2421" s="26"/>
      <c r="E2421" s="26"/>
      <c r="F2421" s="26"/>
      <c r="G2421" s="26"/>
      <c r="H2421" s="5"/>
      <c r="AG2421" s="1">
        <f t="shared" si="381"/>
        <v>0</v>
      </c>
      <c r="AH2421" s="1" t="e">
        <f t="shared" si="382"/>
        <v>#DIV/0!</v>
      </c>
      <c r="AI2421" s="1">
        <f t="shared" si="383"/>
        <v>0</v>
      </c>
      <c r="AJ2421" s="1" t="e">
        <f t="shared" si="384"/>
        <v>#DIV/0!</v>
      </c>
      <c r="AK2421" s="1">
        <f t="shared" si="385"/>
        <v>0</v>
      </c>
      <c r="AL2421" s="1" t="e">
        <f t="shared" si="386"/>
        <v>#DIV/0!</v>
      </c>
      <c r="AM2421" s="1">
        <f t="shared" si="387"/>
        <v>0</v>
      </c>
      <c r="AN2421" s="30" t="e">
        <f t="shared" si="388"/>
        <v>#DIV/0!</v>
      </c>
      <c r="AO2421" s="30">
        <f t="shared" si="389"/>
        <v>0</v>
      </c>
      <c r="AP2421" s="30" t="e">
        <f t="shared" si="390"/>
        <v>#DIV/0!</v>
      </c>
      <c r="AQ2421" s="30">
        <f t="shared" si="391"/>
        <v>0</v>
      </c>
      <c r="AR2421" s="30" t="e">
        <f t="shared" si="392"/>
        <v>#DIV/0!</v>
      </c>
      <c r="AS2421" s="30">
        <f t="shared" si="393"/>
        <v>0</v>
      </c>
      <c r="AT2421" s="30" t="e">
        <f t="shared" si="394"/>
        <v>#DIV/0!</v>
      </c>
      <c r="AU2421" s="1">
        <f t="shared" si="395"/>
        <v>0</v>
      </c>
      <c r="AV2421" s="1" t="e">
        <f t="shared" si="396"/>
        <v>#DIV/0!</v>
      </c>
      <c r="AW2421" s="1">
        <f t="shared" si="397"/>
        <v>0</v>
      </c>
    </row>
    <row r="2422" spans="3:49" ht="14.25" customHeight="1">
      <c r="C2422" s="245"/>
      <c r="D2422" s="26"/>
      <c r="E2422" s="26"/>
      <c r="F2422" s="26"/>
      <c r="G2422" s="26"/>
      <c r="H2422" s="5"/>
    </row>
    <row r="2423" spans="3:49" ht="14.25" customHeight="1">
      <c r="C2423" s="245"/>
      <c r="D2423" s="26"/>
      <c r="E2423" s="26"/>
      <c r="F2423" s="26"/>
      <c r="G2423" s="26"/>
      <c r="H2423" s="5"/>
    </row>
    <row r="2424" spans="3:49" ht="14.25" customHeight="1">
      <c r="C2424" s="245"/>
      <c r="D2424" s="26"/>
      <c r="E2424" s="26"/>
      <c r="F2424" s="26"/>
      <c r="G2424" s="26"/>
      <c r="H2424" s="5"/>
    </row>
    <row r="2425" spans="3:49" ht="14.25" customHeight="1">
      <c r="C2425" s="245"/>
      <c r="D2425" s="26"/>
      <c r="E2425" s="26"/>
      <c r="F2425" s="26"/>
      <c r="G2425" s="26"/>
      <c r="H2425" s="5"/>
    </row>
    <row r="2426" spans="3:49" ht="14.25" customHeight="1">
      <c r="C2426" s="245"/>
      <c r="D2426" s="26"/>
      <c r="E2426" s="26"/>
      <c r="F2426" s="26"/>
      <c r="G2426" s="26"/>
      <c r="H2426" s="5"/>
    </row>
    <row r="2427" spans="3:49" ht="14.25" customHeight="1">
      <c r="C2427" s="245"/>
      <c r="D2427" s="26"/>
      <c r="E2427" s="26"/>
      <c r="F2427" s="26"/>
      <c r="G2427" s="26"/>
      <c r="H2427" s="5"/>
    </row>
    <row r="2428" spans="3:49" ht="14.25" customHeight="1">
      <c r="C2428" s="245"/>
      <c r="D2428" s="26"/>
      <c r="E2428" s="26"/>
      <c r="F2428" s="26"/>
      <c r="G2428" s="26"/>
      <c r="H2428" s="5"/>
    </row>
    <row r="2429" spans="3:49" ht="14.25" customHeight="1">
      <c r="C2429" s="245"/>
      <c r="D2429" s="26"/>
      <c r="E2429" s="26"/>
      <c r="F2429" s="26"/>
      <c r="G2429" s="26"/>
      <c r="H2429" s="5"/>
    </row>
    <row r="2430" spans="3:49" ht="14.25" customHeight="1">
      <c r="C2430" s="245"/>
      <c r="D2430" s="26"/>
      <c r="E2430" s="26"/>
      <c r="F2430" s="26"/>
      <c r="G2430" s="26"/>
      <c r="H2430" s="5"/>
    </row>
    <row r="2431" spans="3:49" ht="14.25" customHeight="1">
      <c r="C2431" s="245"/>
      <c r="D2431" s="26"/>
      <c r="E2431" s="26"/>
      <c r="F2431" s="26"/>
      <c r="G2431" s="26"/>
      <c r="H2431" s="5"/>
    </row>
    <row r="2432" spans="3:49" ht="14.25" customHeight="1">
      <c r="C2432" s="245"/>
      <c r="D2432" s="26"/>
      <c r="E2432" s="26"/>
      <c r="F2432" s="26"/>
      <c r="G2432" s="26"/>
      <c r="H2432" s="5"/>
    </row>
    <row r="2433" spans="3:8" ht="14.25" customHeight="1">
      <c r="C2433" s="245"/>
      <c r="D2433" s="26"/>
      <c r="E2433" s="26"/>
      <c r="F2433" s="26"/>
      <c r="G2433" s="26"/>
      <c r="H2433" s="5"/>
    </row>
    <row r="2434" spans="3:8" ht="14.25" customHeight="1">
      <c r="C2434" s="245"/>
      <c r="D2434" s="26"/>
      <c r="E2434" s="26"/>
      <c r="F2434" s="26"/>
      <c r="G2434" s="26"/>
      <c r="H2434" s="5"/>
    </row>
    <row r="2435" spans="3:8" ht="14.25" customHeight="1">
      <c r="C2435" s="245"/>
      <c r="D2435" s="26"/>
      <c r="E2435" s="26"/>
      <c r="F2435" s="26"/>
      <c r="G2435" s="26"/>
      <c r="H2435" s="5"/>
    </row>
    <row r="2436" spans="3:8" ht="14.25" customHeight="1">
      <c r="C2436" s="245"/>
      <c r="D2436" s="26"/>
      <c r="E2436" s="26"/>
      <c r="F2436" s="26"/>
      <c r="G2436" s="26"/>
      <c r="H2436" s="5"/>
    </row>
    <row r="2437" spans="3:8" ht="14.25" customHeight="1">
      <c r="C2437" s="245"/>
      <c r="D2437" s="26"/>
      <c r="E2437" s="26"/>
      <c r="F2437" s="26"/>
      <c r="G2437" s="26"/>
      <c r="H2437" s="5"/>
    </row>
    <row r="2438" spans="3:8" ht="14.25" customHeight="1">
      <c r="C2438" s="245"/>
      <c r="D2438" s="26"/>
      <c r="E2438" s="26"/>
      <c r="F2438" s="26"/>
      <c r="G2438" s="26"/>
      <c r="H2438" s="5"/>
    </row>
    <row r="2439" spans="3:8" ht="14.25" customHeight="1">
      <c r="C2439" s="245"/>
      <c r="D2439" s="26"/>
      <c r="E2439" s="26"/>
      <c r="F2439" s="26"/>
      <c r="G2439" s="26"/>
      <c r="H2439" s="5"/>
    </row>
    <row r="2440" spans="3:8" ht="14.25" customHeight="1">
      <c r="C2440" s="245"/>
      <c r="D2440" s="26"/>
      <c r="E2440" s="26"/>
      <c r="F2440" s="26"/>
      <c r="G2440" s="26"/>
      <c r="H2440" s="5"/>
    </row>
    <row r="2441" spans="3:8" ht="14.25" customHeight="1">
      <c r="C2441" s="245"/>
      <c r="D2441" s="26"/>
      <c r="E2441" s="26"/>
      <c r="F2441" s="26"/>
      <c r="G2441" s="26"/>
      <c r="H2441" s="5"/>
    </row>
    <row r="2442" spans="3:8" ht="14.25" customHeight="1">
      <c r="C2442" s="245"/>
      <c r="D2442" s="26"/>
      <c r="E2442" s="26"/>
      <c r="F2442" s="26"/>
      <c r="G2442" s="26"/>
      <c r="H2442" s="5"/>
    </row>
    <row r="2443" spans="3:8" ht="14.25" customHeight="1">
      <c r="C2443" s="245"/>
      <c r="D2443" s="26"/>
      <c r="E2443" s="26"/>
      <c r="F2443" s="26"/>
      <c r="G2443" s="26"/>
      <c r="H2443" s="5"/>
    </row>
    <row r="2444" spans="3:8" ht="14.25" customHeight="1">
      <c r="C2444" s="245"/>
      <c r="D2444" s="26"/>
      <c r="E2444" s="26"/>
      <c r="F2444" s="26"/>
      <c r="G2444" s="26"/>
      <c r="H2444" s="5"/>
    </row>
    <row r="2445" spans="3:8" ht="14.25" customHeight="1">
      <c r="C2445" s="245"/>
      <c r="D2445" s="26"/>
      <c r="E2445" s="26"/>
      <c r="F2445" s="26"/>
      <c r="G2445" s="26"/>
      <c r="H2445" s="5"/>
    </row>
    <row r="2446" spans="3:8" ht="14.25" customHeight="1">
      <c r="C2446" s="245"/>
      <c r="D2446" s="26"/>
      <c r="E2446" s="26"/>
      <c r="F2446" s="26"/>
      <c r="G2446" s="26"/>
      <c r="H2446" s="5"/>
    </row>
    <row r="2447" spans="3:8" ht="14.25" customHeight="1">
      <c r="C2447" s="245"/>
      <c r="D2447" s="26"/>
      <c r="E2447" s="26"/>
      <c r="F2447" s="26"/>
      <c r="G2447" s="26"/>
      <c r="H2447" s="5"/>
    </row>
    <row r="2448" spans="3:8" ht="14.25" customHeight="1">
      <c r="C2448" s="245"/>
      <c r="D2448" s="26"/>
      <c r="E2448" s="26"/>
      <c r="F2448" s="26"/>
      <c r="G2448" s="26"/>
      <c r="H2448" s="5"/>
    </row>
    <row r="2449" spans="1:46" ht="14.25" customHeight="1">
      <c r="C2449" s="245"/>
      <c r="D2449" s="26"/>
      <c r="E2449" s="26"/>
      <c r="F2449" s="26"/>
      <c r="G2449" s="26"/>
      <c r="H2449" s="5"/>
      <c r="AO2449" s="1">
        <v>850</v>
      </c>
    </row>
    <row r="2450" spans="1:46" ht="14.25" customHeight="1">
      <c r="C2450" s="245"/>
      <c r="D2450" s="26"/>
      <c r="E2450" s="26"/>
      <c r="F2450" s="26"/>
      <c r="G2450" s="26"/>
      <c r="H2450" s="5"/>
      <c r="T2450" s="294"/>
      <c r="U2450" s="294"/>
      <c r="V2450" s="294"/>
      <c r="W2450" s="294"/>
    </row>
    <row r="2451" spans="1:46" ht="14.25" customHeight="1">
      <c r="C2451" s="245"/>
      <c r="D2451" s="26"/>
      <c r="E2451" s="26"/>
      <c r="F2451" s="26"/>
      <c r="G2451" s="26"/>
      <c r="H2451" s="5"/>
      <c r="I2451" s="26"/>
      <c r="T2451" s="294"/>
      <c r="U2451" s="294"/>
      <c r="V2451" s="294"/>
      <c r="W2451" s="294"/>
    </row>
    <row r="2452" spans="1:46" ht="14.25" customHeight="1">
      <c r="C2452" s="245"/>
      <c r="D2452" s="26"/>
      <c r="E2452" s="26"/>
      <c r="F2452" s="26"/>
      <c r="G2452" s="26"/>
      <c r="H2452" s="5"/>
      <c r="T2452" s="294"/>
      <c r="U2452" s="294"/>
      <c r="V2452" s="294"/>
      <c r="W2452" s="294"/>
    </row>
    <row r="2453" spans="1:46" s="8" customFormat="1">
      <c r="B2453" s="471" t="str">
        <f>TITLE!$C$46</f>
        <v>Фрамуги</v>
      </c>
      <c r="C2453" s="451"/>
      <c r="D2453" s="118"/>
      <c r="E2453" s="118"/>
      <c r="F2453" s="118"/>
      <c r="G2453" s="118"/>
      <c r="H2453" s="455"/>
      <c r="I2453" s="455"/>
      <c r="J2453" s="121"/>
      <c r="K2453" s="121"/>
      <c r="L2453" s="121"/>
      <c r="M2453" s="121"/>
      <c r="N2453" s="121"/>
      <c r="O2453" s="121"/>
      <c r="P2453" s="121"/>
      <c r="Q2453" s="121"/>
      <c r="R2453" s="121"/>
      <c r="S2453" s="121"/>
      <c r="T2453" s="456" t="str">
        <f>IF($C$1="ENG",CONCATENATE("up to: ",B2395),CONCATENATE("вгору до: ",B2395))</f>
        <v>вгору до: Плінтуси</v>
      </c>
      <c r="U2453" s="456"/>
      <c r="V2453" s="456"/>
      <c r="W2453" s="456"/>
      <c r="AC2453" s="1"/>
      <c r="AD2453" s="1"/>
      <c r="AE2453" s="1"/>
      <c r="AF2453" s="1"/>
      <c r="AG2453" s="1"/>
      <c r="AI2453" s="1"/>
      <c r="AK2453" s="1"/>
      <c r="AN2453" s="280"/>
      <c r="AO2453" s="280"/>
      <c r="AP2453" s="280"/>
      <c r="AQ2453" s="280"/>
      <c r="AR2453" s="280"/>
      <c r="AS2453" s="280"/>
      <c r="AT2453" s="280"/>
    </row>
    <row r="2454" spans="1:46" s="8" customFormat="1" ht="5.0999999999999996" customHeight="1">
      <c r="C2454" s="424"/>
      <c r="L2454" s="48"/>
      <c r="M2454" s="48"/>
      <c r="N2454" s="48"/>
      <c r="O2454" s="48"/>
      <c r="P2454" s="48"/>
      <c r="Q2454" s="48"/>
      <c r="R2454" s="48"/>
      <c r="S2454" s="48"/>
      <c r="T2454" s="115"/>
      <c r="U2454" s="115"/>
      <c r="V2454" s="115"/>
      <c r="W2454" s="115"/>
      <c r="AC2454" s="1"/>
      <c r="AE2454" s="1"/>
      <c r="AG2454" s="1"/>
      <c r="AI2454" s="1"/>
      <c r="AK2454" s="1"/>
      <c r="AN2454" s="280"/>
      <c r="AO2454" s="280"/>
      <c r="AP2454" s="280"/>
      <c r="AQ2454" s="280"/>
      <c r="AR2454" s="280"/>
      <c r="AS2454" s="280"/>
      <c r="AT2454" s="280"/>
    </row>
    <row r="2455" spans="1:46" ht="24.75" customHeight="1">
      <c r="A2455" s="8"/>
      <c r="B2455" s="305" t="str">
        <f>IF($C$1="ENG","model","модель")</f>
        <v>модель</v>
      </c>
      <c r="C2455" s="122" t="str">
        <f>IF($C$1="ENG","cover:","покриття:")</f>
        <v>покриття:</v>
      </c>
      <c r="D2455" s="458" t="str">
        <f>IF($C$1="ENG","SIMPL / V-CELL ","SIMPL / V-CELL / V-C Plus")</f>
        <v>SIMPL / V-CELL / V-C Plus</v>
      </c>
      <c r="E2455" s="459"/>
      <c r="F2455" s="458" t="str">
        <f>IF($C$1="ENG","UNI-MAT","UNI-MAT")</f>
        <v>UNI-MAT</v>
      </c>
      <c r="G2455" s="459"/>
      <c r="H2455" s="458" t="str">
        <f>IF($C$1="ENG","RESIST","RESIST")</f>
        <v>RESIST</v>
      </c>
      <c r="I2455" s="459"/>
      <c r="J2455" s="458" t="str">
        <f>IF($C$1="ENG","Verto LINE-3D","Verto LINE-3D")</f>
        <v>Verto LINE-3D</v>
      </c>
      <c r="K2455" s="459"/>
      <c r="L2455" s="458" t="str">
        <f>IF($C$1="ENG","ECO Shpon / LOFT","ЕКО Шпон / LOFT")</f>
        <v>ЕКО Шпон / LOFT</v>
      </c>
      <c r="M2455" s="459"/>
      <c r="N2455" s="47"/>
      <c r="O2455" s="47"/>
      <c r="P2455" s="47"/>
      <c r="Q2455" s="47"/>
      <c r="R2455" s="47"/>
      <c r="S2455" s="47"/>
      <c r="AC2455" s="385">
        <v>0.1</v>
      </c>
    </row>
    <row r="2456" spans="1:46" ht="12.75" customHeight="1">
      <c r="A2456" s="8"/>
      <c r="B2456" s="306"/>
      <c r="C2456" s="124" t="str">
        <f>IF($C$1="ENG","type:","виконання:")</f>
        <v>виконання:</v>
      </c>
      <c r="D2456" s="449" t="str">
        <f>IF($C$1="ENG","for 1 meter","за 1 пг.м")</f>
        <v>за 1 пг.м</v>
      </c>
      <c r="E2456" s="450"/>
      <c r="F2456" s="449" t="str">
        <f>IF($C$1="ENG","for 1 meter","за 1 пг.м")</f>
        <v>за 1 пг.м</v>
      </c>
      <c r="G2456" s="450"/>
      <c r="H2456" s="449" t="str">
        <f>IF($C$1="ENG","for 1 meter","за 1 пг.м")</f>
        <v>за 1 пг.м</v>
      </c>
      <c r="I2456" s="450"/>
      <c r="J2456" s="449" t="str">
        <f>IF($C$1="ENG","for 1 meter","за 1 пг.м")</f>
        <v>за 1 пг.м</v>
      </c>
      <c r="K2456" s="450"/>
      <c r="L2456" s="449" t="str">
        <f>IF($C$1="ENG","for 1 meter","за 1 пг.м")</f>
        <v>за 1 пг.м</v>
      </c>
      <c r="M2456" s="450"/>
      <c r="N2456" s="47"/>
      <c r="O2456" s="47"/>
      <c r="P2456" s="47"/>
      <c r="Q2456" s="47"/>
      <c r="R2456" s="47"/>
      <c r="S2456" s="47"/>
      <c r="AN2456" s="30">
        <v>0.15</v>
      </c>
    </row>
    <row r="2457" spans="1:46" s="48" customFormat="1" ht="24.75" customHeight="1">
      <c r="B2457" s="54" t="str">
        <f>IF($C$1="ENG","TRANSOM STANDART","ФРАМУГА STANDART")</f>
        <v>ФРАМУГА STANDART</v>
      </c>
      <c r="C2457" s="428"/>
      <c r="D2457" s="28"/>
      <c r="E2457" s="29"/>
      <c r="F2457" s="28"/>
      <c r="G2457" s="29"/>
      <c r="H2457" s="29"/>
      <c r="I2457" s="29"/>
      <c r="J2457" s="29"/>
      <c r="K2457" s="29"/>
      <c r="L2457" s="29"/>
      <c r="M2457" s="29"/>
      <c r="N2457" s="29"/>
      <c r="O2457" s="29"/>
      <c r="P2457" s="28"/>
      <c r="Q2457" s="29"/>
      <c r="R2457" s="29"/>
      <c r="S2457" s="29"/>
      <c r="T2457" s="52"/>
      <c r="U2457" s="30"/>
      <c r="W2457" s="30"/>
      <c r="AN2457" s="56"/>
      <c r="AO2457" s="56"/>
      <c r="AP2457" s="56"/>
      <c r="AQ2457" s="56"/>
      <c r="AR2457" s="56"/>
      <c r="AS2457" s="56"/>
      <c r="AT2457" s="56"/>
    </row>
    <row r="2458" spans="1:46" ht="34.5" customHeight="1">
      <c r="A2458" s="8"/>
      <c r="B2458" s="277" t="str">
        <f>IF($C$1="ENG","Transom wood 80 mm","Фрамуга дерево 80 мм")</f>
        <v>Фрамуга дерево 80 мм</v>
      </c>
      <c r="C2458" s="327"/>
      <c r="D2458" s="51">
        <f>IF(AC2458="","",(1-$W$2)*(AC2458/1.2))</f>
        <v>625</v>
      </c>
      <c r="E2458" s="85">
        <f>IF($W$5=0.2,D2458*1.2,D2458)/$W$4</f>
        <v>750</v>
      </c>
      <c r="F2458" s="51">
        <f>IF(AD2458="","",(1-$W$2)*(AD2458/1.2))</f>
        <v>700</v>
      </c>
      <c r="G2458" s="85">
        <f>IF($W$5=0.2,F2458*1.2,F2458)/$W$4</f>
        <v>840</v>
      </c>
      <c r="H2458" s="51">
        <f>IF(AE2458="","",(1-$W$2)*(AE2458/1.2))</f>
        <v>733.33333333333337</v>
      </c>
      <c r="I2458" s="85">
        <f>IF($W$5=0.2,H2458*1.2,H2458)/$W$4</f>
        <v>880</v>
      </c>
      <c r="J2458" s="51">
        <f>IF(AF2458="","",(1-$W$2)*(AF2458/1.2))</f>
        <v>800</v>
      </c>
      <c r="K2458" s="85">
        <f>IF($W$5=0.2,J2458*1.2,J2458)/$W$4</f>
        <v>960</v>
      </c>
      <c r="L2458" s="51">
        <f>IF(AG2458="","",(1-$W$2)*(AG2458/1.2))</f>
        <v>883.33333333333337</v>
      </c>
      <c r="M2458" s="85">
        <f>IF($W$5=0.2,L2458*1.2,L2458)/$W$4</f>
        <v>1060</v>
      </c>
      <c r="N2458" s="105"/>
      <c r="O2458" s="106"/>
      <c r="P2458" s="28"/>
      <c r="Q2458" s="106"/>
      <c r="R2458" s="105"/>
      <c r="S2458" s="106"/>
      <c r="T2458" s="105"/>
      <c r="U2458" s="106"/>
      <c r="V2458" s="105"/>
      <c r="W2458" s="106"/>
      <c r="X2458" s="22"/>
      <c r="Y2458" s="22"/>
      <c r="Z2458" s="22"/>
      <c r="AA2458" s="22"/>
      <c r="AB2458" s="22"/>
      <c r="AC2458" s="332">
        <v>750</v>
      </c>
      <c r="AD2458" s="332">
        <v>840</v>
      </c>
      <c r="AE2458" s="332">
        <v>880</v>
      </c>
      <c r="AF2458" s="332">
        <v>960</v>
      </c>
      <c r="AG2458" s="332">
        <v>1060</v>
      </c>
      <c r="AH2458" s="1">
        <v>750</v>
      </c>
      <c r="AI2458" s="1">
        <f>AH2458/AC2458-1</f>
        <v>0</v>
      </c>
      <c r="AJ2458" s="1">
        <v>840</v>
      </c>
      <c r="AK2458" s="1">
        <f>AJ2458/AD2458-1</f>
        <v>0</v>
      </c>
      <c r="AL2458" s="1">
        <v>880</v>
      </c>
      <c r="AM2458" s="1">
        <f>AL2458/AE2458-1</f>
        <v>0</v>
      </c>
      <c r="AN2458" s="1">
        <v>960</v>
      </c>
      <c r="AO2458" s="1">
        <f>AN2458/AF2458-1</f>
        <v>0</v>
      </c>
      <c r="AP2458" s="1">
        <v>1060</v>
      </c>
      <c r="AQ2458" s="1">
        <f>AP2458/AG2458-1</f>
        <v>0</v>
      </c>
      <c r="AR2458" s="333"/>
      <c r="AS2458" s="333"/>
    </row>
    <row r="2459" spans="1:46" s="48" customFormat="1" ht="24.75" customHeight="1">
      <c r="B2459" s="54" t="str">
        <f>IF($C$1="ENG","TRANSOM VERTO-FIT","ФРАМУГА VERTO-FIT")</f>
        <v>ФРАМУГА VERTO-FIT</v>
      </c>
      <c r="C2459" s="428"/>
      <c r="D2459" s="28"/>
      <c r="E2459" s="59"/>
      <c r="F2459" s="28"/>
      <c r="G2459" s="59"/>
      <c r="H2459" s="28"/>
      <c r="I2459" s="29"/>
      <c r="J2459" s="153"/>
      <c r="K2459" s="154"/>
      <c r="L2459" s="153"/>
      <c r="M2459" s="154"/>
      <c r="N2459" s="28"/>
      <c r="O2459" s="29"/>
      <c r="P2459" s="28"/>
      <c r="Q2459" s="29"/>
      <c r="R2459" s="28"/>
      <c r="S2459" s="29"/>
      <c r="T2459" s="29"/>
      <c r="U2459" s="29"/>
      <c r="W2459" s="29"/>
      <c r="AN2459" s="56"/>
      <c r="AO2459" s="56"/>
      <c r="AP2459" s="56"/>
      <c r="AQ2459" s="56"/>
      <c r="AR2459" s="56"/>
      <c r="AS2459" s="56"/>
      <c r="AT2459" s="56"/>
    </row>
    <row r="2460" spans="1:46">
      <c r="A2460" s="8"/>
      <c r="B2460" s="13" t="str">
        <f>IF($C$1="ENG","A (75 - 95 mm)","A (75 - 95 мм)")</f>
        <v>A (75 - 95 мм)</v>
      </c>
      <c r="C2460" s="426"/>
      <c r="D2460" s="15">
        <f t="shared" ref="D2460:D2469" si="398">IF(AC2460="","",(1-$W$2)*(AC2460/1.2))</f>
        <v>816.66666666666674</v>
      </c>
      <c r="E2460" s="64">
        <f t="shared" ref="E2460:E2469" si="399">IF($W$5=0.2,D2460*1.2,D2460)/$W$4</f>
        <v>980</v>
      </c>
      <c r="F2460" s="15">
        <f t="shared" ref="F2460:F2469" si="400">IF(AD2460="","",(1-$W$2)*(AD2460/1.2))</f>
        <v>941.66666666666674</v>
      </c>
      <c r="G2460" s="64">
        <f t="shared" ref="G2460:G2469" si="401">IF($W$5=0.2,F2460*1.2,F2460)/$W$4</f>
        <v>1130</v>
      </c>
      <c r="H2460" s="15">
        <f t="shared" ref="H2460:H2469" si="402">IF(AE2460="","",(1-$W$2)*(AE2460/1.2))</f>
        <v>991.66666666666674</v>
      </c>
      <c r="I2460" s="64">
        <f t="shared" ref="I2460:I2469" si="403">IF($W$5=0.2,H2460*1.2,H2460)/$W$4</f>
        <v>1190</v>
      </c>
      <c r="J2460" s="15">
        <f t="shared" ref="J2460:J2469" si="404">IF(AF2460="","",(1-$W$2)*(AF2460/1.2))</f>
        <v>1050</v>
      </c>
      <c r="K2460" s="64">
        <f t="shared" ref="K2460:K2469" si="405">IF($W$5=0.2,J2460*1.2,J2460)/$W$4</f>
        <v>1260</v>
      </c>
      <c r="L2460" s="15">
        <f t="shared" ref="L2460:L2469" si="406">IF(AG2460="","",(1-$W$2)*(AG2460/1.2))</f>
        <v>1125</v>
      </c>
      <c r="M2460" s="64">
        <f t="shared" ref="M2460:M2469" si="407">IF($W$5=0.2,L2460*1.2,L2460)/$W$4</f>
        <v>1350</v>
      </c>
      <c r="N2460" s="105"/>
      <c r="O2460" s="106"/>
      <c r="P2460" s="28"/>
      <c r="Q2460" s="105"/>
      <c r="R2460" s="105"/>
      <c r="S2460" s="106"/>
      <c r="T2460" s="105"/>
      <c r="U2460" s="106"/>
      <c r="V2460" s="105"/>
      <c r="W2460" s="106"/>
      <c r="X2460" s="105"/>
      <c r="Y2460" s="105"/>
      <c r="Z2460" s="105"/>
      <c r="AA2460" s="105"/>
      <c r="AB2460" s="105"/>
      <c r="AC2460" s="332">
        <v>980</v>
      </c>
      <c r="AD2460" s="332">
        <v>1130</v>
      </c>
      <c r="AE2460" s="332">
        <v>1190</v>
      </c>
      <c r="AF2460" s="332">
        <v>1260</v>
      </c>
      <c r="AG2460" s="332">
        <v>1350</v>
      </c>
      <c r="AH2460" s="289">
        <v>980</v>
      </c>
      <c r="AI2460" s="289">
        <f>AH2460/AC2460-1</f>
        <v>0</v>
      </c>
      <c r="AJ2460" s="289">
        <v>1130</v>
      </c>
      <c r="AK2460" s="289">
        <f>AJ2460/AD2460-1</f>
        <v>0</v>
      </c>
      <c r="AL2460" s="289">
        <v>1190</v>
      </c>
      <c r="AM2460" s="1">
        <f>AL2460/AE2460-1</f>
        <v>0</v>
      </c>
      <c r="AN2460" s="30">
        <v>1260</v>
      </c>
      <c r="AO2460" s="1">
        <f>AN2460/AF2460-1</f>
        <v>0</v>
      </c>
      <c r="AP2460" s="1">
        <v>1350</v>
      </c>
      <c r="AQ2460" s="1">
        <f>AP2460/AG2460-1</f>
        <v>0</v>
      </c>
      <c r="AR2460" s="333"/>
      <c r="AS2460" s="333"/>
    </row>
    <row r="2461" spans="1:46">
      <c r="A2461" s="8"/>
      <c r="B2461" s="16" t="str">
        <f>IF($C$1="ENG","B (95 - 115 mm)","B (95 - 115 мм)")</f>
        <v>B (95 - 115 мм)</v>
      </c>
      <c r="C2461" s="432"/>
      <c r="D2461" s="18">
        <f t="shared" si="398"/>
        <v>883.33333333333337</v>
      </c>
      <c r="E2461" s="66">
        <f t="shared" si="399"/>
        <v>1060</v>
      </c>
      <c r="F2461" s="18">
        <f t="shared" si="400"/>
        <v>1016.6666666666667</v>
      </c>
      <c r="G2461" s="66">
        <f t="shared" si="401"/>
        <v>1220</v>
      </c>
      <c r="H2461" s="18">
        <f t="shared" si="402"/>
        <v>1091.6666666666667</v>
      </c>
      <c r="I2461" s="66">
        <f t="shared" si="403"/>
        <v>1310</v>
      </c>
      <c r="J2461" s="18">
        <f t="shared" si="404"/>
        <v>1141.6666666666667</v>
      </c>
      <c r="K2461" s="66">
        <f t="shared" si="405"/>
        <v>1370</v>
      </c>
      <c r="L2461" s="18">
        <f t="shared" si="406"/>
        <v>1233.3333333333335</v>
      </c>
      <c r="M2461" s="66">
        <f t="shared" si="407"/>
        <v>1480.0000000000002</v>
      </c>
      <c r="N2461" s="105"/>
      <c r="O2461" s="106"/>
      <c r="P2461" s="28"/>
      <c r="Q2461" s="105"/>
      <c r="R2461" s="105"/>
      <c r="S2461" s="106"/>
      <c r="T2461" s="105"/>
      <c r="U2461" s="106"/>
      <c r="V2461" s="105"/>
      <c r="W2461" s="106"/>
      <c r="X2461" s="105"/>
      <c r="Y2461" s="105"/>
      <c r="Z2461" s="105"/>
      <c r="AA2461" s="105"/>
      <c r="AB2461" s="105"/>
      <c r="AC2461" s="332">
        <v>1060</v>
      </c>
      <c r="AD2461" s="332">
        <v>1220</v>
      </c>
      <c r="AE2461" s="332">
        <v>1310</v>
      </c>
      <c r="AF2461" s="332">
        <v>1370</v>
      </c>
      <c r="AG2461" s="332">
        <v>1480</v>
      </c>
      <c r="AH2461" s="289">
        <v>1060</v>
      </c>
      <c r="AI2461" s="289">
        <f t="shared" ref="AI2461:AI2469" si="408">AH2461/AC2461-1</f>
        <v>0</v>
      </c>
      <c r="AJ2461" s="289">
        <v>1220</v>
      </c>
      <c r="AK2461" s="289">
        <f t="shared" ref="AK2461:AK2469" si="409">AJ2461/AD2461-1</f>
        <v>0</v>
      </c>
      <c r="AL2461" s="289">
        <v>1310</v>
      </c>
      <c r="AM2461" s="1">
        <f t="shared" ref="AM2461:AM2469" si="410">AL2461/AE2461-1</f>
        <v>0</v>
      </c>
      <c r="AN2461" s="30">
        <v>1370</v>
      </c>
      <c r="AO2461" s="1">
        <f t="shared" ref="AO2461:AO2469" si="411">AN2461/AF2461-1</f>
        <v>0</v>
      </c>
      <c r="AP2461" s="1">
        <v>1480</v>
      </c>
      <c r="AQ2461" s="1">
        <f t="shared" ref="AQ2461:AQ2469" si="412">AP2461/AG2461-1</f>
        <v>0</v>
      </c>
      <c r="AR2461" s="333"/>
    </row>
    <row r="2462" spans="1:46">
      <c r="A2462" s="8"/>
      <c r="B2462" s="16" t="str">
        <f>IF($C$1="ENG","B+ 100 - 120 mm)","B+ (100 - 120 мм)")</f>
        <v>B+ (100 - 120 мм)</v>
      </c>
      <c r="C2462" s="432"/>
      <c r="D2462" s="18">
        <f t="shared" si="398"/>
        <v>916.66666666666674</v>
      </c>
      <c r="E2462" s="66">
        <f t="shared" si="399"/>
        <v>1100</v>
      </c>
      <c r="F2462" s="18">
        <f t="shared" si="400"/>
        <v>1058.3333333333335</v>
      </c>
      <c r="G2462" s="66">
        <f t="shared" si="401"/>
        <v>1270.0000000000002</v>
      </c>
      <c r="H2462" s="18">
        <f t="shared" si="402"/>
        <v>1133.3333333333335</v>
      </c>
      <c r="I2462" s="66">
        <f t="shared" si="403"/>
        <v>1360.0000000000002</v>
      </c>
      <c r="J2462" s="18">
        <f t="shared" si="404"/>
        <v>1191.6666666666667</v>
      </c>
      <c r="K2462" s="66">
        <f t="shared" si="405"/>
        <v>1430</v>
      </c>
      <c r="L2462" s="18">
        <f t="shared" si="406"/>
        <v>1291.6666666666667</v>
      </c>
      <c r="M2462" s="66">
        <f t="shared" si="407"/>
        <v>1550</v>
      </c>
      <c r="N2462" s="105"/>
      <c r="O2462" s="106"/>
      <c r="P2462" s="28"/>
      <c r="Q2462" s="105"/>
      <c r="R2462" s="105"/>
      <c r="S2462" s="106"/>
      <c r="T2462" s="105"/>
      <c r="U2462" s="106"/>
      <c r="V2462" s="105"/>
      <c r="W2462" s="106"/>
      <c r="X2462" s="105"/>
      <c r="Y2462" s="105"/>
      <c r="Z2462" s="105"/>
      <c r="AA2462" s="105"/>
      <c r="AB2462" s="105"/>
      <c r="AC2462" s="332">
        <v>1100</v>
      </c>
      <c r="AD2462" s="332">
        <v>1270</v>
      </c>
      <c r="AE2462" s="332">
        <v>1360</v>
      </c>
      <c r="AF2462" s="332">
        <v>1430</v>
      </c>
      <c r="AG2462" s="332">
        <v>1550</v>
      </c>
      <c r="AH2462" s="289">
        <v>1100</v>
      </c>
      <c r="AI2462" s="289">
        <f t="shared" si="408"/>
        <v>0</v>
      </c>
      <c r="AJ2462" s="289">
        <v>1270</v>
      </c>
      <c r="AK2462" s="289">
        <f t="shared" si="409"/>
        <v>0</v>
      </c>
      <c r="AL2462" s="289">
        <v>1360</v>
      </c>
      <c r="AM2462" s="1">
        <f t="shared" si="410"/>
        <v>0</v>
      </c>
      <c r="AN2462" s="30">
        <v>1430</v>
      </c>
      <c r="AO2462" s="1">
        <f t="shared" si="411"/>
        <v>0</v>
      </c>
      <c r="AP2462" s="1">
        <v>1550</v>
      </c>
      <c r="AQ2462" s="1">
        <f t="shared" si="412"/>
        <v>0</v>
      </c>
      <c r="AR2462" s="333"/>
    </row>
    <row r="2463" spans="1:46">
      <c r="A2463" s="8"/>
      <c r="B2463" s="16" t="str">
        <f>IF($C$1="ENG","C (120 - 140 mm)","C (120 - 140 мм)")</f>
        <v>C (120 - 140 мм)</v>
      </c>
      <c r="C2463" s="432"/>
      <c r="D2463" s="18">
        <f t="shared" si="398"/>
        <v>958.33333333333337</v>
      </c>
      <c r="E2463" s="66">
        <f t="shared" si="399"/>
        <v>1150</v>
      </c>
      <c r="F2463" s="18">
        <f t="shared" si="400"/>
        <v>1100</v>
      </c>
      <c r="G2463" s="66">
        <f t="shared" si="401"/>
        <v>1320</v>
      </c>
      <c r="H2463" s="18">
        <f t="shared" si="402"/>
        <v>1175</v>
      </c>
      <c r="I2463" s="66">
        <f t="shared" si="403"/>
        <v>1410</v>
      </c>
      <c r="J2463" s="18">
        <f t="shared" si="404"/>
        <v>1241.6666666666667</v>
      </c>
      <c r="K2463" s="66">
        <f t="shared" si="405"/>
        <v>1490</v>
      </c>
      <c r="L2463" s="18">
        <f t="shared" si="406"/>
        <v>1325</v>
      </c>
      <c r="M2463" s="66">
        <f t="shared" si="407"/>
        <v>1590</v>
      </c>
      <c r="N2463" s="105"/>
      <c r="O2463" s="106"/>
      <c r="P2463" s="28"/>
      <c r="Q2463" s="105"/>
      <c r="R2463" s="105"/>
      <c r="S2463" s="106"/>
      <c r="T2463" s="105"/>
      <c r="U2463" s="106"/>
      <c r="V2463" s="105"/>
      <c r="W2463" s="106"/>
      <c r="X2463" s="105"/>
      <c r="Y2463" s="105"/>
      <c r="Z2463" s="105"/>
      <c r="AA2463" s="105"/>
      <c r="AB2463" s="105"/>
      <c r="AC2463" s="332">
        <v>1150</v>
      </c>
      <c r="AD2463" s="332">
        <v>1320</v>
      </c>
      <c r="AE2463" s="332">
        <v>1410</v>
      </c>
      <c r="AF2463" s="332">
        <v>1490</v>
      </c>
      <c r="AG2463" s="332">
        <v>1590</v>
      </c>
      <c r="AH2463" s="289">
        <v>1150</v>
      </c>
      <c r="AI2463" s="289">
        <f t="shared" si="408"/>
        <v>0</v>
      </c>
      <c r="AJ2463" s="289">
        <v>1320</v>
      </c>
      <c r="AK2463" s="289">
        <f t="shared" si="409"/>
        <v>0</v>
      </c>
      <c r="AL2463" s="289">
        <v>1410</v>
      </c>
      <c r="AM2463" s="1">
        <f t="shared" si="410"/>
        <v>0</v>
      </c>
      <c r="AN2463" s="30">
        <v>1490</v>
      </c>
      <c r="AO2463" s="1">
        <f t="shared" si="411"/>
        <v>0</v>
      </c>
      <c r="AP2463" s="1">
        <v>1590</v>
      </c>
      <c r="AQ2463" s="1">
        <f t="shared" si="412"/>
        <v>0</v>
      </c>
      <c r="AR2463" s="333"/>
    </row>
    <row r="2464" spans="1:46">
      <c r="A2464" s="8"/>
      <c r="B2464" s="16" t="str">
        <f>IF($C$1="ENG","D (140 - 160 mm)","D (140 - 160 мм)")</f>
        <v>D (140 - 160 мм)</v>
      </c>
      <c r="C2464" s="432"/>
      <c r="D2464" s="18">
        <f t="shared" si="398"/>
        <v>1025</v>
      </c>
      <c r="E2464" s="66">
        <f t="shared" si="399"/>
        <v>1230</v>
      </c>
      <c r="F2464" s="18">
        <f t="shared" si="400"/>
        <v>1175</v>
      </c>
      <c r="G2464" s="66">
        <f t="shared" si="401"/>
        <v>1410</v>
      </c>
      <c r="H2464" s="18">
        <f t="shared" si="402"/>
        <v>1275</v>
      </c>
      <c r="I2464" s="66">
        <f t="shared" si="403"/>
        <v>1530</v>
      </c>
      <c r="J2464" s="18">
        <f t="shared" si="404"/>
        <v>1341.6666666666667</v>
      </c>
      <c r="K2464" s="66">
        <f t="shared" si="405"/>
        <v>1610</v>
      </c>
      <c r="L2464" s="18">
        <f t="shared" si="406"/>
        <v>1441.6666666666667</v>
      </c>
      <c r="M2464" s="66">
        <f t="shared" si="407"/>
        <v>1730</v>
      </c>
      <c r="N2464" s="105"/>
      <c r="O2464" s="106"/>
      <c r="P2464" s="28"/>
      <c r="Q2464" s="105"/>
      <c r="R2464" s="105"/>
      <c r="S2464" s="106"/>
      <c r="T2464" s="105"/>
      <c r="U2464" s="106"/>
      <c r="V2464" s="105"/>
      <c r="W2464" s="106"/>
      <c r="X2464" s="105"/>
      <c r="Y2464" s="105"/>
      <c r="Z2464" s="105"/>
      <c r="AA2464" s="105"/>
      <c r="AB2464" s="105"/>
      <c r="AC2464" s="332">
        <v>1230</v>
      </c>
      <c r="AD2464" s="332">
        <v>1410</v>
      </c>
      <c r="AE2464" s="332">
        <v>1530</v>
      </c>
      <c r="AF2464" s="332">
        <v>1610</v>
      </c>
      <c r="AG2464" s="332">
        <v>1730</v>
      </c>
      <c r="AH2464" s="289">
        <v>1230</v>
      </c>
      <c r="AI2464" s="289">
        <f t="shared" si="408"/>
        <v>0</v>
      </c>
      <c r="AJ2464" s="289">
        <v>1410</v>
      </c>
      <c r="AK2464" s="289">
        <f t="shared" si="409"/>
        <v>0</v>
      </c>
      <c r="AL2464" s="289">
        <v>1530</v>
      </c>
      <c r="AM2464" s="1">
        <f t="shared" si="410"/>
        <v>0</v>
      </c>
      <c r="AN2464" s="30">
        <v>1610</v>
      </c>
      <c r="AO2464" s="1">
        <f t="shared" si="411"/>
        <v>0</v>
      </c>
      <c r="AP2464" s="1">
        <v>1730</v>
      </c>
      <c r="AQ2464" s="1">
        <f t="shared" si="412"/>
        <v>0</v>
      </c>
      <c r="AR2464" s="333"/>
    </row>
    <row r="2465" spans="1:44">
      <c r="A2465" s="8"/>
      <c r="B2465" s="16" t="str">
        <f>IF($C$1="ENG","E (160 - 180 mm)","E (160 - 180 мм)")</f>
        <v>E (160 - 180 мм)</v>
      </c>
      <c r="C2465" s="432"/>
      <c r="D2465" s="18">
        <f t="shared" si="398"/>
        <v>1100</v>
      </c>
      <c r="E2465" s="66">
        <f t="shared" si="399"/>
        <v>1320</v>
      </c>
      <c r="F2465" s="18">
        <f t="shared" si="400"/>
        <v>1275</v>
      </c>
      <c r="G2465" s="66">
        <f t="shared" si="401"/>
        <v>1530</v>
      </c>
      <c r="H2465" s="18">
        <f t="shared" si="402"/>
        <v>1375</v>
      </c>
      <c r="I2465" s="66">
        <f t="shared" si="403"/>
        <v>1650</v>
      </c>
      <c r="J2465" s="18">
        <f t="shared" si="404"/>
        <v>1433.3333333333335</v>
      </c>
      <c r="K2465" s="66">
        <f t="shared" si="405"/>
        <v>1720.0000000000002</v>
      </c>
      <c r="L2465" s="18">
        <f t="shared" si="406"/>
        <v>1541.6666666666667</v>
      </c>
      <c r="M2465" s="66">
        <f t="shared" si="407"/>
        <v>1850</v>
      </c>
      <c r="N2465" s="105"/>
      <c r="O2465" s="106"/>
      <c r="P2465" s="28"/>
      <c r="Q2465" s="105"/>
      <c r="R2465" s="105"/>
      <c r="S2465" s="106"/>
      <c r="T2465" s="105"/>
      <c r="U2465" s="106"/>
      <c r="V2465" s="105"/>
      <c r="W2465" s="106"/>
      <c r="X2465" s="105"/>
      <c r="Y2465" s="105"/>
      <c r="Z2465" s="105"/>
      <c r="AA2465" s="105"/>
      <c r="AB2465" s="105"/>
      <c r="AC2465" s="332">
        <v>1320</v>
      </c>
      <c r="AD2465" s="332">
        <v>1530</v>
      </c>
      <c r="AE2465" s="332">
        <v>1650</v>
      </c>
      <c r="AF2465" s="332">
        <v>1720</v>
      </c>
      <c r="AG2465" s="332">
        <v>1850</v>
      </c>
      <c r="AH2465" s="289">
        <v>1322</v>
      </c>
      <c r="AI2465" s="289">
        <f t="shared" si="408"/>
        <v>1.5151515151514694E-3</v>
      </c>
      <c r="AJ2465" s="289">
        <v>1530</v>
      </c>
      <c r="AK2465" s="289">
        <f t="shared" si="409"/>
        <v>0</v>
      </c>
      <c r="AL2465" s="289">
        <v>1650</v>
      </c>
      <c r="AM2465" s="1">
        <f t="shared" si="410"/>
        <v>0</v>
      </c>
      <c r="AN2465" s="30">
        <v>1720</v>
      </c>
      <c r="AO2465" s="1">
        <f t="shared" si="411"/>
        <v>0</v>
      </c>
      <c r="AP2465" s="1">
        <v>1850</v>
      </c>
      <c r="AQ2465" s="1">
        <f t="shared" si="412"/>
        <v>0</v>
      </c>
      <c r="AR2465" s="333"/>
    </row>
    <row r="2466" spans="1:44">
      <c r="A2466" s="8"/>
      <c r="B2466" s="16" t="str">
        <f>IF($C$1="ENG","F (180 - 200 mm)","F (180 - 200 мм)")</f>
        <v>F (180 - 200 мм)</v>
      </c>
      <c r="C2466" s="432"/>
      <c r="D2466" s="18">
        <f t="shared" si="398"/>
        <v>1166.6666666666667</v>
      </c>
      <c r="E2466" s="66">
        <f t="shared" si="399"/>
        <v>1400</v>
      </c>
      <c r="F2466" s="18">
        <f t="shared" si="400"/>
        <v>1358.3333333333335</v>
      </c>
      <c r="G2466" s="66">
        <f t="shared" si="401"/>
        <v>1630.0000000000002</v>
      </c>
      <c r="H2466" s="18">
        <f t="shared" si="402"/>
        <v>1458.3333333333335</v>
      </c>
      <c r="I2466" s="66">
        <f t="shared" si="403"/>
        <v>1750.0000000000002</v>
      </c>
      <c r="J2466" s="18">
        <f t="shared" si="404"/>
        <v>1525</v>
      </c>
      <c r="K2466" s="66">
        <f t="shared" si="405"/>
        <v>1830</v>
      </c>
      <c r="L2466" s="18">
        <f t="shared" si="406"/>
        <v>1650</v>
      </c>
      <c r="M2466" s="66">
        <f t="shared" si="407"/>
        <v>1980</v>
      </c>
      <c r="N2466" s="105"/>
      <c r="O2466" s="106"/>
      <c r="P2466" s="28"/>
      <c r="Q2466" s="105"/>
      <c r="R2466" s="105"/>
      <c r="S2466" s="106"/>
      <c r="T2466" s="105"/>
      <c r="U2466" s="106"/>
      <c r="V2466" s="105"/>
      <c r="W2466" s="106"/>
      <c r="X2466" s="105"/>
      <c r="Y2466" s="105"/>
      <c r="Z2466" s="105"/>
      <c r="AA2466" s="105"/>
      <c r="AB2466" s="105"/>
      <c r="AC2466" s="332">
        <v>1400</v>
      </c>
      <c r="AD2466" s="332">
        <v>1630</v>
      </c>
      <c r="AE2466" s="332">
        <v>1750</v>
      </c>
      <c r="AF2466" s="332">
        <v>1830</v>
      </c>
      <c r="AG2466" s="332">
        <v>1980</v>
      </c>
      <c r="AH2466" s="289">
        <v>1400</v>
      </c>
      <c r="AI2466" s="289">
        <f t="shared" si="408"/>
        <v>0</v>
      </c>
      <c r="AJ2466" s="289">
        <v>1630</v>
      </c>
      <c r="AK2466" s="289">
        <f t="shared" si="409"/>
        <v>0</v>
      </c>
      <c r="AL2466" s="289">
        <v>1750</v>
      </c>
      <c r="AM2466" s="1">
        <f t="shared" si="410"/>
        <v>0</v>
      </c>
      <c r="AN2466" s="30">
        <v>1830</v>
      </c>
      <c r="AO2466" s="1">
        <f t="shared" si="411"/>
        <v>0</v>
      </c>
      <c r="AP2466" s="1">
        <v>1980</v>
      </c>
      <c r="AQ2466" s="1">
        <f t="shared" si="412"/>
        <v>0</v>
      </c>
      <c r="AR2466" s="333"/>
    </row>
    <row r="2467" spans="1:44">
      <c r="A2467" s="8"/>
      <c r="B2467" s="16" t="str">
        <f>IF($C$1="ENG","G (200 - 220 mm)","G (200 - 220 мм)")</f>
        <v>G (200 - 220 мм)</v>
      </c>
      <c r="C2467" s="432"/>
      <c r="D2467" s="18">
        <f t="shared" si="398"/>
        <v>1241.6666666666667</v>
      </c>
      <c r="E2467" s="66">
        <f t="shared" si="399"/>
        <v>1490</v>
      </c>
      <c r="F2467" s="18">
        <f t="shared" si="400"/>
        <v>1433.3333333333335</v>
      </c>
      <c r="G2467" s="66">
        <f t="shared" si="401"/>
        <v>1720.0000000000002</v>
      </c>
      <c r="H2467" s="18">
        <f t="shared" si="402"/>
        <v>1566.6666666666667</v>
      </c>
      <c r="I2467" s="66">
        <f t="shared" si="403"/>
        <v>1880</v>
      </c>
      <c r="J2467" s="18">
        <f t="shared" si="404"/>
        <v>1616.6666666666667</v>
      </c>
      <c r="K2467" s="66">
        <f t="shared" si="405"/>
        <v>1940</v>
      </c>
      <c r="L2467" s="18">
        <f t="shared" si="406"/>
        <v>1750</v>
      </c>
      <c r="M2467" s="66">
        <f t="shared" si="407"/>
        <v>2100</v>
      </c>
      <c r="N2467" s="105"/>
      <c r="O2467" s="106"/>
      <c r="P2467" s="28"/>
      <c r="Q2467" s="105"/>
      <c r="R2467" s="105"/>
      <c r="S2467" s="106"/>
      <c r="T2467" s="105"/>
      <c r="U2467" s="106"/>
      <c r="V2467" s="105"/>
      <c r="W2467" s="106"/>
      <c r="X2467" s="105"/>
      <c r="Y2467" s="105"/>
      <c r="Z2467" s="105"/>
      <c r="AA2467" s="105"/>
      <c r="AB2467" s="105"/>
      <c r="AC2467" s="332">
        <v>1490</v>
      </c>
      <c r="AD2467" s="332">
        <v>1720</v>
      </c>
      <c r="AE2467" s="332">
        <v>1880</v>
      </c>
      <c r="AF2467" s="332">
        <v>1940</v>
      </c>
      <c r="AG2467" s="332">
        <v>2100</v>
      </c>
      <c r="AH2467" s="289">
        <v>1490</v>
      </c>
      <c r="AI2467" s="289">
        <f t="shared" si="408"/>
        <v>0</v>
      </c>
      <c r="AJ2467" s="289">
        <v>1720</v>
      </c>
      <c r="AK2467" s="289">
        <f t="shared" si="409"/>
        <v>0</v>
      </c>
      <c r="AL2467" s="289">
        <v>1880</v>
      </c>
      <c r="AM2467" s="1">
        <f t="shared" si="410"/>
        <v>0</v>
      </c>
      <c r="AN2467" s="30">
        <v>1940</v>
      </c>
      <c r="AO2467" s="1">
        <f t="shared" si="411"/>
        <v>0</v>
      </c>
      <c r="AP2467" s="1">
        <v>2100</v>
      </c>
      <c r="AQ2467" s="1">
        <f t="shared" si="412"/>
        <v>0</v>
      </c>
      <c r="AR2467" s="333"/>
    </row>
    <row r="2468" spans="1:44">
      <c r="A2468" s="8"/>
      <c r="B2468" s="16" t="str">
        <f>IF($C$1="ENG","H (220 - 240 mm)","H (220 - 240 мм)")</f>
        <v>H (220 - 240 мм)</v>
      </c>
      <c r="C2468" s="432"/>
      <c r="D2468" s="18">
        <f t="shared" si="398"/>
        <v>1308.3333333333335</v>
      </c>
      <c r="E2468" s="66">
        <f t="shared" si="399"/>
        <v>1570.0000000000002</v>
      </c>
      <c r="F2468" s="18">
        <f t="shared" si="400"/>
        <v>1508.3333333333335</v>
      </c>
      <c r="G2468" s="66">
        <f t="shared" si="401"/>
        <v>1810.0000000000002</v>
      </c>
      <c r="H2468" s="18">
        <f t="shared" si="402"/>
        <v>1650</v>
      </c>
      <c r="I2468" s="66">
        <f t="shared" si="403"/>
        <v>1980</v>
      </c>
      <c r="J2468" s="18">
        <f t="shared" si="404"/>
        <v>1716.6666666666667</v>
      </c>
      <c r="K2468" s="66">
        <f t="shared" si="405"/>
        <v>2060</v>
      </c>
      <c r="L2468" s="18">
        <f t="shared" si="406"/>
        <v>1866.6666666666667</v>
      </c>
      <c r="M2468" s="66">
        <f t="shared" si="407"/>
        <v>2240</v>
      </c>
      <c r="N2468" s="105"/>
      <c r="O2468" s="106"/>
      <c r="P2468" s="28"/>
      <c r="Q2468" s="105"/>
      <c r="R2468" s="105"/>
      <c r="S2468" s="106"/>
      <c r="T2468" s="105"/>
      <c r="U2468" s="106"/>
      <c r="V2468" s="105"/>
      <c r="W2468" s="106"/>
      <c r="X2468" s="105"/>
      <c r="Y2468" s="105"/>
      <c r="Z2468" s="105"/>
      <c r="AA2468" s="105"/>
      <c r="AB2468" s="105"/>
      <c r="AC2468" s="332">
        <v>1570</v>
      </c>
      <c r="AD2468" s="332">
        <v>1810</v>
      </c>
      <c r="AE2468" s="332">
        <v>1980</v>
      </c>
      <c r="AF2468" s="332">
        <v>2060</v>
      </c>
      <c r="AG2468" s="332">
        <v>2240</v>
      </c>
      <c r="AH2468" s="289">
        <v>1570</v>
      </c>
      <c r="AI2468" s="289">
        <f t="shared" si="408"/>
        <v>0</v>
      </c>
      <c r="AJ2468" s="289">
        <v>1810</v>
      </c>
      <c r="AK2468" s="289">
        <f t="shared" si="409"/>
        <v>0</v>
      </c>
      <c r="AL2468" s="289">
        <v>1980</v>
      </c>
      <c r="AM2468" s="1">
        <f t="shared" si="410"/>
        <v>0</v>
      </c>
      <c r="AN2468" s="30">
        <v>2060</v>
      </c>
      <c r="AO2468" s="1">
        <f t="shared" si="411"/>
        <v>0</v>
      </c>
      <c r="AP2468" s="1">
        <v>2240</v>
      </c>
      <c r="AQ2468" s="1">
        <f t="shared" si="412"/>
        <v>0</v>
      </c>
      <c r="AR2468" s="333"/>
    </row>
    <row r="2469" spans="1:44">
      <c r="A2469" s="8"/>
      <c r="B2469" s="23" t="str">
        <f>IF($C$1="ENG","I (240 - 260 mm)","I (240 - 260 мм)")</f>
        <v>I (240 - 260 мм)</v>
      </c>
      <c r="C2469" s="433"/>
      <c r="D2469" s="25">
        <f t="shared" si="398"/>
        <v>1383.3333333333335</v>
      </c>
      <c r="E2469" s="69">
        <f t="shared" si="399"/>
        <v>1660.0000000000002</v>
      </c>
      <c r="F2469" s="25">
        <f t="shared" si="400"/>
        <v>1591.6666666666667</v>
      </c>
      <c r="G2469" s="69">
        <f t="shared" si="401"/>
        <v>1910</v>
      </c>
      <c r="H2469" s="25">
        <f t="shared" si="402"/>
        <v>1741.6666666666667</v>
      </c>
      <c r="I2469" s="69">
        <f t="shared" si="403"/>
        <v>2090</v>
      </c>
      <c r="J2469" s="25">
        <f t="shared" si="404"/>
        <v>1808.3333333333335</v>
      </c>
      <c r="K2469" s="69">
        <f t="shared" si="405"/>
        <v>2170</v>
      </c>
      <c r="L2469" s="25">
        <f t="shared" si="406"/>
        <v>1967.5</v>
      </c>
      <c r="M2469" s="69">
        <f t="shared" si="407"/>
        <v>2361</v>
      </c>
      <c r="N2469" s="105"/>
      <c r="O2469" s="106"/>
      <c r="P2469" s="28"/>
      <c r="Q2469" s="105"/>
      <c r="R2469" s="105"/>
      <c r="S2469" s="106"/>
      <c r="T2469" s="105"/>
      <c r="U2469" s="106"/>
      <c r="V2469" s="105"/>
      <c r="W2469" s="106"/>
      <c r="X2469" s="105"/>
      <c r="Y2469" s="105"/>
      <c r="Z2469" s="105"/>
      <c r="AA2469" s="105"/>
      <c r="AB2469" s="105"/>
      <c r="AC2469" s="332">
        <v>1660</v>
      </c>
      <c r="AD2469" s="332">
        <v>1910</v>
      </c>
      <c r="AE2469" s="332">
        <v>2090</v>
      </c>
      <c r="AF2469" s="332">
        <v>2170</v>
      </c>
      <c r="AG2469" s="332">
        <v>2361</v>
      </c>
      <c r="AH2469" s="289">
        <v>1660</v>
      </c>
      <c r="AI2469" s="289">
        <f t="shared" si="408"/>
        <v>0</v>
      </c>
      <c r="AJ2469" s="289">
        <v>1910</v>
      </c>
      <c r="AK2469" s="289">
        <f t="shared" si="409"/>
        <v>0</v>
      </c>
      <c r="AL2469" s="289">
        <v>2090</v>
      </c>
      <c r="AM2469" s="1">
        <f t="shared" si="410"/>
        <v>0</v>
      </c>
      <c r="AN2469" s="30">
        <v>2170</v>
      </c>
      <c r="AO2469" s="1">
        <f t="shared" si="411"/>
        <v>0</v>
      </c>
      <c r="AP2469" s="1">
        <v>2361</v>
      </c>
      <c r="AQ2469" s="1">
        <f t="shared" si="412"/>
        <v>0</v>
      </c>
      <c r="AR2469" s="333"/>
    </row>
    <row r="2470" spans="1:44">
      <c r="C2470" s="245"/>
      <c r="D2470" s="26"/>
      <c r="E2470" s="57"/>
      <c r="F2470" s="26"/>
      <c r="G2470" s="57"/>
      <c r="H2470" s="60"/>
      <c r="I2470" s="48"/>
      <c r="J2470" s="48"/>
      <c r="K2470" s="48"/>
      <c r="L2470" s="48"/>
      <c r="M2470" s="48"/>
      <c r="N2470" s="48"/>
      <c r="O2470" s="48"/>
      <c r="P2470" s="48"/>
      <c r="Q2470" s="48"/>
      <c r="R2470" s="48"/>
      <c r="S2470" s="48"/>
    </row>
    <row r="2471" spans="1:44">
      <c r="B2471" s="212" t="str">
        <f>IF($C$1="ENG","For additonal charge:","Послуги за додаткову плату:")</f>
        <v>Послуги за додаткову плату:</v>
      </c>
      <c r="C2471" s="421"/>
      <c r="D2471" s="213"/>
      <c r="E2471" s="214"/>
      <c r="F2471" s="26"/>
      <c r="G2471" s="57"/>
      <c r="H2471" s="5"/>
      <c r="J2471" s="48"/>
      <c r="K2471" s="48"/>
      <c r="L2471" s="48"/>
      <c r="M2471" s="48"/>
      <c r="N2471" s="48"/>
      <c r="O2471" s="48"/>
      <c r="P2471" s="48"/>
      <c r="Q2471" s="48"/>
      <c r="R2471" s="48"/>
      <c r="S2471" s="48"/>
    </row>
    <row r="2472" spans="1:44" ht="5.0999999999999996" customHeight="1">
      <c r="B2472" s="27"/>
      <c r="C2472" s="245"/>
      <c r="D2472" s="26"/>
      <c r="E2472" s="57"/>
      <c r="F2472" s="26"/>
      <c r="G2472" s="57"/>
      <c r="H2472" s="5"/>
    </row>
    <row r="2473" spans="1:44">
      <c r="B2473" s="275" t="str">
        <f>IF($C$1="ENG","Glazing types:","Вид скління:")</f>
        <v>Вид скління:</v>
      </c>
      <c r="C2473" s="413" t="str">
        <f>IF($C$1="ENG","MDF","Фільонка")</f>
        <v>Фільонка</v>
      </c>
      <c r="D2473" s="101">
        <f t="shared" ref="D2473:D2479" si="413">IF(AC2473="","",(1-$W$2)*(AC2473/1.2))</f>
        <v>1016.6666666666667</v>
      </c>
      <c r="E2473" s="64">
        <f>IF($W$5=0.2,D2473*1.2,D2473)/$W$4</f>
        <v>1220</v>
      </c>
      <c r="F2473" s="26"/>
      <c r="G2473" s="57"/>
      <c r="H2473" s="253"/>
      <c r="L2473" s="105"/>
      <c r="M2473" s="106"/>
      <c r="N2473" s="105"/>
      <c r="O2473" s="106"/>
      <c r="P2473" s="105"/>
      <c r="Q2473" s="106"/>
      <c r="R2473" s="105"/>
      <c r="S2473" s="106"/>
      <c r="T2473" s="105"/>
      <c r="U2473" s="106"/>
      <c r="V2473" s="105"/>
      <c r="W2473" s="106"/>
      <c r="AC2473" s="289">
        <v>1220</v>
      </c>
      <c r="AD2473" s="289">
        <v>1220</v>
      </c>
      <c r="AE2473" s="289">
        <f>AD2473/AC2473-1</f>
        <v>0</v>
      </c>
      <c r="AF2473" s="289"/>
      <c r="AG2473" s="289"/>
      <c r="AH2473" s="289"/>
      <c r="AI2473" s="289"/>
      <c r="AJ2473" s="289"/>
      <c r="AK2473" s="289"/>
      <c r="AL2473" s="289"/>
    </row>
    <row r="2474" spans="1:44">
      <c r="B2474" s="273" t="str">
        <f>IF($C$1="ENG","price per 1 sq.m","Ціна за 1 кв.м")</f>
        <v>Ціна за 1 кв.м</v>
      </c>
      <c r="C2474" s="412" t="str">
        <f>IF($C$1="ENG","Krizet","Кризет")</f>
        <v>Кризет</v>
      </c>
      <c r="D2474" s="102">
        <f t="shared" si="413"/>
        <v>758.33333333333337</v>
      </c>
      <c r="E2474" s="66">
        <f t="shared" ref="E2474:E2480" si="414">IF($W$5=0.2,D2474*1.2,D2474)/$W$4</f>
        <v>910</v>
      </c>
      <c r="F2474" s="26"/>
      <c r="G2474" s="57"/>
      <c r="H2474" s="253"/>
      <c r="L2474" s="105"/>
      <c r="M2474" s="106"/>
      <c r="P2474" s="105"/>
      <c r="Q2474" s="106"/>
      <c r="AC2474" s="289">
        <v>910</v>
      </c>
      <c r="AD2474" s="289">
        <v>910</v>
      </c>
      <c r="AE2474" s="289">
        <f t="shared" ref="AE2474:AE2480" si="415">AD2474/AC2474-1</f>
        <v>0</v>
      </c>
      <c r="AF2474" s="289"/>
      <c r="AG2474" s="289"/>
      <c r="AH2474" s="289"/>
      <c r="AI2474" s="289"/>
      <c r="AJ2474" s="289"/>
      <c r="AK2474" s="289"/>
      <c r="AL2474" s="289"/>
    </row>
    <row r="2475" spans="1:44">
      <c r="B2475" s="276"/>
      <c r="C2475" s="412" t="str">
        <f>IF($C$1="ENG","Satin","Сатин")</f>
        <v>Сатин</v>
      </c>
      <c r="D2475" s="102">
        <f t="shared" si="413"/>
        <v>933.33333333333337</v>
      </c>
      <c r="E2475" s="66">
        <f t="shared" si="414"/>
        <v>1120</v>
      </c>
      <c r="F2475" s="26"/>
      <c r="G2475" s="26"/>
      <c r="H2475" s="253"/>
      <c r="L2475" s="105"/>
      <c r="M2475" s="106"/>
      <c r="P2475" s="105"/>
      <c r="Q2475" s="106"/>
      <c r="AC2475" s="289">
        <v>1120</v>
      </c>
      <c r="AD2475" s="289">
        <v>1120</v>
      </c>
      <c r="AE2475" s="289">
        <f t="shared" si="415"/>
        <v>0</v>
      </c>
      <c r="AF2475" s="289"/>
      <c r="AG2475" s="289"/>
      <c r="AH2475" s="289"/>
      <c r="AI2475" s="289"/>
      <c r="AJ2475" s="289"/>
      <c r="AK2475" s="289"/>
      <c r="AL2475" s="289"/>
    </row>
    <row r="2476" spans="1:44">
      <c r="B2476" s="273"/>
      <c r="C2476" s="412" t="str">
        <f>IF($C$1="ENG","Wave","Жалюзі")</f>
        <v>Жалюзі</v>
      </c>
      <c r="D2476" s="102">
        <f t="shared" si="413"/>
        <v>758.33333333333337</v>
      </c>
      <c r="E2476" s="66">
        <f t="shared" si="414"/>
        <v>910</v>
      </c>
      <c r="F2476" s="26"/>
      <c r="G2476" s="26"/>
      <c r="H2476" s="253"/>
      <c r="L2476" s="105"/>
      <c r="M2476" s="106"/>
      <c r="P2476" s="105"/>
      <c r="Q2476" s="106"/>
      <c r="AC2476" s="289">
        <v>910</v>
      </c>
      <c r="AD2476" s="289">
        <v>910</v>
      </c>
      <c r="AE2476" s="289">
        <f t="shared" si="415"/>
        <v>0</v>
      </c>
      <c r="AF2476" s="289"/>
      <c r="AG2476" s="289"/>
      <c r="AH2476" s="289"/>
      <c r="AI2476" s="289"/>
      <c r="AJ2476" s="289"/>
      <c r="AK2476" s="289"/>
      <c r="AL2476" s="289"/>
    </row>
    <row r="2477" spans="1:44">
      <c r="B2477" s="273"/>
      <c r="C2477" s="412" t="str">
        <f>IF($C$1="ENG","Graphite","Графіт")</f>
        <v>Графіт</v>
      </c>
      <c r="D2477" s="102">
        <f t="shared" si="413"/>
        <v>1275</v>
      </c>
      <c r="E2477" s="66">
        <f t="shared" si="414"/>
        <v>1530</v>
      </c>
      <c r="F2477" s="26"/>
      <c r="G2477" s="26"/>
      <c r="H2477" s="253"/>
      <c r="L2477" s="105"/>
      <c r="M2477" s="106"/>
      <c r="P2477" s="105"/>
      <c r="Q2477" s="106"/>
      <c r="AC2477" s="289">
        <v>1530</v>
      </c>
      <c r="AD2477" s="289">
        <v>1530</v>
      </c>
      <c r="AE2477" s="289">
        <f t="shared" si="415"/>
        <v>0</v>
      </c>
      <c r="AF2477" s="289"/>
      <c r="AG2477" s="289"/>
      <c r="AH2477" s="289"/>
      <c r="AI2477" s="289"/>
      <c r="AJ2477" s="289"/>
      <c r="AK2477" s="289"/>
      <c r="AL2477" s="289"/>
    </row>
    <row r="2478" spans="1:44">
      <c r="B2478" s="273"/>
      <c r="C2478" s="412" t="str">
        <f>IF($C$1="ENG","Bronze","Бронза")</f>
        <v>Бронза</v>
      </c>
      <c r="D2478" s="102">
        <f t="shared" si="413"/>
        <v>1275</v>
      </c>
      <c r="E2478" s="66">
        <f t="shared" si="414"/>
        <v>1530</v>
      </c>
      <c r="F2478" s="26"/>
      <c r="G2478" s="26"/>
      <c r="H2478" s="253"/>
      <c r="L2478" s="105"/>
      <c r="M2478" s="106"/>
      <c r="P2478" s="105"/>
      <c r="Q2478" s="106"/>
      <c r="AC2478" s="289">
        <v>1530</v>
      </c>
      <c r="AD2478" s="289">
        <v>1530</v>
      </c>
      <c r="AE2478" s="289">
        <f t="shared" si="415"/>
        <v>0</v>
      </c>
      <c r="AF2478" s="289"/>
      <c r="AG2478" s="289"/>
      <c r="AH2478" s="289"/>
      <c r="AI2478" s="289"/>
      <c r="AJ2478" s="289"/>
      <c r="AK2478" s="289"/>
      <c r="AL2478" s="289"/>
    </row>
    <row r="2479" spans="1:44">
      <c r="B2479" s="273"/>
      <c r="C2479" s="412" t="str">
        <f>IF($C$1="ENG","Drawing","Малюнок")</f>
        <v>Малюнок</v>
      </c>
      <c r="D2479" s="102">
        <f t="shared" si="413"/>
        <v>1133.3333333333335</v>
      </c>
      <c r="E2479" s="66">
        <f t="shared" si="414"/>
        <v>1360.0000000000002</v>
      </c>
      <c r="F2479" s="26"/>
      <c r="G2479" s="26"/>
      <c r="H2479" s="253"/>
      <c r="L2479" s="105"/>
      <c r="M2479" s="106"/>
      <c r="P2479" s="105"/>
      <c r="Q2479" s="106"/>
      <c r="AC2479" s="289">
        <v>1360</v>
      </c>
      <c r="AD2479" s="289">
        <v>1360</v>
      </c>
      <c r="AE2479" s="289">
        <f t="shared" si="415"/>
        <v>0</v>
      </c>
      <c r="AF2479" s="289"/>
      <c r="AG2479" s="289"/>
      <c r="AH2479" s="289"/>
      <c r="AI2479" s="289"/>
      <c r="AJ2479" s="289"/>
      <c r="AK2479" s="289"/>
      <c r="AL2479" s="289"/>
    </row>
    <row r="2480" spans="1:44">
      <c r="B2480" s="273"/>
      <c r="C2480" s="412" t="str">
        <f>IF($C$1="ENG","Mirror","Дзеркало")</f>
        <v>Дзеркало</v>
      </c>
      <c r="D2480" s="103">
        <f>IF(AC2480="","",(1-$W$2)*(AC2480/1.2))</f>
        <v>1366.6666666666667</v>
      </c>
      <c r="E2480" s="69">
        <f t="shared" si="414"/>
        <v>1640</v>
      </c>
      <c r="F2480" s="26"/>
      <c r="G2480" s="26"/>
      <c r="H2480" s="253"/>
      <c r="L2480" s="105"/>
      <c r="M2480" s="106"/>
      <c r="P2480" s="105"/>
      <c r="Q2480" s="106"/>
      <c r="AC2480" s="289">
        <v>1640</v>
      </c>
      <c r="AD2480" s="289">
        <v>1640</v>
      </c>
      <c r="AE2480" s="289">
        <f t="shared" si="415"/>
        <v>0</v>
      </c>
      <c r="AF2480" s="289"/>
      <c r="AG2480" s="289"/>
      <c r="AH2480" s="289"/>
      <c r="AI2480" s="289"/>
      <c r="AJ2480" s="289"/>
      <c r="AK2480" s="289"/>
      <c r="AL2480" s="289"/>
    </row>
    <row r="2481" spans="3:31" ht="14.25" customHeight="1">
      <c r="T2481" s="488" t="str">
        <f>IF($C$1="ENG",CONCATENATE("down to: ",B2531),CONCATENATE("вниз до: ",B2531))</f>
        <v>вниз до: Дверні Ручки</v>
      </c>
      <c r="U2481" s="488"/>
      <c r="V2481" s="488"/>
      <c r="W2481" s="488"/>
      <c r="AD2481" s="289" t="e">
        <f t="shared" ref="AD2481:AD2482" si="416">T2481/100*13+T2481</f>
        <v>#VALUE!</v>
      </c>
      <c r="AE2481" s="289" t="e">
        <f t="shared" ref="AE2481:AE2482" si="417">AD2481/T2481-1</f>
        <v>#VALUE!</v>
      </c>
    </row>
    <row r="2482" spans="3:31" ht="14.25" customHeight="1">
      <c r="C2482" s="245"/>
      <c r="D2482" s="26"/>
      <c r="E2482" s="57"/>
      <c r="F2482" s="26"/>
      <c r="G2482" s="26"/>
      <c r="H2482" s="5"/>
      <c r="AD2482" s="289">
        <f t="shared" si="416"/>
        <v>0</v>
      </c>
      <c r="AE2482" s="289" t="e">
        <f t="shared" si="417"/>
        <v>#DIV/0!</v>
      </c>
    </row>
    <row r="2483" spans="3:31" ht="14.25" customHeight="1">
      <c r="C2483" s="245"/>
      <c r="D2483" s="26"/>
      <c r="E2483" s="26"/>
      <c r="F2483" s="26"/>
      <c r="G2483" s="26"/>
      <c r="H2483" s="5"/>
    </row>
    <row r="2484" spans="3:31" ht="14.25" customHeight="1">
      <c r="C2484" s="245"/>
      <c r="D2484" s="26"/>
      <c r="E2484" s="26"/>
      <c r="F2484" s="26"/>
      <c r="G2484" s="26"/>
      <c r="H2484" s="5"/>
    </row>
    <row r="2485" spans="3:31" ht="14.25" customHeight="1">
      <c r="C2485" s="245"/>
      <c r="D2485" s="26"/>
      <c r="E2485" s="26"/>
      <c r="F2485" s="26"/>
      <c r="G2485" s="26"/>
      <c r="H2485" s="5"/>
    </row>
    <row r="2486" spans="3:31" ht="14.25" customHeight="1">
      <c r="C2486" s="245"/>
      <c r="D2486" s="26"/>
      <c r="E2486" s="26"/>
      <c r="F2486" s="26"/>
      <c r="G2486" s="26"/>
      <c r="H2486" s="5"/>
    </row>
    <row r="2487" spans="3:31" ht="14.25" customHeight="1">
      <c r="C2487" s="245"/>
      <c r="D2487" s="26"/>
      <c r="E2487" s="26"/>
      <c r="F2487" s="26"/>
      <c r="G2487" s="26"/>
      <c r="H2487" s="5"/>
    </row>
    <row r="2488" spans="3:31" ht="14.25" customHeight="1">
      <c r="C2488" s="245"/>
      <c r="D2488" s="26"/>
      <c r="E2488" s="26"/>
      <c r="F2488" s="26"/>
      <c r="G2488" s="26"/>
      <c r="H2488" s="5"/>
    </row>
    <row r="2489" spans="3:31" ht="14.25" customHeight="1">
      <c r="C2489" s="245"/>
      <c r="D2489" s="26"/>
      <c r="E2489" s="26"/>
      <c r="F2489" s="26"/>
      <c r="G2489" s="26"/>
      <c r="H2489" s="5"/>
    </row>
    <row r="2490" spans="3:31" ht="14.25" customHeight="1">
      <c r="C2490" s="245"/>
      <c r="D2490" s="26"/>
      <c r="E2490" s="26"/>
      <c r="F2490" s="26"/>
      <c r="G2490" s="26"/>
      <c r="H2490" s="5"/>
    </row>
    <row r="2491" spans="3:31" ht="14.25" customHeight="1">
      <c r="C2491" s="245"/>
      <c r="D2491" s="26"/>
      <c r="E2491" s="26"/>
      <c r="F2491" s="26"/>
      <c r="G2491" s="26"/>
      <c r="H2491" s="5"/>
    </row>
    <row r="2492" spans="3:31" ht="14.25" customHeight="1">
      <c r="C2492" s="245"/>
      <c r="D2492" s="26"/>
      <c r="E2492" s="26"/>
      <c r="F2492" s="26"/>
      <c r="G2492" s="26"/>
      <c r="H2492" s="5"/>
    </row>
    <row r="2493" spans="3:31" ht="14.25" customHeight="1">
      <c r="C2493" s="245"/>
      <c r="D2493" s="26"/>
      <c r="E2493" s="26"/>
      <c r="F2493" s="26"/>
      <c r="G2493" s="26"/>
      <c r="H2493" s="5"/>
    </row>
    <row r="2494" spans="3:31" ht="14.25" customHeight="1">
      <c r="C2494" s="245"/>
      <c r="D2494" s="26"/>
      <c r="E2494" s="26"/>
      <c r="F2494" s="26"/>
      <c r="G2494" s="26"/>
      <c r="H2494" s="5"/>
    </row>
    <row r="2495" spans="3:31" ht="14.25" customHeight="1">
      <c r="C2495" s="245"/>
      <c r="D2495" s="26"/>
      <c r="E2495" s="26"/>
      <c r="F2495" s="26"/>
      <c r="G2495" s="26"/>
      <c r="H2495" s="5"/>
    </row>
    <row r="2496" spans="3:31" ht="14.25" customHeight="1">
      <c r="C2496" s="245"/>
      <c r="D2496" s="26"/>
      <c r="E2496" s="26"/>
      <c r="F2496" s="26"/>
      <c r="G2496" s="26"/>
      <c r="H2496" s="5"/>
    </row>
    <row r="2497" spans="3:8" ht="14.25" customHeight="1">
      <c r="C2497" s="245"/>
      <c r="D2497" s="26"/>
      <c r="E2497" s="26"/>
      <c r="F2497" s="26"/>
      <c r="G2497" s="26"/>
      <c r="H2497" s="5"/>
    </row>
    <row r="2498" spans="3:8" ht="14.25" customHeight="1">
      <c r="C2498" s="245"/>
      <c r="D2498" s="26"/>
      <c r="E2498" s="26"/>
      <c r="F2498" s="26"/>
      <c r="G2498" s="26"/>
      <c r="H2498" s="5"/>
    </row>
    <row r="2499" spans="3:8" ht="14.25" customHeight="1">
      <c r="C2499" s="245"/>
      <c r="D2499" s="26"/>
      <c r="E2499" s="26"/>
      <c r="F2499" s="26"/>
      <c r="G2499" s="26"/>
      <c r="H2499" s="5"/>
    </row>
    <row r="2500" spans="3:8" ht="14.25" customHeight="1">
      <c r="C2500" s="245"/>
      <c r="D2500" s="26"/>
      <c r="E2500" s="26"/>
      <c r="F2500" s="26"/>
      <c r="G2500" s="26"/>
      <c r="H2500" s="5"/>
    </row>
    <row r="2501" spans="3:8" ht="14.25" customHeight="1">
      <c r="C2501" s="245"/>
      <c r="D2501" s="26"/>
      <c r="E2501" s="26"/>
      <c r="F2501" s="26"/>
      <c r="G2501" s="26"/>
      <c r="H2501" s="5"/>
    </row>
    <row r="2502" spans="3:8" ht="14.25" customHeight="1">
      <c r="C2502" s="245"/>
      <c r="D2502" s="26"/>
      <c r="E2502" s="26"/>
      <c r="F2502" s="26"/>
      <c r="G2502" s="26"/>
      <c r="H2502" s="5"/>
    </row>
    <row r="2503" spans="3:8" ht="14.25" customHeight="1">
      <c r="C2503" s="245"/>
      <c r="D2503" s="26"/>
      <c r="E2503" s="26"/>
      <c r="F2503" s="26"/>
      <c r="G2503" s="26"/>
      <c r="H2503" s="5"/>
    </row>
    <row r="2504" spans="3:8" ht="14.25" customHeight="1">
      <c r="C2504" s="245"/>
      <c r="D2504" s="26"/>
      <c r="E2504" s="26"/>
      <c r="F2504" s="26"/>
      <c r="G2504" s="26"/>
      <c r="H2504" s="5"/>
    </row>
    <row r="2505" spans="3:8" ht="14.25" customHeight="1">
      <c r="C2505" s="245"/>
      <c r="D2505" s="26"/>
      <c r="E2505" s="26"/>
      <c r="F2505" s="26"/>
      <c r="G2505" s="26"/>
      <c r="H2505" s="5"/>
    </row>
    <row r="2506" spans="3:8" ht="14.25" customHeight="1">
      <c r="C2506" s="245"/>
      <c r="D2506" s="26"/>
      <c r="E2506" s="26"/>
      <c r="F2506" s="26"/>
      <c r="G2506" s="26"/>
      <c r="H2506" s="5"/>
    </row>
    <row r="2507" spans="3:8" ht="14.25" customHeight="1">
      <c r="C2507" s="245"/>
      <c r="D2507" s="26"/>
      <c r="E2507" s="26"/>
      <c r="F2507" s="26"/>
      <c r="G2507" s="26"/>
      <c r="H2507" s="5"/>
    </row>
    <row r="2508" spans="3:8" ht="14.25" customHeight="1">
      <c r="C2508" s="245"/>
      <c r="D2508" s="26"/>
      <c r="E2508" s="26"/>
      <c r="F2508" s="26"/>
      <c r="G2508" s="26"/>
      <c r="H2508" s="5"/>
    </row>
    <row r="2509" spans="3:8" ht="14.25" customHeight="1">
      <c r="C2509" s="245"/>
      <c r="D2509" s="26"/>
      <c r="E2509" s="26"/>
      <c r="F2509" s="26"/>
      <c r="G2509" s="26"/>
      <c r="H2509" s="5"/>
    </row>
    <row r="2510" spans="3:8" ht="14.25" customHeight="1">
      <c r="C2510" s="245"/>
      <c r="D2510" s="26"/>
      <c r="E2510" s="26"/>
      <c r="F2510" s="26"/>
      <c r="G2510" s="26"/>
      <c r="H2510" s="5"/>
    </row>
    <row r="2511" spans="3:8" ht="14.25" customHeight="1">
      <c r="C2511" s="245"/>
      <c r="D2511" s="26"/>
      <c r="E2511" s="26"/>
      <c r="F2511" s="26"/>
      <c r="G2511" s="26"/>
      <c r="H2511" s="5"/>
    </row>
    <row r="2512" spans="3:8" ht="14.25" customHeight="1">
      <c r="C2512" s="245"/>
      <c r="D2512" s="26"/>
      <c r="E2512" s="26"/>
      <c r="F2512" s="26"/>
      <c r="G2512" s="26"/>
      <c r="H2512" s="5"/>
    </row>
    <row r="2513" spans="3:8" ht="14.25" customHeight="1">
      <c r="C2513" s="245"/>
      <c r="D2513" s="26"/>
      <c r="E2513" s="26"/>
      <c r="F2513" s="26"/>
      <c r="G2513" s="26"/>
      <c r="H2513" s="5"/>
    </row>
    <row r="2514" spans="3:8" ht="14.25" customHeight="1">
      <c r="C2514" s="245"/>
      <c r="D2514" s="26"/>
      <c r="E2514" s="26"/>
      <c r="F2514" s="26"/>
      <c r="G2514" s="26"/>
      <c r="H2514" s="5"/>
    </row>
    <row r="2515" spans="3:8" ht="14.25" customHeight="1">
      <c r="C2515" s="245"/>
      <c r="D2515" s="26"/>
      <c r="E2515" s="26"/>
      <c r="F2515" s="26"/>
      <c r="G2515" s="26"/>
      <c r="H2515" s="5"/>
    </row>
    <row r="2516" spans="3:8" ht="14.25" customHeight="1">
      <c r="C2516" s="245"/>
      <c r="D2516" s="26"/>
      <c r="E2516" s="26"/>
      <c r="F2516" s="26"/>
      <c r="G2516" s="26"/>
      <c r="H2516" s="5"/>
    </row>
    <row r="2517" spans="3:8" ht="14.25" customHeight="1">
      <c r="C2517" s="245"/>
      <c r="D2517" s="26"/>
      <c r="E2517" s="26"/>
      <c r="F2517" s="26"/>
      <c r="G2517" s="26"/>
      <c r="H2517" s="5"/>
    </row>
    <row r="2518" spans="3:8" ht="14.25" customHeight="1">
      <c r="C2518" s="245"/>
      <c r="D2518" s="26"/>
      <c r="E2518" s="26"/>
      <c r="F2518" s="26"/>
      <c r="G2518" s="26"/>
      <c r="H2518" s="5"/>
    </row>
    <row r="2519" spans="3:8" ht="14.25" customHeight="1">
      <c r="C2519" s="245"/>
      <c r="D2519" s="26"/>
      <c r="E2519" s="26"/>
      <c r="F2519" s="26"/>
      <c r="G2519" s="26"/>
      <c r="H2519" s="5"/>
    </row>
    <row r="2520" spans="3:8" ht="14.25" customHeight="1">
      <c r="C2520" s="245"/>
      <c r="D2520" s="26"/>
      <c r="E2520" s="26"/>
      <c r="F2520" s="26"/>
      <c r="G2520" s="26"/>
      <c r="H2520" s="5"/>
    </row>
    <row r="2521" spans="3:8" ht="14.25" customHeight="1">
      <c r="C2521" s="245"/>
      <c r="D2521" s="26"/>
      <c r="E2521" s="26"/>
      <c r="F2521" s="26"/>
      <c r="G2521" s="26"/>
      <c r="H2521" s="5"/>
    </row>
    <row r="2522" spans="3:8" ht="14.25" customHeight="1">
      <c r="C2522" s="245"/>
      <c r="D2522" s="26"/>
      <c r="E2522" s="26"/>
      <c r="F2522" s="26"/>
      <c r="G2522" s="26"/>
      <c r="H2522" s="5"/>
    </row>
    <row r="2523" spans="3:8" ht="14.25" customHeight="1">
      <c r="C2523" s="245"/>
      <c r="D2523" s="26"/>
      <c r="E2523" s="26"/>
      <c r="F2523" s="26"/>
      <c r="G2523" s="26"/>
      <c r="H2523" s="5"/>
    </row>
    <row r="2524" spans="3:8" ht="14.25" customHeight="1">
      <c r="C2524" s="245"/>
      <c r="D2524" s="26"/>
      <c r="E2524" s="26"/>
      <c r="F2524" s="26"/>
      <c r="G2524" s="26"/>
      <c r="H2524" s="5"/>
    </row>
    <row r="2525" spans="3:8" ht="14.25" customHeight="1">
      <c r="C2525" s="245"/>
      <c r="D2525" s="26"/>
      <c r="E2525" s="26"/>
      <c r="F2525" s="26"/>
      <c r="G2525" s="26"/>
      <c r="H2525" s="5"/>
    </row>
    <row r="2526" spans="3:8" ht="14.25" customHeight="1">
      <c r="C2526" s="245"/>
      <c r="D2526" s="26"/>
      <c r="E2526" s="26"/>
      <c r="F2526" s="26"/>
      <c r="G2526" s="26"/>
      <c r="H2526" s="5"/>
    </row>
    <row r="2527" spans="3:8" ht="14.25" customHeight="1">
      <c r="C2527" s="245"/>
      <c r="D2527" s="26"/>
      <c r="E2527" s="26"/>
      <c r="F2527" s="26"/>
      <c r="G2527" s="26"/>
      <c r="H2527" s="5"/>
    </row>
    <row r="2528" spans="3:8" ht="14.25" customHeight="1">
      <c r="C2528" s="245"/>
      <c r="D2528" s="26"/>
      <c r="E2528" s="26"/>
      <c r="F2528" s="26"/>
      <c r="G2528" s="26"/>
      <c r="H2528" s="5"/>
    </row>
    <row r="2529" spans="1:46" ht="14.25" customHeight="1">
      <c r="C2529" s="245"/>
      <c r="D2529" s="26"/>
      <c r="E2529" s="26"/>
      <c r="F2529" s="26"/>
      <c r="G2529" s="26"/>
      <c r="H2529" s="5"/>
    </row>
    <row r="2530" spans="1:46" ht="14.25" customHeight="1">
      <c r="C2530" s="245"/>
      <c r="D2530" s="26"/>
      <c r="E2530" s="26"/>
      <c r="F2530" s="26"/>
      <c r="G2530" s="26"/>
      <c r="H2530" s="5"/>
    </row>
    <row r="2531" spans="1:46" s="8" customFormat="1" ht="14.25" customHeight="1">
      <c r="B2531" s="471" t="str">
        <f>TITLE!C49</f>
        <v>Дверні Ручки</v>
      </c>
      <c r="C2531" s="451"/>
      <c r="D2531" s="118"/>
      <c r="E2531" s="118"/>
      <c r="F2531" s="118"/>
      <c r="G2531" s="118"/>
      <c r="H2531" s="118"/>
      <c r="I2531" s="121"/>
      <c r="J2531" s="121"/>
      <c r="K2531" s="121"/>
      <c r="L2531" s="121"/>
      <c r="M2531" s="121"/>
      <c r="N2531" s="121"/>
      <c r="O2531" s="121"/>
      <c r="P2531" s="121"/>
      <c r="Q2531" s="121"/>
      <c r="R2531" s="121"/>
      <c r="S2531" s="121"/>
      <c r="T2531" s="456" t="str">
        <f>IF($C$1="ENG",CONCATENATE("up to: ",B2453),CONCATENATE("вгору до: ",B2453))</f>
        <v>вгору до: Фрамуги</v>
      </c>
      <c r="U2531" s="456"/>
      <c r="V2531" s="456"/>
      <c r="W2531" s="456"/>
      <c r="AC2531" s="1"/>
      <c r="AN2531" s="280"/>
      <c r="AO2531" s="280"/>
      <c r="AP2531" s="280"/>
      <c r="AQ2531" s="280"/>
      <c r="AR2531" s="280"/>
      <c r="AS2531" s="280"/>
      <c r="AT2531" s="280"/>
    </row>
    <row r="2532" spans="1:46" s="8" customFormat="1" ht="5.0999999999999996" customHeight="1">
      <c r="C2532" s="424"/>
      <c r="L2532" s="48"/>
      <c r="M2532" s="48"/>
      <c r="N2532" s="48"/>
      <c r="O2532" s="48"/>
      <c r="P2532" s="48"/>
      <c r="Q2532" s="48"/>
      <c r="R2532" s="48"/>
      <c r="S2532" s="48"/>
      <c r="T2532" s="115"/>
      <c r="U2532" s="115"/>
      <c r="V2532" s="115"/>
      <c r="W2532" s="115"/>
      <c r="AN2532" s="280"/>
      <c r="AO2532" s="280"/>
      <c r="AP2532" s="280"/>
      <c r="AQ2532" s="280"/>
      <c r="AR2532" s="280"/>
      <c r="AS2532" s="280"/>
      <c r="AT2532" s="280"/>
    </row>
    <row r="2533" spans="1:46" ht="33.75" customHeight="1">
      <c r="A2533" s="8"/>
      <c r="B2533" s="61" t="str">
        <f>IF($C$1="ENG","model","модель")</f>
        <v>модель</v>
      </c>
      <c r="C2533" s="435"/>
      <c r="D2533" s="466" t="str">
        <f>IF($C$1="ENG","cat. options","див. каталог")</f>
        <v>див. каталог</v>
      </c>
      <c r="E2533" s="467"/>
      <c r="J2533" s="48"/>
      <c r="K2533" s="48"/>
      <c r="L2533" s="47"/>
      <c r="M2533" s="47"/>
      <c r="N2533" s="47"/>
      <c r="O2533" s="47"/>
      <c r="P2533" s="47"/>
      <c r="Q2533" s="47"/>
      <c r="R2533" s="47"/>
      <c r="S2533" s="47"/>
    </row>
    <row r="2534" spans="1:46" ht="34.5" customHeight="1">
      <c r="A2534" s="8"/>
      <c r="B2534" s="13" t="str">
        <f>IF($C$1="ENG","Door handle VERONA","Ручка VERONA")</f>
        <v>Ручка VERONA</v>
      </c>
      <c r="C2534" s="436"/>
      <c r="D2534" s="15">
        <f>IF(AC2534="","",(1-$W$2)*(AC2534/1.2))</f>
        <v>2666.666666666667</v>
      </c>
      <c r="E2534" s="64">
        <f>IF($W$5=0.2,D2534*1.2,D2534)/$W$4</f>
        <v>3200.0000000000005</v>
      </c>
      <c r="L2534" s="28"/>
      <c r="M2534" s="59"/>
      <c r="N2534" s="28"/>
      <c r="O2534" s="29"/>
      <c r="P2534" s="28"/>
      <c r="Q2534" s="59"/>
      <c r="R2534" s="28"/>
      <c r="S2534" s="29"/>
      <c r="T2534" s="42"/>
      <c r="U2534" s="30"/>
      <c r="W2534" s="20"/>
      <c r="X2534" s="22"/>
      <c r="Y2534" s="22"/>
      <c r="Z2534" s="22"/>
      <c r="AA2534" s="22"/>
      <c r="AB2534" s="22"/>
      <c r="AC2534" s="298">
        <v>3200</v>
      </c>
      <c r="AD2534" s="1">
        <v>3260</v>
      </c>
      <c r="AE2534" s="1">
        <f>AD2534/AC2534-1</f>
        <v>1.8750000000000044E-2</v>
      </c>
      <c r="AF2534" s="289"/>
      <c r="AG2534" s="289"/>
      <c r="AH2534" s="289"/>
      <c r="AI2534" s="289"/>
      <c r="AJ2534" s="289"/>
      <c r="AK2534" s="289"/>
      <c r="AL2534" s="289"/>
    </row>
    <row r="2535" spans="1:46" ht="34.5" customHeight="1">
      <c r="A2535" s="8"/>
      <c r="B2535" s="16" t="str">
        <f>IF($C$1="ENG","Door handle MILANO","Ручка MILANO")</f>
        <v>Ручка MILANO</v>
      </c>
      <c r="C2535" s="437"/>
      <c r="D2535" s="18">
        <f>IF(AC2535="","",(1-$W$2)*(AC2535/1.2))</f>
        <v>2666.666666666667</v>
      </c>
      <c r="E2535" s="66">
        <f>IF($W$5=0.2,D2535*1.2,D2535)/$W$4</f>
        <v>3200.0000000000005</v>
      </c>
      <c r="L2535" s="28"/>
      <c r="M2535" s="59"/>
      <c r="N2535" s="28"/>
      <c r="O2535" s="29"/>
      <c r="P2535" s="28"/>
      <c r="Q2535" s="59"/>
      <c r="R2535" s="28"/>
      <c r="S2535" s="29"/>
      <c r="T2535" s="42"/>
      <c r="U2535" s="30"/>
      <c r="W2535" s="30"/>
      <c r="AC2535" s="298">
        <v>3200</v>
      </c>
      <c r="AD2535" s="1">
        <v>3260</v>
      </c>
      <c r="AE2535" s="1">
        <f t="shared" ref="AE2535:AE2538" si="418">AD2535/AC2535-1</f>
        <v>1.8750000000000044E-2</v>
      </c>
      <c r="AF2535" s="289"/>
      <c r="AG2535" s="289"/>
      <c r="AH2535" s="289"/>
      <c r="AI2535" s="289"/>
      <c r="AJ2535" s="289"/>
      <c r="AK2535" s="289"/>
      <c r="AL2535" s="289"/>
    </row>
    <row r="2536" spans="1:46" ht="34.5" customHeight="1">
      <c r="B2536" s="16" t="str">
        <f>IF($C$1="ENG","Door handle HANDY","Ручка HANDY")</f>
        <v>Ручка HANDY</v>
      </c>
      <c r="C2536" s="437"/>
      <c r="D2536" s="109">
        <f>IF(AC2536="","",(1-$W$2)*(AC2536/1.2))</f>
        <v>1300</v>
      </c>
      <c r="E2536" s="66">
        <f>IF($W$5=0.2,D2536*1.2,D2536)/$W$4</f>
        <v>1560</v>
      </c>
      <c r="L2536" s="28"/>
      <c r="N2536" s="28"/>
      <c r="P2536" s="28"/>
      <c r="R2536" s="28"/>
      <c r="AC2536" s="298">
        <v>1560</v>
      </c>
      <c r="AD2536" s="1">
        <v>1560</v>
      </c>
      <c r="AE2536" s="1">
        <f t="shared" si="418"/>
        <v>0</v>
      </c>
      <c r="AF2536" s="289"/>
      <c r="AG2536" s="289"/>
      <c r="AH2536" s="289"/>
      <c r="AI2536" s="289"/>
      <c r="AJ2536" s="289"/>
      <c r="AK2536" s="289"/>
      <c r="AL2536" s="289"/>
    </row>
    <row r="2537" spans="1:46" ht="34.5" customHeight="1">
      <c r="A2537" s="8"/>
      <c r="B2537" s="16" t="str">
        <f>IF($C$1="ENG","Door handle PRIUS","Ручка PRIUS")</f>
        <v>Ручка PRIUS</v>
      </c>
      <c r="C2537" s="437"/>
      <c r="D2537" s="18">
        <f>IF(AC2537="","",(1-$W$2)*(AC2537/1.2))</f>
        <v>1300</v>
      </c>
      <c r="E2537" s="66">
        <f>IF($W$5=0.2,D2537*1.2,D2537)/$W$4</f>
        <v>1560</v>
      </c>
      <c r="L2537" s="28"/>
      <c r="N2537" s="28"/>
      <c r="O2537" s="29"/>
      <c r="P2537" s="28"/>
      <c r="R2537" s="28"/>
      <c r="S2537" s="29"/>
      <c r="T2537" s="42"/>
      <c r="U2537" s="30"/>
      <c r="W2537" s="30"/>
      <c r="AC2537" s="298">
        <v>1560</v>
      </c>
      <c r="AD2537" s="1">
        <v>1560</v>
      </c>
      <c r="AE2537" s="1">
        <f t="shared" si="418"/>
        <v>0</v>
      </c>
      <c r="AF2537" s="289"/>
      <c r="AG2537" s="289"/>
      <c r="AH2537" s="289"/>
      <c r="AI2537" s="289"/>
      <c r="AJ2537" s="289"/>
      <c r="AK2537" s="289"/>
      <c r="AL2537" s="289"/>
    </row>
    <row r="2538" spans="1:46" ht="34.5" customHeight="1">
      <c r="B2538" s="23" t="str">
        <f>IF($C$1="ENG","Door handle OFFICE","Ручка OFFICE")</f>
        <v>Ручка OFFICE</v>
      </c>
      <c r="C2538" s="438"/>
      <c r="D2538" s="25">
        <f>IF(AC2538="","",(1-$W$2)*(AC2538/1.2))</f>
        <v>625</v>
      </c>
      <c r="E2538" s="69">
        <f>IF($W$5=0.2,D2538*1.2,D2538)/$W$4</f>
        <v>750</v>
      </c>
      <c r="L2538" s="28"/>
      <c r="P2538" s="28"/>
      <c r="AC2538" s="298">
        <v>750</v>
      </c>
      <c r="AD2538" s="1">
        <v>750</v>
      </c>
      <c r="AE2538" s="1">
        <f t="shared" si="418"/>
        <v>0</v>
      </c>
      <c r="AF2538" s="289"/>
      <c r="AG2538" s="289"/>
      <c r="AH2538" s="289"/>
      <c r="AI2538" s="289"/>
      <c r="AJ2538" s="289"/>
      <c r="AK2538" s="289"/>
      <c r="AL2538" s="289"/>
    </row>
    <row r="2539" spans="1:46" ht="14.25" customHeight="1">
      <c r="T2539" s="489" t="str">
        <f>IF($C$1="ENG",CONCATENATE("down to: ",B2589),CONCATENATE("вниз до: ",B2589))</f>
        <v>вниз до: Інші Аксесуари</v>
      </c>
      <c r="U2539" s="489"/>
      <c r="V2539" s="489"/>
      <c r="W2539" s="489"/>
    </row>
    <row r="2540" spans="1:46" ht="14.25" customHeight="1">
      <c r="C2540" s="245"/>
      <c r="D2540" s="26"/>
      <c r="E2540" s="26"/>
      <c r="F2540" s="26"/>
      <c r="G2540" s="26"/>
      <c r="H2540" s="5"/>
    </row>
    <row r="2541" spans="1:46" ht="14.25" customHeight="1">
      <c r="C2541" s="245"/>
      <c r="D2541" s="26"/>
      <c r="E2541" s="26"/>
      <c r="F2541" s="26"/>
      <c r="G2541" s="26"/>
      <c r="H2541" s="5"/>
    </row>
    <row r="2542" spans="1:46" ht="14.25" customHeight="1">
      <c r="C2542" s="245"/>
      <c r="D2542" s="26"/>
      <c r="E2542" s="26"/>
      <c r="F2542" s="26"/>
      <c r="G2542" s="26"/>
      <c r="H2542" s="5"/>
    </row>
    <row r="2543" spans="1:46" ht="14.25" customHeight="1">
      <c r="C2543" s="245"/>
      <c r="D2543" s="26"/>
      <c r="E2543" s="26"/>
      <c r="F2543" s="26"/>
      <c r="G2543" s="26"/>
      <c r="H2543" s="5"/>
    </row>
    <row r="2544" spans="1:46" ht="14.25" customHeight="1">
      <c r="C2544" s="245"/>
      <c r="D2544" s="26"/>
      <c r="E2544" s="26"/>
      <c r="F2544" s="26"/>
      <c r="G2544" s="26"/>
      <c r="H2544" s="5"/>
    </row>
    <row r="2545" spans="3:8" ht="14.25" customHeight="1">
      <c r="C2545" s="245"/>
      <c r="D2545" s="26"/>
      <c r="E2545" s="26"/>
      <c r="F2545" s="26"/>
      <c r="G2545" s="26"/>
      <c r="H2545" s="5"/>
    </row>
    <row r="2546" spans="3:8" ht="14.25" customHeight="1">
      <c r="C2546" s="245"/>
      <c r="D2546" s="26"/>
      <c r="E2546" s="26"/>
      <c r="F2546" s="26"/>
      <c r="G2546" s="26"/>
      <c r="H2546" s="5"/>
    </row>
    <row r="2547" spans="3:8" ht="14.25" customHeight="1">
      <c r="C2547" s="245"/>
      <c r="D2547" s="26"/>
      <c r="E2547" s="26"/>
      <c r="F2547" s="26"/>
      <c r="G2547" s="26"/>
      <c r="H2547" s="5"/>
    </row>
    <row r="2548" spans="3:8" ht="14.25" customHeight="1">
      <c r="C2548" s="245"/>
      <c r="D2548" s="26"/>
      <c r="E2548" s="26"/>
      <c r="F2548" s="26"/>
      <c r="G2548" s="26"/>
      <c r="H2548" s="5"/>
    </row>
    <row r="2549" spans="3:8" ht="14.25" customHeight="1">
      <c r="C2549" s="245"/>
      <c r="D2549" s="26"/>
      <c r="E2549" s="26"/>
      <c r="F2549" s="26"/>
      <c r="G2549" s="26"/>
      <c r="H2549" s="5"/>
    </row>
    <row r="2550" spans="3:8" ht="14.25" customHeight="1">
      <c r="C2550" s="245"/>
      <c r="D2550" s="26"/>
      <c r="E2550" s="26"/>
      <c r="F2550" s="26"/>
      <c r="G2550" s="26"/>
      <c r="H2550" s="5"/>
    </row>
    <row r="2551" spans="3:8" ht="14.25" customHeight="1">
      <c r="C2551" s="245"/>
      <c r="D2551" s="26"/>
      <c r="E2551" s="26"/>
      <c r="F2551" s="26"/>
      <c r="G2551" s="26"/>
      <c r="H2551" s="5"/>
    </row>
    <row r="2552" spans="3:8" ht="14.25" customHeight="1">
      <c r="C2552" s="245"/>
      <c r="D2552" s="26"/>
      <c r="E2552" s="26"/>
      <c r="F2552" s="26"/>
      <c r="G2552" s="26"/>
      <c r="H2552" s="5"/>
    </row>
    <row r="2553" spans="3:8" ht="14.25" customHeight="1">
      <c r="C2553" s="245"/>
      <c r="D2553" s="26"/>
      <c r="E2553" s="26"/>
      <c r="F2553" s="26"/>
      <c r="G2553" s="26"/>
      <c r="H2553" s="5"/>
    </row>
    <row r="2554" spans="3:8" ht="14.25" customHeight="1">
      <c r="C2554" s="245"/>
      <c r="D2554" s="26"/>
      <c r="E2554" s="26"/>
      <c r="F2554" s="26"/>
      <c r="G2554" s="26"/>
      <c r="H2554" s="5"/>
    </row>
    <row r="2555" spans="3:8" ht="14.25" customHeight="1">
      <c r="C2555" s="245"/>
      <c r="D2555" s="26"/>
      <c r="E2555" s="26"/>
      <c r="F2555" s="26"/>
      <c r="G2555" s="26"/>
      <c r="H2555" s="5"/>
    </row>
    <row r="2556" spans="3:8" ht="14.25" customHeight="1">
      <c r="C2556" s="245"/>
      <c r="D2556" s="26"/>
      <c r="E2556" s="26"/>
      <c r="F2556" s="26"/>
      <c r="G2556" s="26"/>
      <c r="H2556" s="5"/>
    </row>
    <row r="2557" spans="3:8" ht="14.25" customHeight="1">
      <c r="C2557" s="245"/>
      <c r="D2557" s="26"/>
      <c r="E2557" s="26"/>
      <c r="F2557" s="26"/>
      <c r="G2557" s="26"/>
      <c r="H2557" s="5"/>
    </row>
    <row r="2558" spans="3:8" ht="14.25" customHeight="1">
      <c r="C2558" s="245"/>
      <c r="D2558" s="26"/>
      <c r="E2558" s="26"/>
      <c r="F2558" s="26"/>
      <c r="G2558" s="26"/>
      <c r="H2558" s="5"/>
    </row>
    <row r="2559" spans="3:8" ht="14.25" customHeight="1">
      <c r="C2559" s="245"/>
      <c r="D2559" s="26"/>
      <c r="E2559" s="26"/>
      <c r="F2559" s="26"/>
      <c r="G2559" s="26"/>
      <c r="H2559" s="5"/>
    </row>
    <row r="2560" spans="3:8" ht="14.25" customHeight="1">
      <c r="C2560" s="245"/>
      <c r="D2560" s="26"/>
      <c r="E2560" s="26"/>
      <c r="F2560" s="26"/>
      <c r="G2560" s="26"/>
      <c r="H2560" s="5"/>
    </row>
    <row r="2561" spans="3:8" ht="14.25" customHeight="1">
      <c r="C2561" s="245"/>
      <c r="D2561" s="26"/>
      <c r="E2561" s="26"/>
      <c r="F2561" s="26"/>
      <c r="G2561" s="26"/>
      <c r="H2561" s="5"/>
    </row>
    <row r="2562" spans="3:8" ht="14.25" customHeight="1">
      <c r="C2562" s="245"/>
      <c r="D2562" s="26"/>
      <c r="E2562" s="26"/>
      <c r="F2562" s="26"/>
      <c r="G2562" s="26"/>
      <c r="H2562" s="5"/>
    </row>
    <row r="2563" spans="3:8" ht="14.25" customHeight="1">
      <c r="C2563" s="245"/>
      <c r="D2563" s="26"/>
      <c r="E2563" s="26"/>
      <c r="F2563" s="26"/>
      <c r="G2563" s="26"/>
      <c r="H2563" s="5"/>
    </row>
    <row r="2564" spans="3:8" ht="14.25" customHeight="1">
      <c r="C2564" s="245"/>
      <c r="D2564" s="26"/>
      <c r="E2564" s="26"/>
      <c r="F2564" s="26"/>
      <c r="G2564" s="26"/>
      <c r="H2564" s="5"/>
    </row>
    <row r="2565" spans="3:8" ht="14.25" customHeight="1">
      <c r="C2565" s="245"/>
      <c r="D2565" s="26"/>
      <c r="E2565" s="26"/>
      <c r="F2565" s="26"/>
      <c r="G2565" s="26"/>
      <c r="H2565" s="5"/>
    </row>
    <row r="2566" spans="3:8" ht="14.25" customHeight="1">
      <c r="C2566" s="245"/>
      <c r="D2566" s="26"/>
      <c r="E2566" s="26"/>
      <c r="F2566" s="26"/>
      <c r="G2566" s="26"/>
      <c r="H2566" s="5"/>
    </row>
    <row r="2567" spans="3:8" ht="14.25" customHeight="1">
      <c r="C2567" s="245"/>
      <c r="D2567" s="26"/>
      <c r="E2567" s="26"/>
      <c r="F2567" s="26"/>
      <c r="G2567" s="26"/>
      <c r="H2567" s="5"/>
    </row>
    <row r="2568" spans="3:8" ht="14.25" customHeight="1">
      <c r="C2568" s="245"/>
      <c r="D2568" s="26"/>
      <c r="E2568" s="26"/>
      <c r="F2568" s="26"/>
      <c r="G2568" s="26"/>
      <c r="H2568" s="5"/>
    </row>
    <row r="2569" spans="3:8" ht="14.25" customHeight="1">
      <c r="C2569" s="245"/>
      <c r="D2569" s="26"/>
      <c r="E2569" s="26"/>
      <c r="F2569" s="26"/>
      <c r="G2569" s="26"/>
      <c r="H2569" s="5"/>
    </row>
    <row r="2570" spans="3:8" ht="14.25" customHeight="1">
      <c r="C2570" s="245"/>
      <c r="D2570" s="26"/>
      <c r="E2570" s="26"/>
      <c r="F2570" s="26"/>
      <c r="G2570" s="26"/>
      <c r="H2570" s="5"/>
    </row>
    <row r="2571" spans="3:8" ht="14.25" customHeight="1">
      <c r="C2571" s="245"/>
      <c r="D2571" s="26"/>
      <c r="E2571" s="26"/>
      <c r="F2571" s="26"/>
      <c r="G2571" s="26"/>
      <c r="H2571" s="5"/>
    </row>
    <row r="2572" spans="3:8" ht="14.25" customHeight="1">
      <c r="C2572" s="245"/>
      <c r="D2572" s="26"/>
      <c r="E2572" s="26"/>
      <c r="F2572" s="26"/>
      <c r="G2572" s="26"/>
      <c r="H2572" s="5"/>
    </row>
    <row r="2573" spans="3:8" ht="14.25" customHeight="1">
      <c r="C2573" s="245"/>
      <c r="D2573" s="26"/>
      <c r="E2573" s="26"/>
      <c r="F2573" s="26"/>
      <c r="G2573" s="26"/>
      <c r="H2573" s="5"/>
    </row>
    <row r="2574" spans="3:8" ht="14.25" customHeight="1">
      <c r="C2574" s="245"/>
      <c r="D2574" s="26"/>
      <c r="E2574" s="26"/>
      <c r="F2574" s="26"/>
      <c r="G2574" s="26"/>
      <c r="H2574" s="5"/>
    </row>
    <row r="2575" spans="3:8" ht="14.25" customHeight="1">
      <c r="C2575" s="245"/>
      <c r="D2575" s="26"/>
      <c r="E2575" s="26"/>
      <c r="F2575" s="26"/>
      <c r="G2575" s="26"/>
      <c r="H2575" s="5"/>
    </row>
    <row r="2576" spans="3:8" ht="14.25" customHeight="1">
      <c r="C2576" s="245"/>
      <c r="D2576" s="26"/>
      <c r="E2576" s="26"/>
      <c r="F2576" s="26"/>
      <c r="G2576" s="26"/>
      <c r="H2576" s="5"/>
    </row>
    <row r="2577" spans="1:46" ht="14.25" customHeight="1">
      <c r="C2577" s="245"/>
      <c r="D2577" s="26"/>
      <c r="E2577" s="26"/>
      <c r="F2577" s="26"/>
      <c r="G2577" s="26"/>
      <c r="H2577" s="5"/>
    </row>
    <row r="2578" spans="1:46" ht="14.25" customHeight="1">
      <c r="C2578" s="245"/>
      <c r="D2578" s="26"/>
      <c r="E2578" s="26"/>
      <c r="F2578" s="26"/>
      <c r="G2578" s="26"/>
      <c r="H2578" s="5"/>
    </row>
    <row r="2579" spans="1:46" ht="14.25" customHeight="1">
      <c r="C2579" s="245"/>
      <c r="D2579" s="26"/>
      <c r="E2579" s="26"/>
      <c r="F2579" s="26"/>
      <c r="G2579" s="26"/>
      <c r="H2579" s="5"/>
    </row>
    <row r="2580" spans="1:46" ht="14.25" customHeight="1">
      <c r="C2580" s="245"/>
      <c r="D2580" s="26"/>
      <c r="E2580" s="26"/>
      <c r="F2580" s="26"/>
      <c r="G2580" s="26"/>
      <c r="H2580" s="5"/>
    </row>
    <row r="2581" spans="1:46" ht="14.25" customHeight="1">
      <c r="C2581" s="245"/>
      <c r="D2581" s="26"/>
      <c r="E2581" s="26"/>
      <c r="F2581" s="26"/>
      <c r="G2581" s="26"/>
      <c r="H2581" s="5"/>
    </row>
    <row r="2582" spans="1:46" ht="14.25" customHeight="1">
      <c r="C2582" s="245"/>
      <c r="D2582" s="26"/>
      <c r="E2582" s="26"/>
      <c r="F2582" s="26"/>
      <c r="G2582" s="26"/>
      <c r="H2582" s="5"/>
    </row>
    <row r="2583" spans="1:46" ht="14.25" customHeight="1">
      <c r="C2583" s="245"/>
      <c r="D2583" s="26"/>
      <c r="E2583" s="26"/>
      <c r="F2583" s="26"/>
      <c r="G2583" s="26"/>
      <c r="H2583" s="5"/>
    </row>
    <row r="2584" spans="1:46" ht="14.25" customHeight="1">
      <c r="C2584" s="245"/>
      <c r="D2584" s="26"/>
      <c r="E2584" s="26"/>
      <c r="F2584" s="26"/>
      <c r="G2584" s="26"/>
      <c r="H2584" s="5"/>
    </row>
    <row r="2585" spans="1:46" ht="14.25" customHeight="1">
      <c r="C2585" s="245"/>
      <c r="D2585" s="26"/>
      <c r="E2585" s="26"/>
      <c r="F2585" s="26"/>
      <c r="G2585" s="26"/>
      <c r="H2585" s="5"/>
    </row>
    <row r="2586" spans="1:46" ht="14.25" customHeight="1">
      <c r="C2586" s="245"/>
      <c r="D2586" s="26"/>
      <c r="E2586" s="26"/>
      <c r="F2586" s="26"/>
      <c r="G2586" s="26"/>
      <c r="H2586" s="5"/>
    </row>
    <row r="2587" spans="1:46" ht="14.25" customHeight="1">
      <c r="C2587" s="245"/>
      <c r="D2587" s="26"/>
      <c r="E2587" s="26"/>
      <c r="F2587" s="26"/>
      <c r="G2587" s="26"/>
      <c r="H2587" s="5"/>
    </row>
    <row r="2588" spans="1:46" ht="14.25" customHeight="1">
      <c r="C2588" s="245"/>
      <c r="D2588" s="26"/>
      <c r="E2588" s="26"/>
      <c r="F2588" s="26"/>
      <c r="G2588" s="26"/>
      <c r="H2588" s="5"/>
    </row>
    <row r="2589" spans="1:46" s="8" customFormat="1">
      <c r="B2589" s="471" t="str">
        <f>TITLE!$C$50</f>
        <v>Інші Аксесуари</v>
      </c>
      <c r="C2589" s="451"/>
      <c r="D2589" s="118"/>
      <c r="E2589" s="118"/>
      <c r="F2589" s="118"/>
      <c r="G2589" s="118"/>
      <c r="H2589" s="118"/>
      <c r="I2589" s="121"/>
      <c r="J2589" s="121"/>
      <c r="K2589" s="121"/>
      <c r="L2589" s="121"/>
      <c r="M2589" s="121"/>
      <c r="N2589" s="121"/>
      <c r="O2589" s="121"/>
      <c r="P2589" s="121"/>
      <c r="Q2589" s="121"/>
      <c r="R2589" s="121"/>
      <c r="S2589" s="121"/>
      <c r="T2589" s="456" t="str">
        <f>IF($C$1="ENG",CONCATENATE("up to: ",B2531),CONCATENATE("вгору до: ",B2531))</f>
        <v>вгору до: Дверні Ручки</v>
      </c>
      <c r="U2589" s="456"/>
      <c r="V2589" s="456"/>
      <c r="W2589" s="456"/>
      <c r="AN2589" s="280"/>
      <c r="AO2589" s="280"/>
      <c r="AP2589" s="280"/>
      <c r="AQ2589" s="280"/>
      <c r="AR2589" s="280"/>
      <c r="AS2589" s="280"/>
      <c r="AT2589" s="280"/>
    </row>
    <row r="2590" spans="1:46" s="8" customFormat="1" ht="5.0999999999999996" customHeight="1">
      <c r="C2590" s="424"/>
      <c r="L2590" s="48"/>
      <c r="M2590" s="48"/>
      <c r="N2590" s="48"/>
      <c r="O2590" s="48"/>
      <c r="P2590" s="48"/>
      <c r="Q2590" s="48"/>
      <c r="R2590" s="48"/>
      <c r="S2590" s="48"/>
      <c r="T2590" s="115"/>
      <c r="U2590" s="115"/>
      <c r="V2590" s="115"/>
      <c r="W2590" s="115"/>
      <c r="AN2590" s="280"/>
      <c r="AO2590" s="280"/>
      <c r="AP2590" s="280"/>
      <c r="AQ2590" s="280"/>
      <c r="AR2590" s="280"/>
      <c r="AS2590" s="280"/>
      <c r="AT2590" s="280"/>
    </row>
    <row r="2591" spans="1:46" ht="24" customHeight="1">
      <c r="A2591" s="8"/>
      <c r="B2591" s="61" t="str">
        <f>IF($C$1="ENG","model","модель")</f>
        <v>модель</v>
      </c>
      <c r="C2591" s="435"/>
      <c r="D2591" s="466" t="str">
        <f>IF($C$1="ENG","price","Ціна")</f>
        <v>Ціна</v>
      </c>
      <c r="E2591" s="467"/>
      <c r="F2591" s="10"/>
      <c r="G2591" s="10"/>
      <c r="H2591" s="10"/>
      <c r="I2591" s="48"/>
      <c r="J2591" s="48"/>
      <c r="K2591" s="48"/>
      <c r="L2591" s="47"/>
      <c r="M2591" s="47"/>
      <c r="N2591" s="47"/>
      <c r="O2591" s="47"/>
      <c r="P2591" s="47"/>
      <c r="Q2591" s="47"/>
      <c r="R2591" s="47"/>
      <c r="S2591" s="47"/>
    </row>
    <row r="2592" spans="1:46" ht="34.5" customHeight="1">
      <c r="A2592" s="8"/>
      <c r="B2592" s="13" t="str">
        <f>IF($C$1="ENG","Door Lock STANDARD","Замок STANDARD")</f>
        <v>Замок STANDARD</v>
      </c>
      <c r="C2592" s="436"/>
      <c r="D2592" s="15">
        <f t="shared" ref="D2592:D2595" si="419">IF(AC2592="","",(1-$W$2)*(AC2592/1.2))</f>
        <v>333.33333333333337</v>
      </c>
      <c r="E2592" s="64">
        <f t="shared" ref="E2592:E2595" si="420">IF($W$5=0.2,D2592*1.2,D2592)/$W$4</f>
        <v>400.00000000000006</v>
      </c>
      <c r="F2592" s="62"/>
      <c r="G2592" s="47"/>
      <c r="H2592" s="47"/>
      <c r="I2592" s="47"/>
      <c r="J2592" s="47"/>
      <c r="K2592" s="47"/>
      <c r="L2592" s="28"/>
      <c r="M2592" s="59"/>
      <c r="N2592" s="28"/>
      <c r="O2592" s="29"/>
      <c r="P2592" s="28"/>
      <c r="Q2592" s="59"/>
      <c r="R2592" s="28"/>
      <c r="S2592" s="29"/>
      <c r="T2592" s="42"/>
      <c r="U2592" s="30"/>
      <c r="W2592" s="20"/>
      <c r="X2592" s="22"/>
      <c r="Y2592" s="22"/>
      <c r="Z2592" s="22"/>
      <c r="AA2592" s="22"/>
      <c r="AB2592" s="22"/>
      <c r="AC2592" s="332">
        <v>400.00000000000006</v>
      </c>
      <c r="AD2592" s="289"/>
      <c r="AE2592" s="289"/>
      <c r="AF2592" s="289"/>
      <c r="AG2592" s="289"/>
      <c r="AH2592" s="289"/>
      <c r="AI2592" s="289"/>
      <c r="AJ2592" s="289"/>
      <c r="AK2592" s="289"/>
      <c r="AL2592" s="289"/>
    </row>
    <row r="2593" spans="1:38" ht="34.5" customHeight="1">
      <c r="A2593" s="8"/>
      <c r="B2593" s="16" t="str">
        <f>IF($C$1="ENG","Door hinge for rabbit door","завіса штирьова")</f>
        <v>завіса штирьова</v>
      </c>
      <c r="C2593" s="437"/>
      <c r="D2593" s="18">
        <f t="shared" si="419"/>
        <v>100</v>
      </c>
      <c r="E2593" s="66">
        <f t="shared" si="420"/>
        <v>120</v>
      </c>
      <c r="F2593" s="65"/>
      <c r="G2593" s="59"/>
      <c r="H2593" s="105"/>
      <c r="I2593" s="106"/>
      <c r="J2593" s="28"/>
      <c r="K2593" s="29"/>
      <c r="L2593" s="28"/>
      <c r="M2593" s="59"/>
      <c r="N2593" s="28"/>
      <c r="O2593" s="29"/>
      <c r="P2593" s="28"/>
      <c r="Q2593" s="59"/>
      <c r="R2593" s="28"/>
      <c r="S2593" s="29"/>
      <c r="T2593" s="42"/>
      <c r="U2593" s="30"/>
      <c r="W2593" s="30"/>
      <c r="AC2593" s="332">
        <v>120</v>
      </c>
      <c r="AD2593" s="289"/>
      <c r="AE2593" s="289"/>
      <c r="AF2593" s="289"/>
      <c r="AG2593" s="289"/>
      <c r="AH2593" s="289"/>
      <c r="AI2593" s="289"/>
      <c r="AJ2593" s="289"/>
      <c r="AK2593" s="289"/>
      <c r="AL2593" s="289"/>
    </row>
    <row r="2594" spans="1:38" ht="34.5" customHeight="1">
      <c r="A2594" s="8"/>
      <c r="B2594" s="16" t="str">
        <f>IF($C$1="ENG","Door lock hatch","відповідна планка")</f>
        <v>відповідна планка</v>
      </c>
      <c r="C2594" s="437"/>
      <c r="D2594" s="18">
        <f t="shared" si="419"/>
        <v>100</v>
      </c>
      <c r="E2594" s="66">
        <f t="shared" si="420"/>
        <v>120</v>
      </c>
      <c r="F2594" s="65"/>
      <c r="G2594" s="59"/>
      <c r="H2594" s="105"/>
      <c r="I2594" s="106"/>
      <c r="J2594" s="28"/>
      <c r="K2594" s="29"/>
      <c r="L2594" s="28"/>
      <c r="M2594" s="59"/>
      <c r="N2594" s="28"/>
      <c r="O2594" s="29"/>
      <c r="P2594" s="28"/>
      <c r="Q2594" s="59"/>
      <c r="R2594" s="28"/>
      <c r="S2594" s="29"/>
      <c r="T2594" s="42"/>
      <c r="U2594" s="30"/>
      <c r="W2594" s="30"/>
      <c r="AC2594" s="332">
        <v>120</v>
      </c>
      <c r="AD2594" s="289"/>
      <c r="AE2594" s="289"/>
      <c r="AF2594" s="289"/>
      <c r="AG2594" s="289"/>
      <c r="AH2594" s="289"/>
      <c r="AI2594" s="289"/>
      <c r="AJ2594" s="289"/>
      <c r="AK2594" s="289"/>
      <c r="AL2594" s="289"/>
    </row>
    <row r="2595" spans="1:38" ht="34.5" customHeight="1">
      <c r="B2595" s="23" t="str">
        <f>IF($C$1="ENG","Door lock latch","Шпінгалет")</f>
        <v>Шпінгалет</v>
      </c>
      <c r="C2595" s="438"/>
      <c r="D2595" s="68">
        <f t="shared" si="419"/>
        <v>166.66666666666669</v>
      </c>
      <c r="E2595" s="69">
        <f t="shared" si="420"/>
        <v>200.00000000000003</v>
      </c>
      <c r="F2595" s="65"/>
      <c r="G2595" s="59"/>
      <c r="H2595" s="105"/>
      <c r="I2595" s="106"/>
      <c r="J2595" s="28"/>
      <c r="K2595" s="29"/>
      <c r="AC2595" s="332">
        <v>200.00000000000003</v>
      </c>
      <c r="AD2595" s="289"/>
      <c r="AE2595" s="289"/>
      <c r="AF2595" s="289"/>
      <c r="AG2595" s="289"/>
      <c r="AH2595" s="289"/>
      <c r="AI2595" s="289"/>
      <c r="AJ2595" s="289"/>
      <c r="AK2595" s="289"/>
      <c r="AL2595" s="289"/>
    </row>
    <row r="2596" spans="1:38" ht="14.25" customHeight="1">
      <c r="F2596" s="26"/>
      <c r="G2596" s="59"/>
      <c r="H2596" s="105"/>
      <c r="I2596" s="106"/>
    </row>
    <row r="2597" spans="1:38" ht="14.25" customHeight="1">
      <c r="C2597" s="245"/>
      <c r="D2597" s="26"/>
      <c r="E2597" s="26"/>
      <c r="F2597" s="26"/>
      <c r="G2597" s="26"/>
      <c r="H2597" s="5"/>
    </row>
    <row r="2598" spans="1:38" ht="14.25" customHeight="1">
      <c r="C2598" s="245"/>
      <c r="D2598" s="26"/>
      <c r="E2598" s="26"/>
      <c r="F2598" s="26"/>
      <c r="G2598" s="26"/>
      <c r="H2598" s="5"/>
    </row>
    <row r="2599" spans="1:38">
      <c r="C2599" s="245"/>
      <c r="D2599" s="26"/>
      <c r="E2599" s="26"/>
      <c r="F2599" s="26"/>
      <c r="G2599" s="26"/>
      <c r="H2599" s="5"/>
    </row>
    <row r="2600" spans="1:38">
      <c r="C2600" s="245"/>
      <c r="D2600" s="26"/>
      <c r="E2600" s="26"/>
    </row>
    <row r="2601" spans="1:38">
      <c r="C2601" s="245"/>
      <c r="D2601" s="26"/>
      <c r="E2601" s="26"/>
    </row>
  </sheetData>
  <sheetProtection password="DB76" sheet="1" objects="1" scenarios="1" insertColumns="0" insertRows="0" deleteColumns="0"/>
  <mergeCells count="957">
    <mergeCell ref="B183:C183"/>
    <mergeCell ref="B982:C982"/>
    <mergeCell ref="B1055:C1055"/>
    <mergeCell ref="B1647:C1647"/>
    <mergeCell ref="B680:C680"/>
    <mergeCell ref="S114:W114"/>
    <mergeCell ref="H1992:I1992"/>
    <mergeCell ref="H1993:I1993"/>
    <mergeCell ref="H1994:I1994"/>
    <mergeCell ref="L1335:M1335"/>
    <mergeCell ref="L1336:M1336"/>
    <mergeCell ref="L1337:M1337"/>
    <mergeCell ref="L1409:M1409"/>
    <mergeCell ref="L1410:M1410"/>
    <mergeCell ref="L1411:M1411"/>
    <mergeCell ref="L1190:M1190"/>
    <mergeCell ref="L738:M738"/>
    <mergeCell ref="L739:M739"/>
    <mergeCell ref="L740:M740"/>
    <mergeCell ref="L811:M811"/>
    <mergeCell ref="L812:M812"/>
    <mergeCell ref="L813:M813"/>
    <mergeCell ref="H166:I166"/>
    <mergeCell ref="H167:I167"/>
    <mergeCell ref="N2326:O2326"/>
    <mergeCell ref="L1926:M1926"/>
    <mergeCell ref="L1927:M1927"/>
    <mergeCell ref="L2058:M2058"/>
    <mergeCell ref="L2255:O2255"/>
    <mergeCell ref="L2257:O2257"/>
    <mergeCell ref="L2258:M2258"/>
    <mergeCell ref="L2059:M2059"/>
    <mergeCell ref="L2115:O2115"/>
    <mergeCell ref="L2117:O2117"/>
    <mergeCell ref="L2185:O2185"/>
    <mergeCell ref="L2186:M2186"/>
    <mergeCell ref="N2186:O2186"/>
    <mergeCell ref="L2118:M2118"/>
    <mergeCell ref="N2118:O2118"/>
    <mergeCell ref="L2183:O2183"/>
    <mergeCell ref="L2323:O2323"/>
    <mergeCell ref="L2325:O2325"/>
    <mergeCell ref="L2398:M2398"/>
    <mergeCell ref="L2455:M2455"/>
    <mergeCell ref="L2326:M2326"/>
    <mergeCell ref="N7:O7"/>
    <mergeCell ref="L1559:M1559"/>
    <mergeCell ref="B387:C387"/>
    <mergeCell ref="B370:B372"/>
    <mergeCell ref="D370:E370"/>
    <mergeCell ref="D371:E371"/>
    <mergeCell ref="D372:E372"/>
    <mergeCell ref="B1923:C1923"/>
    <mergeCell ref="B313:C313"/>
    <mergeCell ref="B314:C314"/>
    <mergeCell ref="B316:C316"/>
    <mergeCell ref="B317:C317"/>
    <mergeCell ref="B315:C315"/>
    <mergeCell ref="B382:C382"/>
    <mergeCell ref="B384:C384"/>
    <mergeCell ref="B385:C385"/>
    <mergeCell ref="B386:C386"/>
    <mergeCell ref="L7:M7"/>
    <mergeCell ref="L963:M963"/>
    <mergeCell ref="L964:M964"/>
    <mergeCell ref="L1191:M1191"/>
    <mergeCell ref="L2456:M2456"/>
    <mergeCell ref="H293:I293"/>
    <mergeCell ref="H294:I294"/>
    <mergeCell ref="H295:I295"/>
    <mergeCell ref="H1407:I1407"/>
    <mergeCell ref="J1337:K1337"/>
    <mergeCell ref="J811:K811"/>
    <mergeCell ref="L520:M520"/>
    <mergeCell ref="H1705:I1705"/>
    <mergeCell ref="J1559:K1559"/>
    <mergeCell ref="J520:K520"/>
    <mergeCell ref="H663:I663"/>
    <mergeCell ref="J2455:K2455"/>
    <mergeCell ref="J1782:K1782"/>
    <mergeCell ref="J1783:K1783"/>
    <mergeCell ref="J448:K448"/>
    <mergeCell ref="H448:I448"/>
    <mergeCell ref="L2397:M2397"/>
    <mergeCell ref="L521:M521"/>
    <mergeCell ref="L593:M593"/>
    <mergeCell ref="L594:M594"/>
    <mergeCell ref="L595:M595"/>
    <mergeCell ref="H884:I884"/>
    <mergeCell ref="H1040:I1040"/>
    <mergeCell ref="F293:G293"/>
    <mergeCell ref="D294:E294"/>
    <mergeCell ref="F13:G13"/>
    <mergeCell ref="F14:G14"/>
    <mergeCell ref="F92:G92"/>
    <mergeCell ref="F93:G93"/>
    <mergeCell ref="F94:G94"/>
    <mergeCell ref="B103:C103"/>
    <mergeCell ref="D93:E93"/>
    <mergeCell ref="D92:E92"/>
    <mergeCell ref="B92:B94"/>
    <mergeCell ref="B100:C100"/>
    <mergeCell ref="B110:C110"/>
    <mergeCell ref="B28:C28"/>
    <mergeCell ref="B29:C29"/>
    <mergeCell ref="D13:E13"/>
    <mergeCell ref="B38:C38"/>
    <mergeCell ref="B32:C32"/>
    <mergeCell ref="B30:C30"/>
    <mergeCell ref="B111:C111"/>
    <mergeCell ref="B177:C177"/>
    <mergeCell ref="B190:C190"/>
    <mergeCell ref="B179:C179"/>
    <mergeCell ref="B293:B295"/>
    <mergeCell ref="B113:C113"/>
    <mergeCell ref="B187:C187"/>
    <mergeCell ref="B178:C178"/>
    <mergeCell ref="B378:C378"/>
    <mergeCell ref="B164:E164"/>
    <mergeCell ref="B112:C112"/>
    <mergeCell ref="B182:C182"/>
    <mergeCell ref="B184:C184"/>
    <mergeCell ref="B166:B168"/>
    <mergeCell ref="B191:C191"/>
    <mergeCell ref="D168:E168"/>
    <mergeCell ref="D167:E167"/>
    <mergeCell ref="B291:C291"/>
    <mergeCell ref="B181:C181"/>
    <mergeCell ref="B186:C186"/>
    <mergeCell ref="B180:C180"/>
    <mergeCell ref="B188:C188"/>
    <mergeCell ref="B189:C189"/>
    <mergeCell ref="B305:C305"/>
    <mergeCell ref="B304:C304"/>
    <mergeCell ref="B306:C306"/>
    <mergeCell ref="B308:C308"/>
    <mergeCell ref="B307:C307"/>
    <mergeCell ref="B311:C311"/>
    <mergeCell ref="B380:C380"/>
    <mergeCell ref="B379:C379"/>
    <mergeCell ref="B466:C466"/>
    <mergeCell ref="B312:C312"/>
    <mergeCell ref="B530:C530"/>
    <mergeCell ref="B532:C532"/>
    <mergeCell ref="B310:C310"/>
    <mergeCell ref="B460:C460"/>
    <mergeCell ref="B462:C462"/>
    <mergeCell ref="B519:B521"/>
    <mergeCell ref="B517:C517"/>
    <mergeCell ref="B389:C389"/>
    <mergeCell ref="B377:C377"/>
    <mergeCell ref="B402:C402"/>
    <mergeCell ref="B415:C415"/>
    <mergeCell ref="B416:C416"/>
    <mergeCell ref="B417:C417"/>
    <mergeCell ref="B418:C418"/>
    <mergeCell ref="B420:C420"/>
    <mergeCell ref="B422:C422"/>
    <mergeCell ref="B423:C423"/>
    <mergeCell ref="B424:C424"/>
    <mergeCell ref="B425:C425"/>
    <mergeCell ref="B426:C426"/>
    <mergeCell ref="B908:C908"/>
    <mergeCell ref="B897:C897"/>
    <mergeCell ref="B962:B964"/>
    <mergeCell ref="B986:C986"/>
    <mergeCell ref="B1052:C1052"/>
    <mergeCell ref="B981:C981"/>
    <mergeCell ref="B978:C978"/>
    <mergeCell ref="B983:C983"/>
    <mergeCell ref="B979:C979"/>
    <mergeCell ref="B899:C899"/>
    <mergeCell ref="B882:C882"/>
    <mergeCell ref="B960:C960"/>
    <mergeCell ref="B975:C975"/>
    <mergeCell ref="B905:C905"/>
    <mergeCell ref="B906:C906"/>
    <mergeCell ref="D885:E885"/>
    <mergeCell ref="B1058:C1058"/>
    <mergeCell ref="B1056:C1056"/>
    <mergeCell ref="B1049:C1049"/>
    <mergeCell ref="B1050:C1050"/>
    <mergeCell ref="B1048:C1048"/>
    <mergeCell ref="B985:C985"/>
    <mergeCell ref="B980:C980"/>
    <mergeCell ref="B1053:C1053"/>
    <mergeCell ref="B901:C901"/>
    <mergeCell ref="B904:C904"/>
    <mergeCell ref="D964:E964"/>
    <mergeCell ref="D886:E886"/>
    <mergeCell ref="D963:E963"/>
    <mergeCell ref="D962:E962"/>
    <mergeCell ref="B909:C909"/>
    <mergeCell ref="B898:C898"/>
    <mergeCell ref="B896:C896"/>
    <mergeCell ref="B907:C907"/>
    <mergeCell ref="B456:C456"/>
    <mergeCell ref="B528:C528"/>
    <mergeCell ref="B538:C538"/>
    <mergeCell ref="B539:C539"/>
    <mergeCell ref="B540:C540"/>
    <mergeCell ref="B593:B595"/>
    <mergeCell ref="B612:C612"/>
    <mergeCell ref="B679:C679"/>
    <mergeCell ref="B683:C683"/>
    <mergeCell ref="B674:C674"/>
    <mergeCell ref="B534:C534"/>
    <mergeCell ref="B677:C677"/>
    <mergeCell ref="B675:C675"/>
    <mergeCell ref="B665:B667"/>
    <mergeCell ref="B1555:C1555"/>
    <mergeCell ref="B1492:C1492"/>
    <mergeCell ref="B974:C974"/>
    <mergeCell ref="B976:C976"/>
    <mergeCell ref="B809:C809"/>
    <mergeCell ref="B738:B740"/>
    <mergeCell ref="B1420:C1420"/>
    <mergeCell ref="F1559:G1559"/>
    <mergeCell ref="B747:C747"/>
    <mergeCell ref="B748:C748"/>
    <mergeCell ref="B750:C750"/>
    <mergeCell ref="B746:C746"/>
    <mergeCell ref="B831:C831"/>
    <mergeCell ref="B823:C823"/>
    <mergeCell ref="B825:C825"/>
    <mergeCell ref="B827:C827"/>
    <mergeCell ref="B828:C828"/>
    <mergeCell ref="B829:C829"/>
    <mergeCell ref="B830:C830"/>
    <mergeCell ref="B821:C821"/>
    <mergeCell ref="B811:B813"/>
    <mergeCell ref="B822:C822"/>
    <mergeCell ref="B826:C826"/>
    <mergeCell ref="B884:B886"/>
    <mergeCell ref="B1575:C1575"/>
    <mergeCell ref="B1567:C1567"/>
    <mergeCell ref="B1632:B1634"/>
    <mergeCell ref="H1706:I1706"/>
    <mergeCell ref="B736:C736"/>
    <mergeCell ref="B1421:C1421"/>
    <mergeCell ref="B1630:C1630"/>
    <mergeCell ref="D1484:E1484"/>
    <mergeCell ref="D1634:E1634"/>
    <mergeCell ref="B1494:C1494"/>
    <mergeCell ref="B1495:C1495"/>
    <mergeCell ref="B1428:C1428"/>
    <mergeCell ref="B1424:C1424"/>
    <mergeCell ref="B1422:C1422"/>
    <mergeCell ref="B1426:C1426"/>
    <mergeCell ref="B1429:C1429"/>
    <mergeCell ref="B1430:C1430"/>
    <mergeCell ref="B1570:C1570"/>
    <mergeCell ref="B1423:C1423"/>
    <mergeCell ref="B1497:C1497"/>
    <mergeCell ref="B1572:C1572"/>
    <mergeCell ref="B1483:B1485"/>
    <mergeCell ref="D1483:E1483"/>
    <mergeCell ref="B1496:C1496"/>
    <mergeCell ref="B1868:C1868"/>
    <mergeCell ref="H1783:I1783"/>
    <mergeCell ref="H1784:I1784"/>
    <mergeCell ref="T1855:W1855"/>
    <mergeCell ref="B1855:C1855"/>
    <mergeCell ref="D1784:E1784"/>
    <mergeCell ref="B1801:C1801"/>
    <mergeCell ref="B1802:C1802"/>
    <mergeCell ref="B1803:C1803"/>
    <mergeCell ref="B1795:C1795"/>
    <mergeCell ref="T1805:W1805"/>
    <mergeCell ref="D1783:E1783"/>
    <mergeCell ref="B1798:C1798"/>
    <mergeCell ref="T960:W960"/>
    <mergeCell ref="T809:W809"/>
    <mergeCell ref="F1782:G1782"/>
    <mergeCell ref="H1634:I1634"/>
    <mergeCell ref="L1192:M1192"/>
    <mergeCell ref="L1262:M1262"/>
    <mergeCell ref="L1263:M1263"/>
    <mergeCell ref="L962:M962"/>
    <mergeCell ref="T988:W988"/>
    <mergeCell ref="T1580:W1580"/>
    <mergeCell ref="F1337:G1337"/>
    <mergeCell ref="F1190:G1190"/>
    <mergeCell ref="J1634:K1634"/>
    <mergeCell ref="F1409:G1409"/>
    <mergeCell ref="J1409:K1409"/>
    <mergeCell ref="H1411:I1411"/>
    <mergeCell ref="J1411:K1411"/>
    <mergeCell ref="H1337:I1337"/>
    <mergeCell ref="H1782:I1782"/>
    <mergeCell ref="H1707:I1707"/>
    <mergeCell ref="F1707:G1707"/>
    <mergeCell ref="D1633:I1633"/>
    <mergeCell ref="H1559:I1559"/>
    <mergeCell ref="F1634:G1634"/>
    <mergeCell ref="T1431:W1431"/>
    <mergeCell ref="T1555:W1555"/>
    <mergeCell ref="F1557:G1557"/>
    <mergeCell ref="H1557:I1557"/>
    <mergeCell ref="J1557:K1557"/>
    <mergeCell ref="T1630:W1630"/>
    <mergeCell ref="L1113:M1113"/>
    <mergeCell ref="L1114:M1114"/>
    <mergeCell ref="L1115:M1115"/>
    <mergeCell ref="H1558:I1558"/>
    <mergeCell ref="L1483:M1483"/>
    <mergeCell ref="L1484:M1484"/>
    <mergeCell ref="L1485:M1485"/>
    <mergeCell ref="L1557:M1557"/>
    <mergeCell ref="L1558:M1558"/>
    <mergeCell ref="J1483:K1483"/>
    <mergeCell ref="H1483:I1483"/>
    <mergeCell ref="H1484:I1484"/>
    <mergeCell ref="J1558:K1558"/>
    <mergeCell ref="H1555:I1555"/>
    <mergeCell ref="F1411:G1411"/>
    <mergeCell ref="F1410:G1410"/>
    <mergeCell ref="L1264:M1264"/>
    <mergeCell ref="F1483:G1483"/>
    <mergeCell ref="T1061:W1061"/>
    <mergeCell ref="T1188:W1188"/>
    <mergeCell ref="D1190:E1190"/>
    <mergeCell ref="L1040:M1040"/>
    <mergeCell ref="L1041:M1041"/>
    <mergeCell ref="L1042:M1042"/>
    <mergeCell ref="B1038:C1038"/>
    <mergeCell ref="H1038:I1038"/>
    <mergeCell ref="B1040:B1042"/>
    <mergeCell ref="D1040:E1040"/>
    <mergeCell ref="J1114:K1114"/>
    <mergeCell ref="J1115:K1115"/>
    <mergeCell ref="D1113:E1113"/>
    <mergeCell ref="T1111:W1111"/>
    <mergeCell ref="F1115:G1115"/>
    <mergeCell ref="D1114:E1114"/>
    <mergeCell ref="D1115:E1115"/>
    <mergeCell ref="D1041:E1041"/>
    <mergeCell ref="F1113:G1113"/>
    <mergeCell ref="B1059:C1059"/>
    <mergeCell ref="F1336:G1336"/>
    <mergeCell ref="H1336:I1336"/>
    <mergeCell ref="B1273:C1273"/>
    <mergeCell ref="B1051:C1051"/>
    <mergeCell ref="B1126:C1126"/>
    <mergeCell ref="F1191:G1191"/>
    <mergeCell ref="F1114:G1114"/>
    <mergeCell ref="B1130:C1130"/>
    <mergeCell ref="B1275:C1275"/>
    <mergeCell ref="F964:G964"/>
    <mergeCell ref="B977:C977"/>
    <mergeCell ref="D1042:E1042"/>
    <mergeCell ref="F1042:G1042"/>
    <mergeCell ref="H1042:I1042"/>
    <mergeCell ref="B1057:C1057"/>
    <mergeCell ref="F1262:G1262"/>
    <mergeCell ref="H1262:I1262"/>
    <mergeCell ref="F1263:G1263"/>
    <mergeCell ref="H1263:I1263"/>
    <mergeCell ref="B1125:C1125"/>
    <mergeCell ref="B1131:C1131"/>
    <mergeCell ref="B1133:C1133"/>
    <mergeCell ref="H964:I964"/>
    <mergeCell ref="F1484:G1484"/>
    <mergeCell ref="B1576:C1576"/>
    <mergeCell ref="H1481:I1481"/>
    <mergeCell ref="B1574:C1574"/>
    <mergeCell ref="B1409:B1411"/>
    <mergeCell ref="B1569:C1569"/>
    <mergeCell ref="B1135:C1135"/>
    <mergeCell ref="B1271:C1271"/>
    <mergeCell ref="B1260:C1260"/>
    <mergeCell ref="B1350:C1350"/>
    <mergeCell ref="B1407:C1407"/>
    <mergeCell ref="B1208:C1208"/>
    <mergeCell ref="B1207:C1207"/>
    <mergeCell ref="B1209:C1209"/>
    <mergeCell ref="B1199:C1199"/>
    <mergeCell ref="B1345:C1345"/>
    <mergeCell ref="B1274:C1274"/>
    <mergeCell ref="B1276:C1276"/>
    <mergeCell ref="B1200:C1200"/>
    <mergeCell ref="B1348:C1348"/>
    <mergeCell ref="B1352:C1352"/>
    <mergeCell ref="B1353:C1353"/>
    <mergeCell ref="B1354:C1354"/>
    <mergeCell ref="B1355:C1355"/>
    <mergeCell ref="J1484:K1484"/>
    <mergeCell ref="J1705:K1705"/>
    <mergeCell ref="J1706:K1706"/>
    <mergeCell ref="F1706:G1706"/>
    <mergeCell ref="B1349:C1349"/>
    <mergeCell ref="B1111:C1111"/>
    <mergeCell ref="B1278:C1278"/>
    <mergeCell ref="B1279:C1279"/>
    <mergeCell ref="B1280:C1280"/>
    <mergeCell ref="B1344:C1344"/>
    <mergeCell ref="B1281:C1281"/>
    <mergeCell ref="B1282:C1282"/>
    <mergeCell ref="B1333:C1333"/>
    <mergeCell ref="B1335:B1337"/>
    <mergeCell ref="B1270:C1270"/>
    <mergeCell ref="B1201:C1201"/>
    <mergeCell ref="B1203:C1203"/>
    <mergeCell ref="B1127:C1127"/>
    <mergeCell ref="B1129:C1129"/>
    <mergeCell ref="B1204:C1204"/>
    <mergeCell ref="B1188:C1188"/>
    <mergeCell ref="B1190:B1192"/>
    <mergeCell ref="B1568:C1568"/>
    <mergeCell ref="B1347:C1347"/>
    <mergeCell ref="T1780:W1780"/>
    <mergeCell ref="B1857:B1859"/>
    <mergeCell ref="D1858:E1858"/>
    <mergeCell ref="D1859:E1859"/>
    <mergeCell ref="B1573:C1573"/>
    <mergeCell ref="B1797:C1797"/>
    <mergeCell ref="B1782:B1784"/>
    <mergeCell ref="J1707:K1707"/>
    <mergeCell ref="J1485:K1485"/>
    <mergeCell ref="T1703:W1703"/>
    <mergeCell ref="B1493:C1493"/>
    <mergeCell ref="U1653:W1653"/>
    <mergeCell ref="B1727:C1727"/>
    <mergeCell ref="B1571:C1571"/>
    <mergeCell ref="D1559:E1559"/>
    <mergeCell ref="B1652:C1652"/>
    <mergeCell ref="B1726:C1726"/>
    <mergeCell ref="D1705:E1705"/>
    <mergeCell ref="F1705:G1705"/>
    <mergeCell ref="B1557:B1559"/>
    <mergeCell ref="D1557:E1557"/>
    <mergeCell ref="D1558:E1558"/>
    <mergeCell ref="D1632:I1632"/>
    <mergeCell ref="B1577:C1577"/>
    <mergeCell ref="B1870:C1870"/>
    <mergeCell ref="B2058:B2059"/>
    <mergeCell ref="B2003:C2003"/>
    <mergeCell ref="B1869:C1869"/>
    <mergeCell ref="P2257:S2257"/>
    <mergeCell ref="N2258:O2258"/>
    <mergeCell ref="R2258:S2258"/>
    <mergeCell ref="B1871:C1871"/>
    <mergeCell ref="F1783:G1783"/>
    <mergeCell ref="J1784:K1784"/>
    <mergeCell ref="S1923:W1923"/>
    <mergeCell ref="T1940:W1940"/>
    <mergeCell ref="B1936:C1936"/>
    <mergeCell ref="H1925:I1925"/>
    <mergeCell ref="J1925:K1925"/>
    <mergeCell ref="H1926:I1926"/>
    <mergeCell ref="J1926:K1926"/>
    <mergeCell ref="H1927:I1927"/>
    <mergeCell ref="J1927:K1927"/>
    <mergeCell ref="B1925:B1927"/>
    <mergeCell ref="B1938:C1938"/>
    <mergeCell ref="B1937:C1937"/>
    <mergeCell ref="D1927:E1927"/>
    <mergeCell ref="F1927:G1927"/>
    <mergeCell ref="T1873:W1873"/>
    <mergeCell ref="L1925:M1925"/>
    <mergeCell ref="J2258:K2258"/>
    <mergeCell ref="P2185:S2185"/>
    <mergeCell ref="T2056:W2056"/>
    <mergeCell ref="P2115:S2115"/>
    <mergeCell ref="H2058:I2058"/>
    <mergeCell ref="H2056:I2056"/>
    <mergeCell ref="J2058:K2058"/>
    <mergeCell ref="J2059:K2059"/>
    <mergeCell ref="P2117:S2117"/>
    <mergeCell ref="T2065:W2065"/>
    <mergeCell ref="T2006:W2006"/>
    <mergeCell ref="F2118:G2118"/>
    <mergeCell ref="F2186:G2186"/>
    <mergeCell ref="H2258:I2258"/>
    <mergeCell ref="J2186:K2186"/>
    <mergeCell ref="R2118:S2118"/>
    <mergeCell ref="P2118:Q2118"/>
    <mergeCell ref="B1872:C1872"/>
    <mergeCell ref="B1873:C1873"/>
    <mergeCell ref="B1939:C1939"/>
    <mergeCell ref="B2004:C2004"/>
    <mergeCell ref="D1925:E1925"/>
    <mergeCell ref="P2326:Q2326"/>
    <mergeCell ref="R2326:S2326"/>
    <mergeCell ref="P2323:S2323"/>
    <mergeCell ref="T2323:W2323"/>
    <mergeCell ref="T2326:U2326"/>
    <mergeCell ref="T2117:W2117"/>
    <mergeCell ref="T2118:U2118"/>
    <mergeCell ref="V2118:W2118"/>
    <mergeCell ref="B1990:C1990"/>
    <mergeCell ref="D1992:E1992"/>
    <mergeCell ref="D1994:E1994"/>
    <mergeCell ref="D1993:E1993"/>
    <mergeCell ref="D2186:E2186"/>
    <mergeCell ref="D2185:G2185"/>
    <mergeCell ref="D2118:E2118"/>
    <mergeCell ref="F1993:G1993"/>
    <mergeCell ref="P2183:S2183"/>
    <mergeCell ref="P2325:S2325"/>
    <mergeCell ref="T2325:W2325"/>
    <mergeCell ref="T2257:W2257"/>
    <mergeCell ref="P2258:Q2258"/>
    <mergeCell ref="T2273:W2273"/>
    <mergeCell ref="H2059:I2059"/>
    <mergeCell ref="S1990:W1990"/>
    <mergeCell ref="F963:G963"/>
    <mergeCell ref="P2186:Q2186"/>
    <mergeCell ref="R2186:S2186"/>
    <mergeCell ref="P2255:S2255"/>
    <mergeCell ref="T2255:W2255"/>
    <mergeCell ref="T1038:W1038"/>
    <mergeCell ref="U1210:W1210"/>
    <mergeCell ref="F1040:G1040"/>
    <mergeCell ref="F1041:G1041"/>
    <mergeCell ref="H1041:I1041"/>
    <mergeCell ref="J1335:K1335"/>
    <mergeCell ref="J963:K963"/>
    <mergeCell ref="T1730:W1730"/>
    <mergeCell ref="J1192:K1192"/>
    <mergeCell ref="T1260:W1260"/>
    <mergeCell ref="T1333:W1333"/>
    <mergeCell ref="U1357:W1357"/>
    <mergeCell ref="T1407:W1407"/>
    <mergeCell ref="U1138:W1138"/>
    <mergeCell ref="T1481:W1481"/>
    <mergeCell ref="U1505:W1505"/>
    <mergeCell ref="U1283:W1283"/>
    <mergeCell ref="T2115:W2115"/>
    <mergeCell ref="J1040:K1040"/>
    <mergeCell ref="T2589:W2589"/>
    <mergeCell ref="T2133:W2133"/>
    <mergeCell ref="T2183:W2183"/>
    <mergeCell ref="T2205:W2205"/>
    <mergeCell ref="T2453:W2453"/>
    <mergeCell ref="T2531:W2531"/>
    <mergeCell ref="T2185:W2185"/>
    <mergeCell ref="T2481:W2481"/>
    <mergeCell ref="T2345:W2345"/>
    <mergeCell ref="T2395:W2395"/>
    <mergeCell ref="T2403:W2403"/>
    <mergeCell ref="T2539:W2539"/>
    <mergeCell ref="V2258:W2258"/>
    <mergeCell ref="V2326:W2326"/>
    <mergeCell ref="V2186:W2186"/>
    <mergeCell ref="T2186:U2186"/>
    <mergeCell ref="T2258:U2258"/>
    <mergeCell ref="T318:W318"/>
    <mergeCell ref="T390:W390"/>
    <mergeCell ref="J812:K812"/>
    <mergeCell ref="J738:K738"/>
    <mergeCell ref="H517:I517"/>
    <mergeCell ref="F594:G594"/>
    <mergeCell ref="J884:K884"/>
    <mergeCell ref="T613:W613"/>
    <mergeCell ref="H740:I740"/>
    <mergeCell ref="J740:K740"/>
    <mergeCell ref="H738:I738"/>
    <mergeCell ref="F738:G738"/>
    <mergeCell ref="F811:G811"/>
    <mergeCell ref="H739:I739"/>
    <mergeCell ref="L665:M665"/>
    <mergeCell ref="L666:M666"/>
    <mergeCell ref="L667:M667"/>
    <mergeCell ref="T736:W736"/>
    <mergeCell ref="T832:W832"/>
    <mergeCell ref="F813:G813"/>
    <mergeCell ref="H813:I813"/>
    <mergeCell ref="J813:K813"/>
    <mergeCell ref="F812:G812"/>
    <mergeCell ref="T686:W686"/>
    <mergeCell ref="J595:K595"/>
    <mergeCell ref="F593:G593"/>
    <mergeCell ref="D594:E594"/>
    <mergeCell ref="H591:I591"/>
    <mergeCell ref="T591:W591"/>
    <mergeCell ref="D665:E665"/>
    <mergeCell ref="H665:I665"/>
    <mergeCell ref="T882:W882"/>
    <mergeCell ref="T910:W910"/>
    <mergeCell ref="T759:W759"/>
    <mergeCell ref="H885:I885"/>
    <mergeCell ref="F884:G884"/>
    <mergeCell ref="H882:I882"/>
    <mergeCell ref="J885:K885"/>
    <mergeCell ref="H886:I886"/>
    <mergeCell ref="H809:I809"/>
    <mergeCell ref="H736:I736"/>
    <mergeCell ref="J739:K739"/>
    <mergeCell ref="D884:E884"/>
    <mergeCell ref="D740:E740"/>
    <mergeCell ref="D739:E739"/>
    <mergeCell ref="H593:I593"/>
    <mergeCell ref="F739:G739"/>
    <mergeCell ref="F740:G740"/>
    <mergeCell ref="D448:E448"/>
    <mergeCell ref="J666:K666"/>
    <mergeCell ref="T663:W663"/>
    <mergeCell ref="T368:W368"/>
    <mergeCell ref="H444:I444"/>
    <mergeCell ref="L446:M446"/>
    <mergeCell ref="L447:M447"/>
    <mergeCell ref="T517:W517"/>
    <mergeCell ref="D519:E519"/>
    <mergeCell ref="F519:G519"/>
    <mergeCell ref="H519:I519"/>
    <mergeCell ref="J519:K519"/>
    <mergeCell ref="D520:E520"/>
    <mergeCell ref="F520:G520"/>
    <mergeCell ref="L519:M519"/>
    <mergeCell ref="D521:E521"/>
    <mergeCell ref="F521:G521"/>
    <mergeCell ref="H521:I521"/>
    <mergeCell ref="J521:K521"/>
    <mergeCell ref="T541:W541"/>
    <mergeCell ref="H595:I595"/>
    <mergeCell ref="T467:W467"/>
    <mergeCell ref="H520:I520"/>
    <mergeCell ref="F665:G665"/>
    <mergeCell ref="B1729:C1729"/>
    <mergeCell ref="B1719:C1719"/>
    <mergeCell ref="B1720:C1720"/>
    <mergeCell ref="B1578:C1578"/>
    <mergeCell ref="B1705:B1707"/>
    <mergeCell ref="B1725:C1725"/>
    <mergeCell ref="B1648:C1648"/>
    <mergeCell ref="B1643:C1643"/>
    <mergeCell ref="B1780:C1780"/>
    <mergeCell ref="B1718:C1718"/>
    <mergeCell ref="B1579:C1579"/>
    <mergeCell ref="B1722:C1722"/>
    <mergeCell ref="D1782:E1782"/>
    <mergeCell ref="B1799:C1799"/>
    <mergeCell ref="B1804:C1804"/>
    <mergeCell ref="B1646:C1646"/>
    <mergeCell ref="B1641:C1641"/>
    <mergeCell ref="B1645:C1645"/>
    <mergeCell ref="B2131:C2131"/>
    <mergeCell ref="F2058:G2058"/>
    <mergeCell ref="J2456:K2456"/>
    <mergeCell ref="D2397:E2397"/>
    <mergeCell ref="F2397:G2397"/>
    <mergeCell ref="H2453:I2453"/>
    <mergeCell ref="D2398:E2398"/>
    <mergeCell ref="D2455:E2455"/>
    <mergeCell ref="F2398:G2398"/>
    <mergeCell ref="J2398:K2398"/>
    <mergeCell ref="B2344:C2344"/>
    <mergeCell ref="J2397:K2397"/>
    <mergeCell ref="B2255:C2255"/>
    <mergeCell ref="E2255:K2255"/>
    <mergeCell ref="B1724:C1724"/>
    <mergeCell ref="B1800:C1800"/>
    <mergeCell ref="B1721:C1721"/>
    <mergeCell ref="B1728:C1728"/>
    <mergeCell ref="H960:I960"/>
    <mergeCell ref="J886:K886"/>
    <mergeCell ref="D738:E738"/>
    <mergeCell ref="H811:I811"/>
    <mergeCell ref="H812:I812"/>
    <mergeCell ref="B2000:C2000"/>
    <mergeCell ref="H1111:I1111"/>
    <mergeCell ref="H1115:I1115"/>
    <mergeCell ref="H963:I963"/>
    <mergeCell ref="B1992:B1994"/>
    <mergeCell ref="B900:C900"/>
    <mergeCell ref="D812:E812"/>
    <mergeCell ref="B1205:C1205"/>
    <mergeCell ref="B1206:C1206"/>
    <mergeCell ref="J1041:K1041"/>
    <mergeCell ref="J1042:K1042"/>
    <mergeCell ref="D1410:E1410"/>
    <mergeCell ref="D1263:E1263"/>
    <mergeCell ref="J962:K962"/>
    <mergeCell ref="J1262:K1262"/>
    <mergeCell ref="D1337:E1337"/>
    <mergeCell ref="D1192:E1192"/>
    <mergeCell ref="J964:K964"/>
    <mergeCell ref="D1191:E1191"/>
    <mergeCell ref="T192:W192"/>
    <mergeCell ref="L448:M448"/>
    <mergeCell ref="L884:M884"/>
    <mergeCell ref="L885:M885"/>
    <mergeCell ref="L886:M886"/>
    <mergeCell ref="H447:I447"/>
    <mergeCell ref="F446:G446"/>
    <mergeCell ref="D447:E447"/>
    <mergeCell ref="B608:C608"/>
    <mergeCell ref="B609:C609"/>
    <mergeCell ref="B610:C610"/>
    <mergeCell ref="B663:C663"/>
    <mergeCell ref="B673:C673"/>
    <mergeCell ref="B388:C388"/>
    <mergeCell ref="B601:C601"/>
    <mergeCell ref="B602:C602"/>
    <mergeCell ref="B536:C536"/>
    <mergeCell ref="B537:C537"/>
    <mergeCell ref="D293:E293"/>
    <mergeCell ref="H446:I446"/>
    <mergeCell ref="B531:C531"/>
    <mergeCell ref="B591:C591"/>
    <mergeCell ref="B529:C529"/>
    <mergeCell ref="F448:G448"/>
    <mergeCell ref="B2589:C2589"/>
    <mergeCell ref="B2531:C2531"/>
    <mergeCell ref="B2064:C2064"/>
    <mergeCell ref="F2059:G2059"/>
    <mergeCell ref="B2056:C2056"/>
    <mergeCell ref="B2115:C2115"/>
    <mergeCell ref="D2059:E2059"/>
    <mergeCell ref="E2115:K2115"/>
    <mergeCell ref="B2453:C2453"/>
    <mergeCell ref="B2272:C2272"/>
    <mergeCell ref="B2183:C2183"/>
    <mergeCell ref="B2132:C2132"/>
    <mergeCell ref="E2183:K2183"/>
    <mergeCell ref="D2117:G2117"/>
    <mergeCell ref="B2323:C2323"/>
    <mergeCell ref="D2257:G2257"/>
    <mergeCell ref="F2258:G2258"/>
    <mergeCell ref="D2258:E2258"/>
    <mergeCell ref="B2204:C2204"/>
    <mergeCell ref="H2398:I2398"/>
    <mergeCell ref="H2117:K2117"/>
    <mergeCell ref="J2118:K2118"/>
    <mergeCell ref="H2455:I2455"/>
    <mergeCell ref="H2456:I2456"/>
    <mergeCell ref="V7:W7"/>
    <mergeCell ref="B90:C90"/>
    <mergeCell ref="B8:C8"/>
    <mergeCell ref="B7:C7"/>
    <mergeCell ref="B26:C26"/>
    <mergeCell ref="T7:U7"/>
    <mergeCell ref="J7:K7"/>
    <mergeCell ref="P7:Q7"/>
    <mergeCell ref="R7:S7"/>
    <mergeCell ref="B10:E10"/>
    <mergeCell ref="S90:W90"/>
    <mergeCell ref="S40:W40"/>
    <mergeCell ref="D7:E7"/>
    <mergeCell ref="B24:C24"/>
    <mergeCell ref="B27:C27"/>
    <mergeCell ref="B35:C35"/>
    <mergeCell ref="B36:C36"/>
    <mergeCell ref="B39:C39"/>
    <mergeCell ref="B106:C106"/>
    <mergeCell ref="B109:C109"/>
    <mergeCell ref="E4:I4"/>
    <mergeCell ref="F7:G7"/>
    <mergeCell ref="B34:C34"/>
    <mergeCell ref="B108:C108"/>
    <mergeCell ref="B102:C102"/>
    <mergeCell ref="B104:C104"/>
    <mergeCell ref="H7:I7"/>
    <mergeCell ref="D14:E14"/>
    <mergeCell ref="B12:B14"/>
    <mergeCell ref="B25:C25"/>
    <mergeCell ref="B101:C101"/>
    <mergeCell ref="B37:C37"/>
    <mergeCell ref="B31:C31"/>
    <mergeCell ref="B105:C105"/>
    <mergeCell ref="B33:C33"/>
    <mergeCell ref="H962:I962"/>
    <mergeCell ref="J1190:K1190"/>
    <mergeCell ref="J1191:K1191"/>
    <mergeCell ref="J1336:K1336"/>
    <mergeCell ref="J1264:K1264"/>
    <mergeCell ref="J1113:K1113"/>
    <mergeCell ref="H1264:I1264"/>
    <mergeCell ref="H1410:I1410"/>
    <mergeCell ref="J1410:K1410"/>
    <mergeCell ref="H1409:I1409"/>
    <mergeCell ref="H1191:I1191"/>
    <mergeCell ref="H1260:I1260"/>
    <mergeCell ref="H1333:I1333"/>
    <mergeCell ref="H1335:I1335"/>
    <mergeCell ref="H1188:I1188"/>
    <mergeCell ref="H1114:I1114"/>
    <mergeCell ref="J1263:K1263"/>
    <mergeCell ref="E1:K1"/>
    <mergeCell ref="E2:K2"/>
    <mergeCell ref="D94:E94"/>
    <mergeCell ref="J446:K446"/>
    <mergeCell ref="J447:K447"/>
    <mergeCell ref="H667:I667"/>
    <mergeCell ref="H666:I666"/>
    <mergeCell ref="J665:K665"/>
    <mergeCell ref="J667:K667"/>
    <mergeCell ref="F295:G295"/>
    <mergeCell ref="D295:E295"/>
    <mergeCell ref="H168:I168"/>
    <mergeCell ref="F166:G166"/>
    <mergeCell ref="F167:G167"/>
    <mergeCell ref="F294:G294"/>
    <mergeCell ref="D166:E166"/>
    <mergeCell ref="D595:E595"/>
    <mergeCell ref="F595:G595"/>
    <mergeCell ref="D593:E593"/>
    <mergeCell ref="D12:E12"/>
    <mergeCell ref="F12:G12"/>
    <mergeCell ref="J593:K593"/>
    <mergeCell ref="H594:I594"/>
    <mergeCell ref="J594:K594"/>
    <mergeCell ref="D667:E667"/>
    <mergeCell ref="F667:G667"/>
    <mergeCell ref="B611:C611"/>
    <mergeCell ref="B676:C676"/>
    <mergeCell ref="D811:E811"/>
    <mergeCell ref="B685:C685"/>
    <mergeCell ref="B684:C684"/>
    <mergeCell ref="B757:C757"/>
    <mergeCell ref="B758:C758"/>
    <mergeCell ref="B755:C755"/>
    <mergeCell ref="F666:G666"/>
    <mergeCell ref="B753:C753"/>
    <mergeCell ref="B756:C756"/>
    <mergeCell ref="D2533:E2533"/>
    <mergeCell ref="H2397:I2397"/>
    <mergeCell ref="D1485:E1485"/>
    <mergeCell ref="F1485:G1485"/>
    <mergeCell ref="H1485:I1485"/>
    <mergeCell ref="H2186:I2186"/>
    <mergeCell ref="D1706:E1706"/>
    <mergeCell ref="D1707:E1707"/>
    <mergeCell ref="F1784:G1784"/>
    <mergeCell ref="H2118:I2118"/>
    <mergeCell ref="F1992:G1992"/>
    <mergeCell ref="F1994:G1994"/>
    <mergeCell ref="D2058:E2058"/>
    <mergeCell ref="D2456:E2456"/>
    <mergeCell ref="H2395:I2395"/>
    <mergeCell ref="F1925:G1925"/>
    <mergeCell ref="D1926:E1926"/>
    <mergeCell ref="F1926:G1926"/>
    <mergeCell ref="D1857:E1857"/>
    <mergeCell ref="F1558:G1558"/>
    <mergeCell ref="E2323:K2323"/>
    <mergeCell ref="H2326:I2326"/>
    <mergeCell ref="D2325:G2325"/>
    <mergeCell ref="H2325:K2325"/>
    <mergeCell ref="D2591:E2591"/>
    <mergeCell ref="D2326:E2326"/>
    <mergeCell ref="F2455:G2455"/>
    <mergeCell ref="F2456:G2456"/>
    <mergeCell ref="B1498:C1498"/>
    <mergeCell ref="B1500:C1500"/>
    <mergeCell ref="B1501:C1501"/>
    <mergeCell ref="B1502:C1502"/>
    <mergeCell ref="B1796:C1796"/>
    <mergeCell ref="B1703:C1703"/>
    <mergeCell ref="B1723:C1723"/>
    <mergeCell ref="B1651:C1651"/>
    <mergeCell ref="B1649:C1649"/>
    <mergeCell ref="B1642:C1642"/>
    <mergeCell ref="B1650:C1650"/>
    <mergeCell ref="B1503:C1503"/>
    <mergeCell ref="B1504:C1504"/>
    <mergeCell ref="B1644:C1644"/>
    <mergeCell ref="C2399:C2400"/>
    <mergeCell ref="B2395:C2395"/>
    <mergeCell ref="E2197:K2197"/>
    <mergeCell ref="E2337:K2337"/>
    <mergeCell ref="H2185:K2185"/>
    <mergeCell ref="H2257:K2257"/>
    <mergeCell ref="H1192:I1192"/>
    <mergeCell ref="D1262:E1262"/>
    <mergeCell ref="D1264:E1264"/>
    <mergeCell ref="H1190:I1190"/>
    <mergeCell ref="H1113:I1113"/>
    <mergeCell ref="D1335:E1335"/>
    <mergeCell ref="B1262:B1264"/>
    <mergeCell ref="B1137:C1137"/>
    <mergeCell ref="B1132:C1132"/>
    <mergeCell ref="B1198:C1198"/>
    <mergeCell ref="B1134:C1134"/>
    <mergeCell ref="B1202:C1202"/>
    <mergeCell ref="S164:W164"/>
    <mergeCell ref="S291:W291"/>
    <mergeCell ref="B368:E368"/>
    <mergeCell ref="S444:W444"/>
    <mergeCell ref="F168:G168"/>
    <mergeCell ref="F1264:G1264"/>
    <mergeCell ref="F1335:G1335"/>
    <mergeCell ref="B458:C458"/>
    <mergeCell ref="B464:C464"/>
    <mergeCell ref="B903:C903"/>
    <mergeCell ref="B446:B448"/>
    <mergeCell ref="B463:C463"/>
    <mergeCell ref="B465:C465"/>
    <mergeCell ref="F886:G886"/>
    <mergeCell ref="F447:G447"/>
    <mergeCell ref="B457:C457"/>
    <mergeCell ref="B681:C681"/>
    <mergeCell ref="B682:C682"/>
    <mergeCell ref="D666:E666"/>
    <mergeCell ref="D446:E446"/>
    <mergeCell ref="F885:G885"/>
    <mergeCell ref="F962:G962"/>
    <mergeCell ref="T427:W427"/>
    <mergeCell ref="F1192:G1192"/>
    <mergeCell ref="H402:I402"/>
    <mergeCell ref="S402:W402"/>
    <mergeCell ref="B404:B406"/>
    <mergeCell ref="D404:E404"/>
    <mergeCell ref="F404:G404"/>
    <mergeCell ref="D405:E405"/>
    <mergeCell ref="F405:G405"/>
    <mergeCell ref="D406:E406"/>
    <mergeCell ref="F406:G406"/>
    <mergeCell ref="D813:E813"/>
    <mergeCell ref="B1054:C1054"/>
    <mergeCell ref="B1128:C1128"/>
    <mergeCell ref="B1124:C1124"/>
    <mergeCell ref="B902:C902"/>
    <mergeCell ref="B1277:C1277"/>
    <mergeCell ref="B1351:C1351"/>
    <mergeCell ref="B1425:C1425"/>
    <mergeCell ref="B1499:C1499"/>
    <mergeCell ref="B1272:C1272"/>
    <mergeCell ref="B1481:C1481"/>
    <mergeCell ref="B1060:C1060"/>
    <mergeCell ref="B987:C987"/>
    <mergeCell ref="B1113:B1115"/>
    <mergeCell ref="B984:C984"/>
    <mergeCell ref="B1136:C1136"/>
    <mergeCell ref="D1409:E1409"/>
    <mergeCell ref="D1411:E1411"/>
    <mergeCell ref="B1427:C1427"/>
    <mergeCell ref="B1418:C1418"/>
    <mergeCell ref="B1419:C1419"/>
    <mergeCell ref="B1356:C1356"/>
    <mergeCell ref="B1346:C1346"/>
    <mergeCell ref="D1336:E1336"/>
    <mergeCell ref="B309:C309"/>
    <mergeCell ref="B381:C381"/>
    <mergeCell ref="B419:C419"/>
    <mergeCell ref="B459:C459"/>
    <mergeCell ref="B533:C533"/>
    <mergeCell ref="B605:C605"/>
    <mergeCell ref="B678:C678"/>
    <mergeCell ref="B751:C751"/>
    <mergeCell ref="B824:C824"/>
    <mergeCell ref="B603:C603"/>
    <mergeCell ref="B752:C752"/>
    <mergeCell ref="B754:C754"/>
    <mergeCell ref="B749:C749"/>
    <mergeCell ref="B819:C819"/>
    <mergeCell ref="B820:C820"/>
    <mergeCell ref="B604:C604"/>
    <mergeCell ref="B606:C606"/>
    <mergeCell ref="B383:C383"/>
    <mergeCell ref="B421:C421"/>
    <mergeCell ref="B461:C461"/>
    <mergeCell ref="B535:C535"/>
    <mergeCell ref="B607:C607"/>
    <mergeCell ref="B444:C444"/>
    <mergeCell ref="B455:C455"/>
  </mergeCells>
  <phoneticPr fontId="5" type="noConversion"/>
  <dataValidations count="1">
    <dataValidation type="list" allowBlank="1" showInputMessage="1" showErrorMessage="1" sqref="W5">
      <formula1>vat</formula1>
    </dataValidation>
  </dataValidations>
  <hyperlinks>
    <hyperlink ref="B7:C7" location="MENU" display="НА ГЛАВНУЮ"/>
    <hyperlink ref="T2183" location="Frame_Premi" display="Frame_Premi"/>
    <hyperlink ref="T2205" location="Framugi" display="Framugi"/>
    <hyperlink ref="S90" location="Door_Standard" display="Door_Standard"/>
    <hyperlink ref="S164" location="Door_RutaF" display="Door_RutaF"/>
    <hyperlink ref="S444" location="Door_Idea_line" display="Door_Idea_line"/>
    <hyperlink ref="T882" location="Door_Lada" display="Door_Lada"/>
    <hyperlink ref="T960" location="Door_LadaK" display="Door_LadaK"/>
    <hyperlink ref="T1630" location="Door_LadaN" display="Door_LadaN"/>
    <hyperlink ref="T1703" location="Door_Lineya" display="Door_Lineya"/>
    <hyperlink ref="T1780" location="Door_Line" display="Door_Line"/>
    <hyperlink ref="T1855" location="Door_Elegant" display="Door_Elegant"/>
    <hyperlink ref="S1990" location="Door_VertoEleg" display="Door_VertoEleg"/>
    <hyperlink ref="T2115" location="Verto_Slide" display="Verto_Slide"/>
    <hyperlink ref="T2056" location="Door_Dobor" display="Door_Dobor"/>
    <hyperlink ref="T2453" location="Frame_VFit" display="Frame_VFit"/>
    <hyperlink ref="T2065" location="Framugi" display="Framugi"/>
    <hyperlink ref="T2065:W2065" location="Frame_Stand" display="Frame_Stand"/>
    <hyperlink ref="T192:W192" location="Door_Idea" display="Door_Idea"/>
    <hyperlink ref="T318:W318" location="Door_IdeaLoft" display="Door_IdeaLoft"/>
    <hyperlink ref="T467:W467" location="Door_LadaB" display="Door_LadaB"/>
    <hyperlink ref="T910:W910" location="Door_LadaN" display="Door_LadaN"/>
    <hyperlink ref="T988:W988" location="Door_Mira" display="Door_Mira"/>
    <hyperlink ref="U1653:X1653" location="Door_Line" display="Door_Line"/>
    <hyperlink ref="T1730:W1730" location="Door_Elegant" display="Door_Elegant"/>
    <hyperlink ref="T1805:W1805" location="Door_Glasford" display="Door_Glasford"/>
    <hyperlink ref="T2006:W2006" location="Verto_Slide" display="Verto_Slide"/>
    <hyperlink ref="T1873:W1873" location="Door_Dobor_Lada" display="Door_Dobor_Lada"/>
    <hyperlink ref="S1990:W1990" location="Door_Dobor_Lada" display="Door_Dobor_Lada"/>
    <hyperlink ref="T1630:W1630" location="Door_Pollo" display="Door_Pollo"/>
    <hyperlink ref="E1643" location="Door_Lineya" display="Door_Lineya"/>
    <hyperlink ref="T2133:W2133" location="Frame_VFit" display="Frame_VFit"/>
    <hyperlink ref="T2531:W2531" location="Framugi" display="Framugi"/>
    <hyperlink ref="T2539" location="Framugi" display="Framugi"/>
    <hyperlink ref="T2539:W2539" location="Furniture" display="Furniture"/>
    <hyperlink ref="T2481:W2481" location="DoorHandles" display="DoorHandles"/>
    <hyperlink ref="T2589:W2589" location="DoorHandles" display="DoorHandles"/>
    <hyperlink ref="E38" location="DoorHandles" display="см. Таблицу Ручки"/>
    <hyperlink ref="E112" location="DoorHandles" display="см. Таблицу Ручки"/>
    <hyperlink ref="E190" location="DoorHandles" display="см. Таблицу Ручки"/>
    <hyperlink ref="E316" location="DoorHandles" display="см. Таблицу Ручки"/>
    <hyperlink ref="E466" location="DoorHandles" display="см. Таблицу Ручки"/>
    <hyperlink ref="E909" location="DoorHandles" display="см. Таблицу Ручки"/>
    <hyperlink ref="E987" location="DoorHandles" display="см. Таблицу Ручки"/>
    <hyperlink ref="E1651" location="DoorHandles" display="DoorHandles"/>
    <hyperlink ref="E1728" location="DoorHandles" display="см. Таблицу Ручки"/>
    <hyperlink ref="E1804" location="DoorHandles" display="см. Таблицу Ручки"/>
    <hyperlink ref="E1642" location="Door_Lineya" display="Door_Lineya"/>
    <hyperlink ref="T2255" location="Frame_Premi" display="Frame_Premi"/>
    <hyperlink ref="T2273" location="Framugi" display="Framugi"/>
    <hyperlink ref="T2453:W2453" location="Plinths" display="Plinths"/>
    <hyperlink ref="T2255:W2255" location="Frame_VFit" display="Frame_VFit"/>
    <hyperlink ref="T2205:W2205" location="Frame_VFitPlus" display="Frame_VFitPlus"/>
    <hyperlink ref="T2323" location="Frame_Premi" display="Frame_Premi"/>
    <hyperlink ref="T2345" location="Framugi" display="Framugi"/>
    <hyperlink ref="T2323:W2323" location="Frame_VFitPlus" display="Frame_VFitPlus"/>
    <hyperlink ref="T2273:W2273" location="Frame_VFitComfort" display="Frame_VFitComfort"/>
    <hyperlink ref="T1111" location="Door_LadaK" display="Door_LadaK"/>
    <hyperlink ref="E1137" location="DoorHandles" display="см. Таблицу Ручки"/>
    <hyperlink ref="U1138:X1138" location="Door_Pollo" display="Door_Pollo"/>
    <hyperlink ref="T1111:W1111" location="Door_Mira" display="Door_Mira"/>
    <hyperlink ref="U1138:W1138" location="Door_Linda" display="Door_Linda"/>
    <hyperlink ref="T1407" location="Door_LadaK" display="Door_LadaK"/>
    <hyperlink ref="T1431:W1431" location="Door_Modern" display="Door_Modern"/>
    <hyperlink ref="T1407:W1407" location="Door_Eva" display="Door_Eva"/>
    <hyperlink ref="E1430" location="DoorHandles" display="см. Таблицу Ручки"/>
    <hyperlink ref="T1481" location="Door_LadaK" display="Door_LadaK"/>
    <hyperlink ref="U1505:X1505" location="Door_Lineya" display="Door_Lineya"/>
    <hyperlink ref="T1481:W1481" location="Door_Trend" display="Door_Trend"/>
    <hyperlink ref="E1504" location="DoorHandles" display="см. Таблицу Ручки"/>
    <hyperlink ref="U1505:W1505" location="Door_Pollo" display="Door_Pollo"/>
    <hyperlink ref="T2183:W2183" location="Frame_Stand" display="Frame_Stand"/>
    <hyperlink ref="T2395" location="Frame_Premi" display="Frame_Premi"/>
    <hyperlink ref="T2395:W2395" location="Frame_VFitComfort" display="Frame_VFitComfort"/>
    <hyperlink ref="T2345:W2345" location="Plinths" display="Plinths"/>
    <hyperlink ref="T2403" location="Framugi" display="Framugi"/>
    <hyperlink ref="T2403:W2403" location="Framugi" display="Framugi"/>
    <hyperlink ref="T663" location="Door_Idea_line" display="Door_Idea_line"/>
    <hyperlink ref="T686:W686" location="Door_Nika" display="Door_Nika"/>
    <hyperlink ref="E685" location="DoorHandles" display="см. Таблицу Ручки"/>
    <hyperlink ref="T663:W663" location="Door_LadaC" display="Door_LadaC"/>
    <hyperlink ref="T517" location="Door_Idea_line" display="Door_Idea_line"/>
    <hyperlink ref="T541:W541" location="Door_LadaC" display="Door_LadaC"/>
    <hyperlink ref="E540" location="DoorHandles" display="см. Таблицу Ручки"/>
    <hyperlink ref="T517:W517" location="Door_LadaA" display="Door_LadaA"/>
    <hyperlink ref="T591" location="Door_Idea_line" display="Door_Idea_line"/>
    <hyperlink ref="T613:W613" location="Door_LadaD" display="Door_LadaD"/>
    <hyperlink ref="E612" location="DoorHandles" display="см. Таблицу Ручки"/>
    <hyperlink ref="T591:W591" location="Door_LadaB" display="Door_LadaB"/>
    <hyperlink ref="T736" location="Door_Idea_line" display="Door_Idea_line"/>
    <hyperlink ref="T759:W759" location="Door_Lisa" display="Door_Lisa"/>
    <hyperlink ref="E758" location="DoorHandles" display="см. Таблицу Ручки"/>
    <hyperlink ref="T736:W736" location="Door_LadaC" display="Door_LadaC"/>
    <hyperlink ref="T809" location="Door_Idea_line" display="Door_Idea_line"/>
    <hyperlink ref="T832:W832" location="Door_LadaK" display="Door_LadaK"/>
    <hyperlink ref="E831" location="DoorHandles" display="см. Таблицу Ручки"/>
    <hyperlink ref="T809:W809" location="Door_LadaC" display="Door_LadaC"/>
    <hyperlink ref="T1038" location="Door_Idea_line" display="Door_Idea_line"/>
    <hyperlink ref="T1061:W1061" location="Door_LadaL" display="Door_LadaL"/>
    <hyperlink ref="E1060" location="DoorHandles" display="см. Таблицу Ручки"/>
    <hyperlink ref="T1038:W1038" location="Door_LadaN" display="Door_LadaN"/>
    <hyperlink ref="T882:W882" location="Door_Lisa" display="Door_Lisa"/>
    <hyperlink ref="T1188" location="Door_Idea_line" display="Door_Idea_line"/>
    <hyperlink ref="U1210:W1210" location="Door_Tiana" display="Door_Tiana"/>
    <hyperlink ref="E1209" location="DoorHandles" display="см. Таблицу Ручки"/>
    <hyperlink ref="T1188:W1188" location="Door_LadaL" display="Door_LadaL"/>
    <hyperlink ref="T1260" location="Door_Idea_line" display="Door_Idea_line"/>
    <hyperlink ref="U1283:X1283" location="Door_Eva" display="Door_Eva"/>
    <hyperlink ref="E1282" location="DoorHandles" display="см. Таблицу Ручки"/>
    <hyperlink ref="T1260:W1260" location="Door_Linda" display="Door_Linda"/>
    <hyperlink ref="T1333" location="Door_Idea_line" display="Door_Idea_line"/>
    <hyperlink ref="U1357:X1357" location="Door_LadaL" display="Door_LadaL"/>
    <hyperlink ref="E1356" location="DoorHandles" display="см. Таблицу Ручки"/>
    <hyperlink ref="T1333:W1333" location="Door_Tiana" display="Door_Tiana"/>
    <hyperlink ref="T1555" location="Door_LadaK" display="Door_LadaK"/>
    <hyperlink ref="T1580:W1580" location="Door_Lineya" display="Door_Lineya"/>
    <hyperlink ref="T1555:W1555" location="Door_Modern" display="Door_Modern"/>
    <hyperlink ref="E1579" location="DoorHandles" display="см. Таблицу Ручки"/>
    <hyperlink ref="U1357:W1357" location="Door_Trend" display="Door_Trend"/>
    <hyperlink ref="S1923" location="Door_VertoEleg" display="Door_VertoEleg"/>
    <hyperlink ref="S1923:W1923" location="Door_Glasford" display="Door_Glasford"/>
    <hyperlink ref="T1940:W1940" location="Door_Dobor" display="Door_Dobor"/>
    <hyperlink ref="T368" location="Door_Gordana" display="Door_Gordana"/>
    <hyperlink ref="T390:W390" location="Door_LadaA" display="Door_LadaA"/>
    <hyperlink ref="E388" location="DoorHandles" display="см. Таблицу Ручки"/>
    <hyperlink ref="T368:W368" location="Door_Idea" display="Door_Idea"/>
    <hyperlink ref="O90" location="Door_Standard" display="Door_Standard"/>
    <hyperlink ref="O164" location="Door_RutaF" display="Door_RutaF"/>
    <hyperlink ref="O291" location="Door_Gordana" display="Door_Gordana"/>
    <hyperlink ref="O444" location="Door_Idea_line" display="Door_Idea_line"/>
    <hyperlink ref="O1990" location="Door_Dobor_Lada" display="Door_Dobor_Lada"/>
    <hyperlink ref="O1923" location="Door_Glasford" display="Door_Glasford"/>
    <hyperlink ref="S291" location="Door_RutaF" display="Door_RutaF"/>
    <hyperlink ref="S402" location="Door_Idea_line" display="Door_Idea_line"/>
    <hyperlink ref="T427:W427" location="Door_LadaB" display="Door_LadaB"/>
    <hyperlink ref="E426" location="DoorHandles" display="см. Таблицу Ручки"/>
    <hyperlink ref="O402" location="Door_Idea_line" display="Door_Idea_line"/>
  </hyperlinks>
  <pageMargins left="0.23622047244094491" right="0.27559055118110237" top="0.27559055118110237" bottom="0.31496062992125984" header="0.27559055118110237" footer="0.31496062992125984"/>
  <pageSetup paperSize="9" scale="86" fitToHeight="50" orientation="landscape" r:id="rId1"/>
  <headerFooter alignWithMargins="0"/>
  <rowBreaks count="18" manualBreakCount="18">
    <brk id="89" max="18" man="1"/>
    <brk id="163" max="18" man="1"/>
    <brk id="290" max="18" man="1"/>
    <brk id="443" max="18" man="1"/>
    <brk id="881" max="18" man="1"/>
    <brk id="959" max="18" man="1"/>
    <brk id="1628" max="18" man="1"/>
    <brk id="1701" max="18" man="1"/>
    <brk id="1778" max="18" man="1"/>
    <brk id="1854" max="18" man="1"/>
    <brk id="1988" max="18" man="1"/>
    <brk id="2054" max="18" man="1"/>
    <brk id="2114" max="18" man="1"/>
    <brk id="2182" max="18" man="1"/>
    <brk id="2254" max="16383" man="1"/>
    <brk id="2452" max="18" man="1"/>
    <brk id="2530" max="16383" man="1"/>
    <brk id="2588" max="18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tabColor indexed="22"/>
  </sheetPr>
  <dimension ref="A1:R507"/>
  <sheetViews>
    <sheetView showGridLines="0" zoomScale="85" zoomScaleNormal="85" workbookViewId="0">
      <pane ySplit="6" topLeftCell="A73" activePane="bottomLeft" state="frozen"/>
      <selection pane="bottomLeft" activeCell="O385" sqref="O385"/>
    </sheetView>
  </sheetViews>
  <sheetFormatPr defaultColWidth="9.140625" defaultRowHeight="12.75"/>
  <cols>
    <col min="1" max="1" width="1" style="33" customWidth="1"/>
    <col min="2" max="2" width="17.7109375" style="33" customWidth="1"/>
    <col min="3" max="3" width="11.7109375" style="33" customWidth="1"/>
    <col min="4" max="13" width="14.7109375" style="33" customWidth="1"/>
    <col min="14" max="16384" width="9.140625" style="33"/>
  </cols>
  <sheetData>
    <row r="1" spans="1:18" ht="12.75" customHeight="1">
      <c r="B1" s="113" t="str">
        <f>TITLE!B2</f>
        <v>ВЕРСІЯ: 56.00.23</v>
      </c>
      <c r="C1" s="235" t="str">
        <f>Products!C1</f>
        <v>UA</v>
      </c>
      <c r="M1" s="215" t="str">
        <f>IF($C$1="ENG","PRINT VERSION","ВЕРСІЯ ДЛЯ ДРУКУ")</f>
        <v>ВЕРСІЯ ДЛЯ ДРУКУ</v>
      </c>
    </row>
    <row r="2" spans="1:18">
      <c r="H2" s="338"/>
      <c r="I2" s="338"/>
      <c r="J2" s="236"/>
      <c r="K2" s="237" t="str">
        <f>Products!U2</f>
        <v>знижка</v>
      </c>
      <c r="L2" s="238">
        <f>Products!W2</f>
        <v>0</v>
      </c>
      <c r="M2" s="243"/>
    </row>
    <row r="3" spans="1:18">
      <c r="D3" s="496" t="str">
        <f>Products!E4</f>
        <v>РОЗДРІБНІ ЦІНИ НА ПРОДУКЦІЮ ТМ VERTO</v>
      </c>
      <c r="E3" s="496"/>
      <c r="F3" s="496"/>
      <c r="G3" s="496"/>
      <c r="H3" s="339"/>
      <c r="I3" s="339"/>
      <c r="J3" s="229"/>
      <c r="K3" s="239" t="str">
        <f>Products!U4</f>
        <v>курс валют (за 1 грн.)</v>
      </c>
      <c r="L3" s="240">
        <f>Products!W4</f>
        <v>1</v>
      </c>
      <c r="M3" s="229"/>
    </row>
    <row r="4" spans="1:18" ht="12.75" customHeight="1">
      <c r="D4" s="501" t="str">
        <f>Products!E5</f>
        <v>діє з: 03 липня 2024 р.</v>
      </c>
      <c r="E4" s="501"/>
      <c r="F4" s="501"/>
      <c r="G4" s="501"/>
      <c r="H4" s="339"/>
      <c r="I4" s="339"/>
      <c r="J4" s="229"/>
      <c r="K4" s="241" t="str">
        <f>Products!U5</f>
        <v>ПДВ</v>
      </c>
      <c r="L4" s="242">
        <f>Products!W5</f>
        <v>0.2</v>
      </c>
      <c r="M4" s="229"/>
    </row>
    <row r="5" spans="1:18" ht="5.0999999999999996" customHeight="1">
      <c r="C5" s="35"/>
      <c r="D5" s="35"/>
      <c r="E5" s="35"/>
    </row>
    <row r="6" spans="1:18" ht="12.75" customHeight="1">
      <c r="B6" s="502" t="str">
        <f>Products!B8</f>
        <v>Асортимент</v>
      </c>
      <c r="C6" s="503"/>
      <c r="D6" s="504" t="str">
        <f>CONCATENATE(D3," ",Products!E8)</f>
        <v>РОЗДРІБНІ ЦІНИ НА ПРОДУКЦІЮ ТМ VERTO з ПДВ</v>
      </c>
      <c r="E6" s="505"/>
      <c r="F6" s="505"/>
      <c r="G6" s="505"/>
      <c r="H6" s="505"/>
      <c r="I6" s="505"/>
      <c r="J6" s="505"/>
      <c r="K6" s="505"/>
      <c r="L6" s="505"/>
      <c r="M6" s="506"/>
    </row>
    <row r="8" spans="1:18" s="31" customFormat="1" ht="12.75" customHeight="1">
      <c r="B8" s="499" t="str">
        <f>TITLE!$C$8</f>
        <v>Полотна каркасно-щитові: СТАНДАРТ</v>
      </c>
      <c r="C8" s="500"/>
      <c r="D8" s="500"/>
      <c r="E8" s="500"/>
      <c r="F8" s="170"/>
      <c r="G8" s="170"/>
      <c r="H8" s="170"/>
      <c r="I8" s="170"/>
      <c r="J8" s="343"/>
      <c r="K8" s="343"/>
      <c r="L8" s="343"/>
      <c r="M8" s="344"/>
    </row>
    <row r="9" spans="1:18">
      <c r="A9" s="31"/>
      <c r="B9" s="497" t="str">
        <f>Products!B12</f>
        <v>модель</v>
      </c>
      <c r="C9" s="166" t="str">
        <f>Products!C12</f>
        <v>покриття:</v>
      </c>
      <c r="D9" s="169" t="str">
        <f>Products!D12</f>
        <v>SIMPL / V-CELL</v>
      </c>
      <c r="E9" s="169" t="str">
        <f>Products!F12</f>
        <v>UNI-MAT</v>
      </c>
      <c r="F9" s="46"/>
      <c r="G9" s="46"/>
      <c r="H9" s="216"/>
      <c r="I9" s="216"/>
      <c r="J9" s="216"/>
      <c r="K9" s="345"/>
      <c r="L9" s="346" t="str">
        <f>Products!B24</f>
        <v>вентиляційні віддушини (1ряд)</v>
      </c>
      <c r="M9" s="347">
        <f>Products!E24</f>
        <v>250</v>
      </c>
      <c r="O9" s="217"/>
      <c r="P9" s="217"/>
      <c r="Q9" s="217"/>
      <c r="R9" s="217"/>
    </row>
    <row r="10" spans="1:18">
      <c r="A10" s="31"/>
      <c r="B10" s="497"/>
      <c r="C10" s="157" t="str">
        <f>Products!C13</f>
        <v>заповнення:</v>
      </c>
      <c r="D10" s="168" t="str">
        <f>Products!D13</f>
        <v>сотове заповнення</v>
      </c>
      <c r="E10" s="168" t="str">
        <f>Products!F13</f>
        <v>сотове заповнення</v>
      </c>
      <c r="F10" s="146"/>
      <c r="G10" s="146"/>
      <c r="H10" s="216"/>
      <c r="I10" s="216"/>
      <c r="J10" s="216"/>
      <c r="K10" s="348"/>
      <c r="L10" s="346" t="str">
        <f>Products!B25</f>
        <v>вентиляційний підріз</v>
      </c>
      <c r="M10" s="347">
        <f>Products!E25</f>
        <v>170.00000000000003</v>
      </c>
      <c r="O10" s="217"/>
      <c r="P10" s="217"/>
      <c r="Q10" s="217"/>
      <c r="R10" s="217"/>
    </row>
    <row r="11" spans="1:18" ht="12.75" customHeight="1">
      <c r="A11" s="31"/>
      <c r="B11" s="498"/>
      <c r="C11" s="158" t="str">
        <f>Products!C14</f>
        <v>скління:</v>
      </c>
      <c r="D11" s="161" t="str">
        <f>Products!D14</f>
        <v>Кризет</v>
      </c>
      <c r="E11" s="161" t="str">
        <f>Products!F14</f>
        <v>Кризет</v>
      </c>
      <c r="F11" s="159"/>
      <c r="G11" s="160"/>
      <c r="H11" s="216"/>
      <c r="I11" s="216"/>
      <c r="J11" s="216"/>
      <c r="K11" s="348"/>
      <c r="L11" s="346" t="str">
        <f>Products!B26</f>
        <v>третя завіса</v>
      </c>
      <c r="M11" s="347">
        <f>Products!E26</f>
        <v>80</v>
      </c>
      <c r="O11" s="218"/>
      <c r="P11" s="218"/>
      <c r="Q11" s="218"/>
      <c r="R11" s="218"/>
    </row>
    <row r="12" spans="1:18">
      <c r="A12" s="31"/>
      <c r="B12" s="13" t="str">
        <f>Products!B15</f>
        <v>1А</v>
      </c>
      <c r="C12" s="163"/>
      <c r="D12" s="185">
        <f>Products!E15</f>
        <v>5310</v>
      </c>
      <c r="E12" s="183">
        <f>Products!G15</f>
        <v>6060</v>
      </c>
      <c r="F12" s="97"/>
      <c r="G12" s="97"/>
      <c r="H12" s="219"/>
      <c r="I12" s="219"/>
      <c r="J12" s="350"/>
      <c r="K12" s="348"/>
      <c r="L12" s="346" t="str">
        <f>Products!B27</f>
        <v>скло Сатин (мод.1А,1Б)</v>
      </c>
      <c r="M12" s="347">
        <f>Products!E27</f>
        <v>340.00000000000006</v>
      </c>
    </row>
    <row r="13" spans="1:18">
      <c r="A13" s="31"/>
      <c r="B13" s="16" t="str">
        <f>Products!B16</f>
        <v>1Б</v>
      </c>
      <c r="C13" s="164"/>
      <c r="D13" s="185">
        <f>Products!E16</f>
        <v>5620.0000000000009</v>
      </c>
      <c r="E13" s="185">
        <f>Products!G16</f>
        <v>6440</v>
      </c>
      <c r="F13" s="97"/>
      <c r="G13" s="97"/>
      <c r="H13" s="220"/>
      <c r="I13" s="220"/>
      <c r="J13" s="351"/>
      <c r="K13" s="348"/>
      <c r="L13" s="346" t="str">
        <f>Products!B28</f>
        <v>скло Сатин (мод.2А,2Б,3,4)</v>
      </c>
      <c r="M13" s="347">
        <f>Products!E28</f>
        <v>420</v>
      </c>
    </row>
    <row r="14" spans="1:18">
      <c r="A14" s="31"/>
      <c r="B14" s="16" t="str">
        <f>Products!B17</f>
        <v>2А</v>
      </c>
      <c r="C14" s="164"/>
      <c r="D14" s="185">
        <f>Products!E17</f>
        <v>5310</v>
      </c>
      <c r="E14" s="185">
        <f>Products!G17</f>
        <v>6060</v>
      </c>
      <c r="F14" s="97"/>
      <c r="G14" s="97"/>
      <c r="H14" s="221"/>
      <c r="I14" s="221"/>
      <c r="J14" s="352"/>
      <c r="K14" s="348"/>
      <c r="L14" s="346" t="str">
        <f>Products!B29</f>
        <v>скло Графіт / Бронза</v>
      </c>
      <c r="M14" s="347">
        <f>Products!E29</f>
        <v>550</v>
      </c>
    </row>
    <row r="15" spans="1:18">
      <c r="A15" s="31"/>
      <c r="B15" s="16" t="str">
        <f>Products!B18</f>
        <v>2Б</v>
      </c>
      <c r="C15" s="164"/>
      <c r="D15" s="185">
        <f>Products!E18</f>
        <v>5620.0000000000009</v>
      </c>
      <c r="E15" s="185">
        <f>Products!G18</f>
        <v>6440</v>
      </c>
      <c r="F15" s="97"/>
      <c r="G15" s="97"/>
      <c r="H15" s="220"/>
      <c r="I15" s="220"/>
      <c r="J15" s="351"/>
      <c r="K15" s="348"/>
      <c r="L15" s="346" t="str">
        <f>Products!B30</f>
        <v>замок Soft</v>
      </c>
      <c r="M15" s="347">
        <f>Products!E30</f>
        <v>550</v>
      </c>
    </row>
    <row r="16" spans="1:18">
      <c r="A16" s="31"/>
      <c r="B16" s="16" t="str">
        <f>Products!B19</f>
        <v>3.0 - 3.1</v>
      </c>
      <c r="C16" s="164"/>
      <c r="D16" s="185">
        <f>Products!E19</f>
        <v>4990.0000000000009</v>
      </c>
      <c r="E16" s="185">
        <f>Products!G19</f>
        <v>5720</v>
      </c>
      <c r="F16" s="97"/>
      <c r="G16" s="97"/>
      <c r="H16" s="220"/>
      <c r="I16" s="220"/>
      <c r="J16" s="351"/>
      <c r="K16" s="348"/>
      <c r="L16" s="346" t="str">
        <f>Products!B31</f>
        <v>замок Soft чорн.</v>
      </c>
      <c r="M16" s="347">
        <f>Products!E31</f>
        <v>680.00000000000011</v>
      </c>
    </row>
    <row r="17" spans="1:17">
      <c r="A17" s="31"/>
      <c r="B17" s="23" t="str">
        <f>Products!B20</f>
        <v>4.0 - 4.2</v>
      </c>
      <c r="C17" s="165"/>
      <c r="D17" s="187">
        <f>Products!E20</f>
        <v>4990.0000000000009</v>
      </c>
      <c r="E17" s="187">
        <f>Products!G20</f>
        <v>5720</v>
      </c>
      <c r="F17" s="97"/>
      <c r="G17" s="97"/>
      <c r="H17" s="220"/>
      <c r="I17" s="220"/>
      <c r="J17" s="351"/>
      <c r="K17" s="348"/>
      <c r="L17" s="346" t="str">
        <f>Products!B32</f>
        <v>замок Magnet</v>
      </c>
      <c r="M17" s="347">
        <f>Products!E32</f>
        <v>800.00000000000011</v>
      </c>
    </row>
    <row r="18" spans="1:17">
      <c r="A18" s="31"/>
      <c r="B18" s="313"/>
      <c r="C18" s="314"/>
      <c r="D18" s="196"/>
      <c r="E18" s="199"/>
      <c r="F18" s="97"/>
      <c r="G18" s="97"/>
      <c r="H18" s="220"/>
      <c r="I18" s="220"/>
      <c r="J18" s="351"/>
      <c r="K18" s="348"/>
      <c r="L18" s="346" t="str">
        <f>Products!B33</f>
        <v>замок Magnet чорн.</v>
      </c>
      <c r="M18" s="347">
        <f>Products!E33</f>
        <v>1000</v>
      </c>
    </row>
    <row r="19" spans="1:17">
      <c r="C19" s="34"/>
      <c r="D19" s="34"/>
      <c r="E19" s="34"/>
      <c r="F19" s="31"/>
      <c r="J19" s="353"/>
      <c r="K19" s="348"/>
      <c r="L19" s="346" t="str">
        <f>Products!B34</f>
        <v>ручка-замок (для дверей купе)</v>
      </c>
      <c r="M19" s="347">
        <f>Products!E34</f>
        <v>560</v>
      </c>
      <c r="N19" s="218"/>
      <c r="O19" s="218"/>
      <c r="P19" s="218"/>
      <c r="Q19" s="218"/>
    </row>
    <row r="20" spans="1:17">
      <c r="C20" s="34"/>
      <c r="D20" s="34"/>
      <c r="E20" s="34"/>
      <c r="F20" s="31"/>
      <c r="J20" s="353"/>
      <c r="K20" s="348"/>
      <c r="L20" s="346" t="str">
        <f>Products!B35</f>
        <v>циліндр несиметричний</v>
      </c>
      <c r="M20" s="347">
        <f>Products!E35</f>
        <v>390</v>
      </c>
      <c r="N20" s="218"/>
      <c r="O20" s="218"/>
      <c r="P20" s="218"/>
      <c r="Q20" s="218"/>
    </row>
    <row r="21" spans="1:17">
      <c r="C21" s="34"/>
      <c r="D21" s="34"/>
      <c r="E21" s="34"/>
      <c r="F21" s="31"/>
      <c r="J21" s="353"/>
      <c r="K21" s="348"/>
      <c r="L21" s="346" t="str">
        <f>Products!B36</f>
        <v>завіса Prestige (1 шт)</v>
      </c>
      <c r="M21" s="347">
        <f>Products!E36</f>
        <v>260</v>
      </c>
      <c r="N21" s="218"/>
      <c r="O21" s="218"/>
      <c r="P21" s="218"/>
      <c r="Q21" s="218"/>
    </row>
    <row r="22" spans="1:17">
      <c r="C22" s="34"/>
      <c r="D22" s="34"/>
      <c r="E22" s="34"/>
      <c r="F22" s="31"/>
      <c r="J22" s="353"/>
      <c r="K22" s="348"/>
      <c r="L22" s="346" t="str">
        <f>Products!B37</f>
        <v>накладка на завіси (1 к-т)</v>
      </c>
      <c r="M22" s="347">
        <f>Products!E37</f>
        <v>80</v>
      </c>
      <c r="N22" s="218"/>
      <c r="O22" s="218"/>
      <c r="P22" s="218"/>
      <c r="Q22" s="218"/>
    </row>
    <row r="23" spans="1:17" ht="21">
      <c r="C23" s="34"/>
      <c r="D23" s="34"/>
      <c r="E23" s="34"/>
      <c r="F23" s="31"/>
      <c r="J23" s="353"/>
      <c r="K23" s="348"/>
      <c r="L23" s="346" t="str">
        <f>Products!B38</f>
        <v>дверна ручка</v>
      </c>
      <c r="M23" s="347" t="str">
        <f>Products!E38</f>
        <v>див. Таблицю Ручки</v>
      </c>
      <c r="N23" s="218"/>
      <c r="O23" s="218"/>
      <c r="P23" s="218"/>
      <c r="Q23" s="218"/>
    </row>
    <row r="24" spans="1:17">
      <c r="C24" s="34"/>
      <c r="D24" s="34"/>
      <c r="E24" s="34"/>
      <c r="F24" s="31"/>
      <c r="J24" s="353"/>
      <c r="K24" s="348"/>
      <c r="L24" s="346" t="str">
        <f>Products!B39</f>
        <v>ДСП трубчасте</v>
      </c>
      <c r="M24" s="347">
        <f>Products!E39</f>
        <v>1300.0000000000002</v>
      </c>
      <c r="N24" s="218"/>
      <c r="O24" s="218"/>
      <c r="P24" s="218"/>
      <c r="Q24" s="218"/>
    </row>
    <row r="25" spans="1:17" s="31" customFormat="1" ht="12.75" customHeight="1">
      <c r="B25" s="499" t="str">
        <f>TITLE!$C$9</f>
        <v>Полотна каркасно-щитові: КУПАВА</v>
      </c>
      <c r="C25" s="500"/>
      <c r="D25" s="500"/>
      <c r="E25" s="500"/>
      <c r="F25" s="170"/>
      <c r="G25" s="170"/>
      <c r="H25" s="170"/>
      <c r="I25" s="170"/>
      <c r="J25" s="343"/>
      <c r="K25" s="343"/>
      <c r="L25" s="355"/>
      <c r="M25" s="356"/>
      <c r="N25" s="218"/>
      <c r="O25" s="218"/>
      <c r="P25" s="218"/>
      <c r="Q25" s="218"/>
    </row>
    <row r="26" spans="1:17">
      <c r="A26" s="31"/>
      <c r="B26" s="497" t="str">
        <f>Products!B92</f>
        <v>модель</v>
      </c>
      <c r="C26" s="166" t="str">
        <f>Products!C92</f>
        <v>покриття:</v>
      </c>
      <c r="D26" s="167" t="str">
        <f>Products!D92</f>
        <v>SIMPL / V-CELL</v>
      </c>
      <c r="E26" s="167" t="str">
        <f>Products!F92</f>
        <v>UNI-MAT</v>
      </c>
      <c r="F26" s="46"/>
      <c r="G26" s="46"/>
      <c r="H26" s="216"/>
      <c r="I26" s="216"/>
      <c r="J26" s="216"/>
      <c r="K26" s="357"/>
      <c r="L26" s="341" t="str">
        <f>Products!B100</f>
        <v>вентиляційний підріз</v>
      </c>
      <c r="M26" s="358">
        <f>Products!E100</f>
        <v>170.00000000000003</v>
      </c>
    </row>
    <row r="27" spans="1:17">
      <c r="A27" s="31"/>
      <c r="B27" s="497"/>
      <c r="C27" s="157" t="str">
        <f>Products!C93</f>
        <v>заповнення:</v>
      </c>
      <c r="D27" s="168" t="str">
        <f>Products!D93</f>
        <v>сотове заповнення</v>
      </c>
      <c r="E27" s="168" t="str">
        <f>Products!F93</f>
        <v>сотове заповнення</v>
      </c>
      <c r="F27" s="146"/>
      <c r="G27" s="146"/>
      <c r="H27" s="216"/>
      <c r="I27" s="216"/>
      <c r="J27" s="216"/>
      <c r="K27" s="348"/>
      <c r="L27" s="342" t="str">
        <f>Products!B101</f>
        <v>третя завіса</v>
      </c>
      <c r="M27" s="349">
        <f>Products!E101</f>
        <v>80</v>
      </c>
    </row>
    <row r="28" spans="1:17" ht="12.75" customHeight="1">
      <c r="A28" s="31"/>
      <c r="B28" s="498"/>
      <c r="C28" s="158" t="str">
        <f>Products!C94</f>
        <v>скління:</v>
      </c>
      <c r="D28" s="161" t="str">
        <f>Products!D94</f>
        <v>Кризет</v>
      </c>
      <c r="E28" s="161" t="str">
        <f>Products!F94</f>
        <v>Кризет</v>
      </c>
      <c r="F28" s="159"/>
      <c r="G28" s="160"/>
      <c r="H28" s="216"/>
      <c r="I28" s="216"/>
      <c r="J28" s="216"/>
      <c r="K28" s="348"/>
      <c r="L28" s="342" t="str">
        <f>Products!B102</f>
        <v>скло Сатин</v>
      </c>
      <c r="M28" s="349">
        <f>Products!E102</f>
        <v>340.00000000000006</v>
      </c>
    </row>
    <row r="29" spans="1:17">
      <c r="A29" s="31"/>
      <c r="B29" s="16" t="str">
        <f>Products!B95</f>
        <v>3.0 - 3.1</v>
      </c>
      <c r="C29" s="164"/>
      <c r="D29" s="185">
        <f>Products!E95</f>
        <v>3570</v>
      </c>
      <c r="E29" s="185">
        <f>Products!G95</f>
        <v>4110</v>
      </c>
      <c r="F29" s="97"/>
      <c r="G29" s="97"/>
      <c r="H29" s="222"/>
      <c r="I29" s="222"/>
      <c r="J29" s="359"/>
      <c r="K29" s="348"/>
      <c r="L29" s="342" t="str">
        <f>Products!B103</f>
        <v>скло Графіт / Бронза</v>
      </c>
      <c r="M29" s="349">
        <f>Products!E103</f>
        <v>550</v>
      </c>
    </row>
    <row r="30" spans="1:17">
      <c r="A30" s="31"/>
      <c r="B30" s="23" t="str">
        <f>Products!B96</f>
        <v>4.0 - 4.1</v>
      </c>
      <c r="C30" s="165"/>
      <c r="D30" s="187">
        <f>Products!E96</f>
        <v>4060</v>
      </c>
      <c r="E30" s="187">
        <f>Products!G96</f>
        <v>4660</v>
      </c>
      <c r="F30" s="97"/>
      <c r="G30" s="97"/>
      <c r="H30" s="222"/>
      <c r="I30" s="222"/>
      <c r="J30" s="359"/>
      <c r="K30" s="348"/>
      <c r="L30" s="342" t="str">
        <f>Products!B104</f>
        <v>замок Soft</v>
      </c>
      <c r="M30" s="349">
        <f>Products!E104</f>
        <v>550</v>
      </c>
    </row>
    <row r="31" spans="1:17">
      <c r="A31" s="31"/>
      <c r="B31" s="313"/>
      <c r="C31" s="314"/>
      <c r="D31" s="196"/>
      <c r="E31" s="199"/>
      <c r="F31" s="97"/>
      <c r="G31" s="97"/>
      <c r="H31" s="222"/>
      <c r="I31" s="222"/>
      <c r="J31" s="359"/>
      <c r="K31" s="348"/>
      <c r="L31" s="342" t="str">
        <f>Products!B105</f>
        <v>замок Soft чорн.</v>
      </c>
      <c r="M31" s="349">
        <f>Products!E105</f>
        <v>680.00000000000011</v>
      </c>
    </row>
    <row r="32" spans="1:17">
      <c r="C32" s="34"/>
      <c r="D32" s="34"/>
      <c r="E32" s="34"/>
      <c r="J32" s="353"/>
      <c r="K32" s="348"/>
      <c r="L32" s="342" t="str">
        <f>Products!B106</f>
        <v>замок Magnet</v>
      </c>
      <c r="M32" s="349">
        <f>Products!E106</f>
        <v>800.00000000000011</v>
      </c>
    </row>
    <row r="33" spans="1:13">
      <c r="C33" s="34"/>
      <c r="D33" s="34"/>
      <c r="E33" s="34"/>
      <c r="J33" s="353"/>
      <c r="K33" s="348"/>
      <c r="L33" s="342" t="str">
        <f>Products!C107</f>
        <v>замок Magnet чорн.</v>
      </c>
      <c r="M33" s="349">
        <f>Products!E107</f>
        <v>1000</v>
      </c>
    </row>
    <row r="34" spans="1:13">
      <c r="C34" s="34"/>
      <c r="D34" s="34"/>
      <c r="E34" s="34"/>
      <c r="J34" s="353"/>
      <c r="K34" s="348"/>
      <c r="L34" s="342" t="str">
        <f>Products!B108</f>
        <v>ручка-замок (для дверей купе)</v>
      </c>
      <c r="M34" s="349">
        <f>Products!E108</f>
        <v>560</v>
      </c>
    </row>
    <row r="35" spans="1:13">
      <c r="C35" s="34"/>
      <c r="D35" s="34"/>
      <c r="E35" s="34"/>
      <c r="J35" s="353"/>
      <c r="K35" s="348"/>
      <c r="L35" s="342" t="str">
        <f>Products!B109</f>
        <v>циліндр несиметричний</v>
      </c>
      <c r="M35" s="349">
        <f>Products!E109</f>
        <v>390</v>
      </c>
    </row>
    <row r="36" spans="1:13">
      <c r="C36" s="34"/>
      <c r="D36" s="34"/>
      <c r="E36" s="34"/>
      <c r="J36" s="353"/>
      <c r="K36" s="348"/>
      <c r="L36" s="342" t="str">
        <f>Products!B110</f>
        <v>завіса Prestige (1 шт)</v>
      </c>
      <c r="M36" s="349">
        <f>Products!E110</f>
        <v>260</v>
      </c>
    </row>
    <row r="37" spans="1:13">
      <c r="C37" s="34"/>
      <c r="D37" s="34"/>
      <c r="E37" s="34"/>
      <c r="J37" s="353"/>
      <c r="K37" s="348"/>
      <c r="L37" s="342" t="str">
        <f>Products!B111</f>
        <v>накладка на завіси (1 к-т)</v>
      </c>
      <c r="M37" s="349">
        <f>Products!E111</f>
        <v>80</v>
      </c>
    </row>
    <row r="38" spans="1:13" ht="21">
      <c r="C38" s="34"/>
      <c r="D38" s="34"/>
      <c r="E38" s="34"/>
      <c r="J38" s="353"/>
      <c r="K38" s="348"/>
      <c r="L38" s="342" t="str">
        <f>Products!B112</f>
        <v>дверна ручка</v>
      </c>
      <c r="M38" s="349" t="str">
        <f>Products!E112</f>
        <v>див. Таблицю Ручки</v>
      </c>
    </row>
    <row r="39" spans="1:13">
      <c r="C39" s="34"/>
      <c r="D39" s="34"/>
      <c r="E39" s="34"/>
      <c r="J39" s="353"/>
      <c r="K39" s="348"/>
      <c r="L39" s="342" t="str">
        <f>Products!B113</f>
        <v>ДСП трубчасте</v>
      </c>
      <c r="M39" s="349">
        <f>Products!E113</f>
        <v>1300.0000000000002</v>
      </c>
    </row>
    <row r="40" spans="1:13" s="31" customFormat="1" ht="12.75" customHeight="1">
      <c r="B40" s="499" t="str">
        <f>TITLE!$C$10</f>
        <v>Полотна каркасно-щитові: ГЕОМЕТРІЯ</v>
      </c>
      <c r="C40" s="500"/>
      <c r="D40" s="500"/>
      <c r="E40" s="500"/>
      <c r="F40" s="170"/>
      <c r="G40" s="170"/>
      <c r="H40" s="170"/>
      <c r="I40" s="170"/>
      <c r="J40" s="343"/>
      <c r="K40" s="343"/>
      <c r="L40" s="355"/>
      <c r="M40" s="356"/>
    </row>
    <row r="41" spans="1:13">
      <c r="A41" s="31"/>
      <c r="B41" s="497" t="str">
        <f>Products!B166</f>
        <v>модель</v>
      </c>
      <c r="C41" s="166" t="str">
        <f>Products!C166</f>
        <v>покриття:</v>
      </c>
      <c r="D41" s="167" t="str">
        <f>Products!D166</f>
        <v>SIMPL / V-CELL</v>
      </c>
      <c r="E41" s="130" t="str">
        <f>Products!F166</f>
        <v>UNI-MAT</v>
      </c>
      <c r="F41" s="130" t="str">
        <f>Products!H166</f>
        <v>RESIST</v>
      </c>
      <c r="G41" s="326"/>
      <c r="H41" s="46"/>
      <c r="I41" s="46"/>
      <c r="J41" s="46"/>
      <c r="K41" s="357"/>
      <c r="L41" s="341" t="str">
        <f>Products!B177</f>
        <v>вентиляційні віддушини (1ряд)</v>
      </c>
      <c r="M41" s="358">
        <f>Products!E177</f>
        <v>250</v>
      </c>
    </row>
    <row r="42" spans="1:13">
      <c r="A42" s="31"/>
      <c r="B42" s="497"/>
      <c r="C42" s="157" t="str">
        <f>Products!C167</f>
        <v>заповнення:</v>
      </c>
      <c r="D42" s="168" t="str">
        <f>Products!D167</f>
        <v>сотове заповнення</v>
      </c>
      <c r="E42" s="140" t="str">
        <f>Products!F167</f>
        <v>сотове заповнення</v>
      </c>
      <c r="F42" s="140" t="str">
        <f>Products!H167</f>
        <v>сотове заповнення</v>
      </c>
      <c r="G42" s="47"/>
      <c r="H42" s="47"/>
      <c r="I42" s="47"/>
      <c r="J42" s="47"/>
      <c r="K42" s="348"/>
      <c r="L42" s="342" t="str">
        <f>Products!B178</f>
        <v>вентиляційний підріз</v>
      </c>
      <c r="M42" s="349">
        <f>Products!E178</f>
        <v>170.00000000000003</v>
      </c>
    </row>
    <row r="43" spans="1:13" ht="12.75" customHeight="1">
      <c r="A43" s="31"/>
      <c r="B43" s="498"/>
      <c r="C43" s="158" t="str">
        <f>Products!C168</f>
        <v>скління:</v>
      </c>
      <c r="D43" s="161" t="str">
        <f>Products!D168</f>
        <v>Кризет</v>
      </c>
      <c r="E43" s="119" t="str">
        <f>Products!F168</f>
        <v>Кризет</v>
      </c>
      <c r="F43" s="119" t="str">
        <f>Products!H168</f>
        <v>Кризет</v>
      </c>
      <c r="G43" s="160"/>
      <c r="H43" s="159"/>
      <c r="I43" s="159"/>
      <c r="J43" s="159"/>
      <c r="K43" s="348"/>
      <c r="L43" s="342" t="str">
        <f>Products!B179</f>
        <v>третя завіса</v>
      </c>
      <c r="M43" s="349">
        <f>Products!E179</f>
        <v>80</v>
      </c>
    </row>
    <row r="44" spans="1:13">
      <c r="A44" s="31"/>
      <c r="B44" s="13" t="str">
        <f>Products!B169</f>
        <v>1.0 - 1.1</v>
      </c>
      <c r="C44" s="163"/>
      <c r="D44" s="183">
        <f>Products!E169</f>
        <v>3550</v>
      </c>
      <c r="E44" s="184">
        <f>Products!G169</f>
        <v>4080</v>
      </c>
      <c r="F44" s="184">
        <f>Products!I169</f>
        <v>4360</v>
      </c>
      <c r="G44" s="199"/>
      <c r="H44" s="97"/>
      <c r="I44" s="97"/>
      <c r="J44" s="361"/>
      <c r="K44" s="348"/>
      <c r="L44" s="342" t="str">
        <f>Products!B180</f>
        <v>скло Сатин / Жалюзі</v>
      </c>
      <c r="M44" s="349">
        <f>Products!E180</f>
        <v>340.00000000000006</v>
      </c>
    </row>
    <row r="45" spans="1:13">
      <c r="A45" s="31"/>
      <c r="B45" s="16" t="str">
        <f>Products!B170</f>
        <v>3.0 - 3.3</v>
      </c>
      <c r="C45" s="164"/>
      <c r="D45" s="185">
        <f>Products!E170</f>
        <v>3850</v>
      </c>
      <c r="E45" s="186">
        <f>Products!G170</f>
        <v>4440</v>
      </c>
      <c r="F45" s="186">
        <f>Products!I170</f>
        <v>4620</v>
      </c>
      <c r="G45" s="199"/>
      <c r="H45" s="97"/>
      <c r="I45" s="97"/>
      <c r="J45" s="361"/>
      <c r="K45" s="348"/>
      <c r="L45" s="342" t="str">
        <f>Products!B181</f>
        <v>скло Графіт / Бронза</v>
      </c>
      <c r="M45" s="349">
        <f>Products!E181</f>
        <v>550</v>
      </c>
    </row>
    <row r="46" spans="1:13">
      <c r="A46" s="31"/>
      <c r="B46" s="16" t="str">
        <f>Products!B171</f>
        <v>4.0 - 4.4</v>
      </c>
      <c r="C46" s="164"/>
      <c r="D46" s="185">
        <f>Products!E171</f>
        <v>3850</v>
      </c>
      <c r="E46" s="186">
        <f>Products!G171</f>
        <v>4440</v>
      </c>
      <c r="F46" s="186">
        <f>Products!I171</f>
        <v>4620</v>
      </c>
      <c r="G46" s="199"/>
      <c r="H46" s="97"/>
      <c r="I46" s="97"/>
      <c r="J46" s="361"/>
      <c r="K46" s="348"/>
      <c r="L46" s="342" t="str">
        <f>Products!B182</f>
        <v>замок Soft</v>
      </c>
      <c r="M46" s="349">
        <f>Products!E182</f>
        <v>550</v>
      </c>
    </row>
    <row r="47" spans="1:13">
      <c r="A47" s="31"/>
      <c r="B47" s="16" t="str">
        <f>Products!B172</f>
        <v>5.0 - 5.5</v>
      </c>
      <c r="C47" s="164"/>
      <c r="D47" s="185">
        <f>Products!E172</f>
        <v>3850</v>
      </c>
      <c r="E47" s="186">
        <f>Products!G172</f>
        <v>4440</v>
      </c>
      <c r="F47" s="186">
        <f>Products!I172</f>
        <v>4620</v>
      </c>
      <c r="G47" s="199"/>
      <c r="H47" s="97"/>
      <c r="I47" s="97"/>
      <c r="J47" s="361"/>
      <c r="K47" s="348"/>
      <c r="L47" s="342" t="str">
        <f>Products!B183</f>
        <v>замок Soft чорн.</v>
      </c>
      <c r="M47" s="349">
        <f>Products!E183</f>
        <v>680.00000000000011</v>
      </c>
    </row>
    <row r="48" spans="1:13">
      <c r="A48" s="31"/>
      <c r="B48" s="23" t="str">
        <f>Products!B173</f>
        <v>6.0 - 6.6</v>
      </c>
      <c r="C48" s="165"/>
      <c r="D48" s="187">
        <f>Products!E173</f>
        <v>3850</v>
      </c>
      <c r="E48" s="188">
        <f>Products!G173</f>
        <v>4440</v>
      </c>
      <c r="F48" s="188">
        <f>Products!I173</f>
        <v>4620</v>
      </c>
      <c r="G48" s="199"/>
      <c r="H48" s="97"/>
      <c r="I48" s="97"/>
      <c r="J48" s="361"/>
      <c r="K48" s="348"/>
      <c r="L48" s="342" t="str">
        <f>Products!B184</f>
        <v>замок Magnet</v>
      </c>
      <c r="M48" s="349">
        <f>Products!E184</f>
        <v>800.00000000000011</v>
      </c>
    </row>
    <row r="49" spans="1:13">
      <c r="A49" s="31"/>
      <c r="H49" s="97"/>
      <c r="I49" s="97"/>
      <c r="J49" s="361"/>
      <c r="K49" s="348"/>
      <c r="L49" s="342" t="str">
        <f>Products!C185</f>
        <v>замок Magnet чорн.</v>
      </c>
      <c r="M49" s="349">
        <f>Products!E185</f>
        <v>1000</v>
      </c>
    </row>
    <row r="50" spans="1:13">
      <c r="A50" s="31"/>
      <c r="B50" s="175"/>
      <c r="C50" s="176"/>
      <c r="D50" s="199"/>
      <c r="E50" s="199"/>
      <c r="F50" s="199"/>
      <c r="G50" s="199"/>
      <c r="H50" s="97"/>
      <c r="I50" s="97"/>
      <c r="J50" s="361"/>
      <c r="K50" s="348"/>
      <c r="L50" s="342" t="str">
        <f>Products!B186</f>
        <v>ручка-замок (для дверей купе)</v>
      </c>
      <c r="M50" s="349">
        <f>Products!E186</f>
        <v>560</v>
      </c>
    </row>
    <row r="51" spans="1:13">
      <c r="A51" s="31"/>
      <c r="B51" s="175"/>
      <c r="C51" s="176"/>
      <c r="D51" s="199"/>
      <c r="E51" s="199"/>
      <c r="F51" s="199"/>
      <c r="G51" s="199"/>
      <c r="H51" s="97"/>
      <c r="I51" s="97"/>
      <c r="J51" s="361"/>
      <c r="K51" s="348"/>
      <c r="L51" s="342" t="str">
        <f>Products!B187</f>
        <v>циліндр несиметричний</v>
      </c>
      <c r="M51" s="349">
        <f>Products!E187</f>
        <v>390</v>
      </c>
    </row>
    <row r="52" spans="1:13">
      <c r="A52" s="31"/>
      <c r="B52" s="175"/>
      <c r="C52" s="176"/>
      <c r="D52" s="199"/>
      <c r="E52" s="199"/>
      <c r="F52" s="199"/>
      <c r="G52" s="199"/>
      <c r="H52" s="97"/>
      <c r="I52" s="97"/>
      <c r="J52" s="361"/>
      <c r="K52" s="348"/>
      <c r="L52" s="342" t="str">
        <f>Products!B188</f>
        <v>завіса Prestige (1 шт)</v>
      </c>
      <c r="M52" s="349">
        <f>Products!E188</f>
        <v>260</v>
      </c>
    </row>
    <row r="53" spans="1:13">
      <c r="E53" s="34"/>
      <c r="J53" s="353"/>
      <c r="K53" s="348"/>
      <c r="L53" s="342" t="str">
        <f>Products!B189</f>
        <v>накладка на завіси (1 к-т)</v>
      </c>
      <c r="M53" s="349">
        <f>Products!E189</f>
        <v>80</v>
      </c>
    </row>
    <row r="54" spans="1:13" ht="21">
      <c r="E54" s="34"/>
      <c r="J54" s="353"/>
      <c r="K54" s="348"/>
      <c r="L54" s="342" t="str">
        <f>Products!B190</f>
        <v>дверна ручка</v>
      </c>
      <c r="M54" s="349" t="str">
        <f>Products!E190</f>
        <v>див. Таблицю Ручки</v>
      </c>
    </row>
    <row r="55" spans="1:13">
      <c r="C55" s="34"/>
      <c r="D55" s="34"/>
      <c r="E55" s="34"/>
      <c r="J55" s="353"/>
      <c r="K55" s="348"/>
      <c r="L55" s="342" t="str">
        <f>Products!B191</f>
        <v>ДСП трубчасте</v>
      </c>
      <c r="M55" s="349">
        <f>Products!E191</f>
        <v>1300.0000000000002</v>
      </c>
    </row>
    <row r="56" spans="1:13" s="31" customFormat="1" ht="12.75" customHeight="1">
      <c r="B56" s="499" t="str">
        <f>TITLE!$C$11</f>
        <v>Полотна каркасно-щитові: ІДЕЯ</v>
      </c>
      <c r="C56" s="500"/>
      <c r="D56" s="500"/>
      <c r="E56" s="500"/>
      <c r="F56" s="170"/>
      <c r="G56" s="170"/>
      <c r="H56" s="170"/>
      <c r="I56" s="170"/>
      <c r="J56" s="343"/>
      <c r="K56" s="343"/>
      <c r="L56" s="355"/>
      <c r="M56" s="356"/>
    </row>
    <row r="57" spans="1:13">
      <c r="A57" s="31"/>
      <c r="B57" s="497" t="str">
        <f>Products!B293</f>
        <v>модель</v>
      </c>
      <c r="C57" s="166" t="str">
        <f>Products!C293</f>
        <v>покриття:</v>
      </c>
      <c r="D57" s="162" t="str">
        <f>Products!D293</f>
        <v>SIMPL / V-CELL</v>
      </c>
      <c r="E57" s="167" t="str">
        <f>Products!F293</f>
        <v>UNI-MAT</v>
      </c>
      <c r="F57" s="167" t="str">
        <f>Products!H293</f>
        <v>RESIST</v>
      </c>
      <c r="G57" s="46"/>
      <c r="H57" s="216"/>
      <c r="I57" s="216"/>
      <c r="J57" s="216"/>
      <c r="K57" s="357"/>
      <c r="L57" s="341" t="str">
        <f>Products!B304</f>
        <v>вентиляційні віддушини (1ряд)</v>
      </c>
      <c r="M57" s="358">
        <f>Products!E304</f>
        <v>250</v>
      </c>
    </row>
    <row r="58" spans="1:13">
      <c r="A58" s="31"/>
      <c r="B58" s="497"/>
      <c r="C58" s="157" t="str">
        <f>Products!C294</f>
        <v>заповнення:</v>
      </c>
      <c r="D58" s="138" t="str">
        <f>Products!D294</f>
        <v>сотове заповнення</v>
      </c>
      <c r="E58" s="168" t="str">
        <f>Products!F294</f>
        <v>сотове заповнення</v>
      </c>
      <c r="F58" s="168" t="str">
        <f>Products!H294</f>
        <v>сотове заповнення</v>
      </c>
      <c r="G58" s="146"/>
      <c r="H58" s="216"/>
      <c r="I58" s="216"/>
      <c r="J58" s="216"/>
      <c r="K58" s="348"/>
      <c r="L58" s="342" t="str">
        <f>Products!B305</f>
        <v>вентиляційний підріз</v>
      </c>
      <c r="M58" s="349">
        <f>Products!E305</f>
        <v>170.00000000000003</v>
      </c>
    </row>
    <row r="59" spans="1:13" ht="12.75" customHeight="1">
      <c r="A59" s="31"/>
      <c r="B59" s="498"/>
      <c r="C59" s="158" t="str">
        <f>Products!C295</f>
        <v>скління:</v>
      </c>
      <c r="D59" s="125" t="str">
        <f>Products!D295</f>
        <v>Сатин / Жалюзі</v>
      </c>
      <c r="E59" s="174" t="str">
        <f>Products!F295</f>
        <v>Сатин / Жалюзі</v>
      </c>
      <c r="F59" s="174" t="str">
        <f>Products!H295</f>
        <v>Сатин / Жалюзі</v>
      </c>
      <c r="G59" s="160"/>
      <c r="H59" s="216"/>
      <c r="I59" s="216"/>
      <c r="J59" s="216"/>
      <c r="K59" s="348"/>
      <c r="L59" s="342" t="str">
        <f>Products!B306</f>
        <v>третя завіса</v>
      </c>
      <c r="M59" s="349">
        <f>Products!E306</f>
        <v>80</v>
      </c>
    </row>
    <row r="60" spans="1:13">
      <c r="A60" s="31"/>
      <c r="B60" s="13" t="str">
        <f>Products!B296</f>
        <v>1.0.</v>
      </c>
      <c r="C60" s="163"/>
      <c r="D60" s="183">
        <f>Products!E296</f>
        <v>2490</v>
      </c>
      <c r="E60" s="184">
        <f>Products!G296</f>
        <v>2860</v>
      </c>
      <c r="F60" s="184">
        <f>Products!I296</f>
        <v>3170.0000000000005</v>
      </c>
      <c r="G60" s="97"/>
      <c r="H60" s="223"/>
      <c r="I60" s="223"/>
      <c r="J60" s="350"/>
      <c r="K60" s="348"/>
      <c r="L60" s="342" t="str">
        <f>Products!B307</f>
        <v>скло Графіт / Бронза</v>
      </c>
      <c r="M60" s="349">
        <f>Products!E307</f>
        <v>550</v>
      </c>
    </row>
    <row r="61" spans="1:13">
      <c r="A61" s="31"/>
      <c r="B61" s="16" t="str">
        <f>Products!B297</f>
        <v>3.0 - 3.3</v>
      </c>
      <c r="C61" s="164"/>
      <c r="D61" s="185">
        <f>Products!E297</f>
        <v>4790</v>
      </c>
      <c r="E61" s="186">
        <f>Products!G297</f>
        <v>5510</v>
      </c>
      <c r="F61" s="186">
        <f>Products!I297</f>
        <v>5950.0000000000009</v>
      </c>
      <c r="G61" s="97"/>
      <c r="H61" s="223"/>
      <c r="I61" s="223"/>
      <c r="J61" s="350"/>
      <c r="K61" s="348"/>
      <c r="L61" s="342" t="str">
        <f>Products!B308</f>
        <v>замок Soft</v>
      </c>
      <c r="M61" s="349">
        <f>Products!E308</f>
        <v>550</v>
      </c>
    </row>
    <row r="62" spans="1:13">
      <c r="A62" s="31"/>
      <c r="B62" s="107" t="str">
        <f>Products!B298</f>
        <v>4.0 - 4.4</v>
      </c>
      <c r="C62" s="171"/>
      <c r="D62" s="189">
        <f>Products!E298</f>
        <v>4990.0000000000009</v>
      </c>
      <c r="E62" s="190">
        <f>Products!G298</f>
        <v>5750</v>
      </c>
      <c r="F62" s="190">
        <f>Products!I298</f>
        <v>6080</v>
      </c>
      <c r="G62" s="97"/>
      <c r="H62" s="223"/>
      <c r="I62" s="223"/>
      <c r="J62" s="350"/>
      <c r="K62" s="348"/>
      <c r="L62" s="342" t="str">
        <f>Products!B309</f>
        <v>замок Soft чорн.</v>
      </c>
      <c r="M62" s="349">
        <f>Products!E309</f>
        <v>680.00000000000011</v>
      </c>
    </row>
    <row r="63" spans="1:13">
      <c r="A63" s="31"/>
      <c r="B63" s="107" t="str">
        <f>Products!B299</f>
        <v>6.0 - 6.6</v>
      </c>
      <c r="C63" s="171"/>
      <c r="D63" s="189">
        <f>Products!E299</f>
        <v>5450</v>
      </c>
      <c r="E63" s="190">
        <f>Products!G299</f>
        <v>6270</v>
      </c>
      <c r="F63" s="190">
        <f>Products!I299</f>
        <v>6550.0000000000009</v>
      </c>
      <c r="G63" s="97"/>
      <c r="H63" s="223"/>
      <c r="I63" s="223"/>
      <c r="J63" s="350"/>
      <c r="K63" s="348"/>
      <c r="L63" s="342" t="str">
        <f>Products!B310</f>
        <v>замок Magnet</v>
      </c>
      <c r="M63" s="349">
        <f>Products!E310</f>
        <v>800.00000000000011</v>
      </c>
    </row>
    <row r="64" spans="1:13">
      <c r="A64" s="31"/>
      <c r="B64" s="23" t="str">
        <f>Products!B300</f>
        <v>7.0 - 7.1</v>
      </c>
      <c r="C64" s="165"/>
      <c r="D64" s="187">
        <f>Products!E300</f>
        <v>4170</v>
      </c>
      <c r="E64" s="188">
        <f>Products!G300</f>
        <v>4790</v>
      </c>
      <c r="F64" s="188">
        <f>Products!I300</f>
        <v>4990.0000000000009</v>
      </c>
      <c r="G64" s="97"/>
      <c r="H64" s="223"/>
      <c r="I64" s="223"/>
      <c r="J64" s="350"/>
      <c r="K64" s="348"/>
      <c r="L64" s="342" t="str">
        <f>Products!B311</f>
        <v>замок Magnet чорн.</v>
      </c>
      <c r="M64" s="349">
        <f>Products!E311</f>
        <v>1000</v>
      </c>
    </row>
    <row r="65" spans="1:13">
      <c r="A65" s="31"/>
      <c r="F65" s="97"/>
      <c r="G65" s="97"/>
      <c r="H65" s="223"/>
      <c r="I65" s="223"/>
      <c r="J65" s="350"/>
      <c r="K65" s="348"/>
      <c r="L65" s="342" t="str">
        <f>Products!B312</f>
        <v>ручка-замок (для дверей купе)</v>
      </c>
      <c r="M65" s="349">
        <f>Products!E312</f>
        <v>560</v>
      </c>
    </row>
    <row r="66" spans="1:13">
      <c r="A66" s="31"/>
      <c r="F66" s="97"/>
      <c r="G66" s="97"/>
      <c r="H66" s="223"/>
      <c r="I66" s="223"/>
      <c r="J66" s="350"/>
      <c r="K66" s="348"/>
      <c r="L66" s="342" t="str">
        <f>Products!B313</f>
        <v>циліндр несиметричний</v>
      </c>
      <c r="M66" s="349">
        <f>Products!E313</f>
        <v>390</v>
      </c>
    </row>
    <row r="67" spans="1:13">
      <c r="A67" s="31"/>
      <c r="F67" s="97"/>
      <c r="G67" s="97"/>
      <c r="H67" s="223"/>
      <c r="I67" s="223"/>
      <c r="J67" s="350"/>
      <c r="K67" s="348"/>
      <c r="L67" s="342" t="str">
        <f>Products!B314</f>
        <v>завіса Prestige (1 шт)</v>
      </c>
      <c r="M67" s="349">
        <f>Products!E314</f>
        <v>260</v>
      </c>
    </row>
    <row r="68" spans="1:13">
      <c r="C68" s="34"/>
      <c r="D68" s="34"/>
      <c r="E68" s="34"/>
      <c r="J68" s="353"/>
      <c r="K68" s="348"/>
      <c r="L68" s="342" t="str">
        <f>Products!B315</f>
        <v>накладка на завіси (1 к-т)</v>
      </c>
      <c r="M68" s="349">
        <f>Products!E315</f>
        <v>80</v>
      </c>
    </row>
    <row r="69" spans="1:13" ht="21">
      <c r="C69" s="34"/>
      <c r="D69" s="34"/>
      <c r="E69" s="34"/>
      <c r="J69" s="353"/>
      <c r="K69" s="348"/>
      <c r="L69" s="342" t="str">
        <f>Products!B316</f>
        <v>дверна ручка</v>
      </c>
      <c r="M69" s="349" t="str">
        <f>Products!E316</f>
        <v>див. Таблицю Ручки</v>
      </c>
    </row>
    <row r="70" spans="1:13">
      <c r="C70" s="34"/>
      <c r="D70" s="34"/>
      <c r="E70" s="34"/>
      <c r="J70" s="353"/>
      <c r="K70" s="348"/>
      <c r="L70" s="342" t="str">
        <f>Products!B317</f>
        <v>ДСП трубчасте</v>
      </c>
      <c r="M70" s="349">
        <f>Products!E317</f>
        <v>1300.0000000000002</v>
      </c>
    </row>
    <row r="71" spans="1:13" s="31" customFormat="1" ht="12.75" customHeight="1">
      <c r="B71" s="499" t="str">
        <f>TITLE!$C$12</f>
        <v>Полотна каркасно-щитові: ІДЕЯ-ЛОФТ</v>
      </c>
      <c r="C71" s="500"/>
      <c r="D71" s="500"/>
      <c r="E71" s="500"/>
      <c r="F71" s="170"/>
      <c r="G71" s="170"/>
      <c r="H71" s="170"/>
      <c r="I71" s="170"/>
      <c r="J71" s="343"/>
      <c r="K71" s="343"/>
      <c r="L71" s="355"/>
      <c r="M71" s="356"/>
    </row>
    <row r="72" spans="1:13">
      <c r="A72" s="31"/>
      <c r="B72" s="497" t="str">
        <f>Products!B370</f>
        <v>модель</v>
      </c>
      <c r="C72" s="166" t="str">
        <f>Products!C370</f>
        <v>покриття:</v>
      </c>
      <c r="D72" s="167" t="str">
        <f>Products!D370</f>
        <v>LOFT</v>
      </c>
      <c r="E72" s="97"/>
      <c r="F72" s="46"/>
      <c r="G72" s="46"/>
      <c r="H72" s="216"/>
      <c r="I72" s="216"/>
      <c r="J72" s="216"/>
      <c r="K72" s="357"/>
      <c r="L72" s="341" t="str">
        <f>Products!B377</f>
        <v>вентиляційні віддушини (1ряд)</v>
      </c>
      <c r="M72" s="358">
        <f>Products!E377</f>
        <v>250</v>
      </c>
    </row>
    <row r="73" spans="1:13">
      <c r="A73" s="31"/>
      <c r="B73" s="497"/>
      <c r="C73" s="157" t="str">
        <f>Products!C371</f>
        <v>заповнення:</v>
      </c>
      <c r="D73" s="168" t="str">
        <f>Products!D371</f>
        <v>сотове заповнення</v>
      </c>
      <c r="E73" s="97"/>
      <c r="F73" s="146"/>
      <c r="G73" s="146"/>
      <c r="H73" s="216"/>
      <c r="I73" s="216"/>
      <c r="J73" s="216"/>
      <c r="K73" s="348"/>
      <c r="L73" s="342" t="str">
        <f>Products!B378</f>
        <v>вентиляційний підріз</v>
      </c>
      <c r="M73" s="349">
        <f>Products!E378</f>
        <v>170.00000000000003</v>
      </c>
    </row>
    <row r="74" spans="1:13" ht="12.75" customHeight="1">
      <c r="A74" s="31"/>
      <c r="B74" s="498"/>
      <c r="C74" s="158"/>
      <c r="D74" s="161"/>
      <c r="E74" s="97"/>
      <c r="F74" s="159"/>
      <c r="G74" s="160"/>
      <c r="H74" s="216"/>
      <c r="I74" s="216"/>
      <c r="J74" s="216"/>
      <c r="K74" s="348"/>
      <c r="L74" s="342" t="str">
        <f>Products!B379</f>
        <v>третя завіса</v>
      </c>
      <c r="M74" s="349">
        <f>Products!E379</f>
        <v>80</v>
      </c>
    </row>
    <row r="75" spans="1:13">
      <c r="A75" s="31"/>
      <c r="B75" s="49" t="str">
        <f>Products!B373</f>
        <v>1.0.</v>
      </c>
      <c r="C75" s="329"/>
      <c r="D75" s="195">
        <f>Products!E373</f>
        <v>3870</v>
      </c>
      <c r="E75" s="97"/>
      <c r="F75" s="97"/>
      <c r="G75" s="97"/>
      <c r="H75" s="223"/>
      <c r="I75" s="223"/>
      <c r="J75" s="350"/>
      <c r="K75" s="348"/>
      <c r="L75" s="342" t="str">
        <f>Products!B380</f>
        <v>замок Soft</v>
      </c>
      <c r="M75" s="349">
        <f>Products!E380</f>
        <v>550</v>
      </c>
    </row>
    <row r="76" spans="1:13">
      <c r="A76" s="31"/>
      <c r="E76" s="97"/>
      <c r="F76" s="97"/>
      <c r="G76" s="97"/>
      <c r="H76" s="223"/>
      <c r="I76" s="223"/>
      <c r="J76" s="350"/>
      <c r="K76" s="348"/>
      <c r="L76" s="342" t="str">
        <f>Products!B381</f>
        <v>замок Soft чорн.</v>
      </c>
      <c r="M76" s="349">
        <f>Products!E381</f>
        <v>680.00000000000011</v>
      </c>
    </row>
    <row r="77" spans="1:13">
      <c r="A77" s="31"/>
      <c r="E77" s="97"/>
      <c r="F77" s="97"/>
      <c r="G77" s="97"/>
      <c r="H77" s="223"/>
      <c r="I77" s="223"/>
      <c r="J77" s="350"/>
      <c r="K77" s="348"/>
      <c r="L77" s="342" t="str">
        <f>Products!B382</f>
        <v>замок Magnet</v>
      </c>
      <c r="M77" s="349">
        <f>Products!E382</f>
        <v>800.00000000000011</v>
      </c>
    </row>
    <row r="78" spans="1:13">
      <c r="A78" s="31"/>
      <c r="E78" s="97"/>
      <c r="F78" s="97"/>
      <c r="G78" s="97"/>
      <c r="H78" s="223"/>
      <c r="I78" s="223"/>
      <c r="J78" s="350"/>
      <c r="K78" s="348"/>
      <c r="L78" s="342" t="str">
        <f>Products!B383</f>
        <v>замок Magnet чорн.</v>
      </c>
      <c r="M78" s="349">
        <f>Products!E383</f>
        <v>1000</v>
      </c>
    </row>
    <row r="79" spans="1:13">
      <c r="A79" s="31"/>
      <c r="E79" s="97"/>
      <c r="F79" s="97"/>
      <c r="G79" s="97"/>
      <c r="H79" s="223"/>
      <c r="I79" s="223"/>
      <c r="J79" s="350"/>
      <c r="K79" s="348"/>
      <c r="L79" s="342" t="str">
        <f>Products!B384</f>
        <v>ручка-замок (для дверей купе)</v>
      </c>
      <c r="M79" s="349">
        <f>Products!E384</f>
        <v>560</v>
      </c>
    </row>
    <row r="80" spans="1:13">
      <c r="A80" s="31"/>
      <c r="E80" s="97"/>
      <c r="F80" s="97"/>
      <c r="G80" s="97"/>
      <c r="H80" s="223"/>
      <c r="I80" s="223"/>
      <c r="J80" s="350"/>
      <c r="K80" s="348"/>
      <c r="L80" s="342" t="str">
        <f>Products!B385</f>
        <v>циліндр несиметричний</v>
      </c>
      <c r="M80" s="349">
        <f>Products!E385</f>
        <v>390</v>
      </c>
    </row>
    <row r="81" spans="1:13">
      <c r="A81" s="31"/>
      <c r="F81" s="97"/>
      <c r="G81" s="97"/>
      <c r="H81" s="223"/>
      <c r="I81" s="223"/>
      <c r="J81" s="350"/>
      <c r="K81" s="348"/>
      <c r="L81" s="342" t="str">
        <f>Products!B386</f>
        <v>завіса Prestige (1 шт)</v>
      </c>
      <c r="M81" s="349">
        <f>Products!E386</f>
        <v>260</v>
      </c>
    </row>
    <row r="82" spans="1:13">
      <c r="C82" s="34"/>
      <c r="D82" s="34"/>
      <c r="E82" s="34"/>
      <c r="J82" s="353"/>
      <c r="K82" s="348"/>
      <c r="L82" s="342" t="str">
        <f>Products!B387</f>
        <v>накладка на завіси (1 к-т)</v>
      </c>
      <c r="M82" s="349">
        <f>Products!E387</f>
        <v>80</v>
      </c>
    </row>
    <row r="83" spans="1:13" ht="21">
      <c r="C83" s="34"/>
      <c r="D83" s="34"/>
      <c r="E83" s="34"/>
      <c r="J83" s="353"/>
      <c r="K83" s="348"/>
      <c r="L83" s="342" t="str">
        <f>Products!B388</f>
        <v>дверна ручка</v>
      </c>
      <c r="M83" s="349" t="str">
        <f>Products!E388</f>
        <v>див. Таблицю Ручки</v>
      </c>
    </row>
    <row r="84" spans="1:13">
      <c r="C84" s="34"/>
      <c r="D84" s="34"/>
      <c r="E84" s="34"/>
      <c r="J84" s="353"/>
      <c r="K84" s="348"/>
      <c r="L84" s="342" t="str">
        <f>Products!B389</f>
        <v>ДСП трубчасте</v>
      </c>
      <c r="M84" s="349">
        <f>Products!E389</f>
        <v>1300.0000000000002</v>
      </c>
    </row>
    <row r="85" spans="1:13">
      <c r="B85" s="512" t="str">
        <f>Products!B402</f>
        <v>Полотна збірні: КЛАСІК</v>
      </c>
      <c r="C85" s="513"/>
      <c r="D85" s="513"/>
      <c r="E85" s="513"/>
      <c r="F85" s="441"/>
      <c r="G85" s="441"/>
      <c r="H85" s="441"/>
      <c r="I85" s="170"/>
      <c r="J85" s="343"/>
      <c r="K85" s="343"/>
      <c r="L85" s="355"/>
      <c r="M85" s="356"/>
    </row>
    <row r="86" spans="1:13">
      <c r="B86" s="514" t="str">
        <f>Products!B404</f>
        <v>модель</v>
      </c>
      <c r="C86" s="156" t="str">
        <f>Products!C404</f>
        <v>покриття:</v>
      </c>
      <c r="D86" s="167" t="str">
        <f>Products!D404</f>
        <v>UNI-MAT</v>
      </c>
      <c r="E86" s="167" t="str">
        <f>Products!F404</f>
        <v>RESIST</v>
      </c>
      <c r="F86" s="146"/>
      <c r="G86" s="146"/>
      <c r="H86" s="146"/>
      <c r="I86" s="216"/>
      <c r="J86" s="216"/>
      <c r="K86" s="357"/>
      <c r="L86" s="341" t="str">
        <f>Products!B415</f>
        <v>полотно розміром 100</v>
      </c>
      <c r="M86" s="358">
        <f>Products!E415</f>
        <v>720</v>
      </c>
    </row>
    <row r="87" spans="1:13" ht="22.5">
      <c r="B87" s="515"/>
      <c r="C87" s="157" t="str">
        <f>Products!C405</f>
        <v>заповнення:</v>
      </c>
      <c r="D87" s="168" t="str">
        <f>Products!D405</f>
        <v>клеєний сосновий брус</v>
      </c>
      <c r="E87" s="168" t="str">
        <f>Products!F405</f>
        <v>клеєний сосновий брус</v>
      </c>
      <c r="F87" s="415"/>
      <c r="G87" s="415"/>
      <c r="H87" s="415"/>
      <c r="I87" s="216"/>
      <c r="J87" s="216"/>
      <c r="K87" s="348"/>
      <c r="L87" s="342" t="str">
        <f>Products!B416</f>
        <v>вентиляційний підріз</v>
      </c>
      <c r="M87" s="349">
        <f>Products!E416</f>
        <v>170.00000000000003</v>
      </c>
    </row>
    <row r="88" spans="1:13">
      <c r="B88" s="516"/>
      <c r="C88" s="158" t="str">
        <f>Products!C406</f>
        <v>скління:</v>
      </c>
      <c r="D88" s="161" t="str">
        <f>Products!D406</f>
        <v>Сатин</v>
      </c>
      <c r="E88" s="161" t="str">
        <f>Products!F406</f>
        <v>Сатин</v>
      </c>
      <c r="F88" s="415"/>
      <c r="G88" s="415"/>
      <c r="H88" s="415"/>
      <c r="I88" s="216"/>
      <c r="J88" s="216"/>
      <c r="K88" s="348"/>
      <c r="L88" s="342" t="str">
        <f>Products!B417</f>
        <v>скло Графіт / Бронза</v>
      </c>
      <c r="M88" s="349">
        <f>Products!E417</f>
        <v>550</v>
      </c>
    </row>
    <row r="89" spans="1:13">
      <c r="B89" s="114" t="str">
        <f>Products!B407</f>
        <v>1.0-1.1</v>
      </c>
      <c r="C89" s="173"/>
      <c r="D89" s="292">
        <f>Products!E407</f>
        <v>7020</v>
      </c>
      <c r="E89" s="292">
        <f>Products!G407</f>
        <v>7300.0000000000009</v>
      </c>
      <c r="F89" s="199"/>
      <c r="G89" s="199"/>
      <c r="H89" s="199"/>
      <c r="I89" s="31"/>
      <c r="J89" s="362"/>
      <c r="K89" s="348"/>
      <c r="L89" s="342" t="str">
        <f>Products!B418</f>
        <v>замок Soft</v>
      </c>
      <c r="M89" s="349">
        <f>Products!E418</f>
        <v>550</v>
      </c>
    </row>
    <row r="90" spans="1:13">
      <c r="B90" s="16" t="str">
        <f>Products!B408</f>
        <v>1А.1</v>
      </c>
      <c r="C90" s="164"/>
      <c r="D90" s="185">
        <f>Products!E408</f>
        <v>6830</v>
      </c>
      <c r="E90" s="185">
        <f>Products!G408</f>
        <v>7100</v>
      </c>
      <c r="F90" s="199"/>
      <c r="G90" s="199"/>
      <c r="H90" s="199"/>
      <c r="I90" s="31"/>
      <c r="J90" s="362"/>
      <c r="K90" s="348"/>
      <c r="L90" s="342" t="str">
        <f>Products!B419</f>
        <v>замок Soft чорн.</v>
      </c>
      <c r="M90" s="349">
        <f>Products!E419</f>
        <v>680.00000000000011</v>
      </c>
    </row>
    <row r="91" spans="1:13">
      <c r="B91" s="16" t="str">
        <f>Products!B409</f>
        <v>2.0-2.1</v>
      </c>
      <c r="C91" s="164"/>
      <c r="D91" s="185">
        <f>Products!E409</f>
        <v>7290</v>
      </c>
      <c r="E91" s="185">
        <f>Products!G409</f>
        <v>7580</v>
      </c>
      <c r="F91" s="199"/>
      <c r="G91" s="199"/>
      <c r="H91" s="199"/>
      <c r="I91" s="31"/>
      <c r="J91" s="362"/>
      <c r="K91" s="348"/>
      <c r="L91" s="342" t="str">
        <f>Products!B420</f>
        <v>замок Magnet</v>
      </c>
      <c r="M91" s="349">
        <f>Products!E420</f>
        <v>800.00000000000011</v>
      </c>
    </row>
    <row r="92" spans="1:13">
      <c r="B92" s="16" t="str">
        <f>Products!B410</f>
        <v>2А.1</v>
      </c>
      <c r="C92" s="442"/>
      <c r="D92" s="185">
        <f>Products!E410</f>
        <v>7060.0000000000009</v>
      </c>
      <c r="E92" s="185">
        <f>Products!G410</f>
        <v>7340</v>
      </c>
      <c r="F92" s="97"/>
      <c r="G92" s="97"/>
      <c r="H92" s="31"/>
      <c r="I92" s="31"/>
      <c r="J92" s="362"/>
      <c r="K92" s="348"/>
      <c r="L92" s="342" t="str">
        <f>Products!B421</f>
        <v>замок Magnet чорн.</v>
      </c>
      <c r="M92" s="349">
        <f>Products!E421</f>
        <v>1000</v>
      </c>
    </row>
    <row r="93" spans="1:13">
      <c r="B93" s="23" t="str">
        <f>Products!B411</f>
        <v>3.0-3.1</v>
      </c>
      <c r="C93" s="443"/>
      <c r="D93" s="187">
        <f>Products!E411</f>
        <v>7590</v>
      </c>
      <c r="E93" s="187">
        <f>Products!G411</f>
        <v>7900</v>
      </c>
      <c r="H93" s="31"/>
      <c r="I93" s="31"/>
      <c r="J93" s="362"/>
      <c r="K93" s="348"/>
      <c r="L93" s="342" t="str">
        <f>Products!B422</f>
        <v>ручка-замок (для дверей купе)</v>
      </c>
      <c r="M93" s="349">
        <f>Products!E422</f>
        <v>560</v>
      </c>
    </row>
    <row r="94" spans="1:13">
      <c r="C94" s="34"/>
      <c r="D94" s="34"/>
      <c r="E94" s="34"/>
      <c r="H94" s="31"/>
      <c r="I94" s="31"/>
      <c r="J94" s="362"/>
      <c r="K94" s="348"/>
      <c r="L94" s="342" t="str">
        <f>Products!B423</f>
        <v>циліндр несиметричний</v>
      </c>
      <c r="M94" s="349">
        <f>Products!E423</f>
        <v>390</v>
      </c>
    </row>
    <row r="95" spans="1:13">
      <c r="C95" s="34"/>
      <c r="D95" s="34"/>
      <c r="E95" s="34"/>
      <c r="H95" s="31"/>
      <c r="I95" s="31"/>
      <c r="J95" s="362"/>
      <c r="K95" s="348"/>
      <c r="L95" s="342" t="str">
        <f>Products!B424</f>
        <v>завіса Prestige (1 шт)</v>
      </c>
      <c r="M95" s="349">
        <f>Products!E424</f>
        <v>260</v>
      </c>
    </row>
    <row r="96" spans="1:13">
      <c r="C96" s="34"/>
      <c r="D96" s="34"/>
      <c r="E96" s="34"/>
      <c r="J96" s="353"/>
      <c r="K96" s="348"/>
      <c r="L96" s="342" t="str">
        <f>Products!B425</f>
        <v>накладка на завіси (1 к-т)</v>
      </c>
      <c r="M96" s="349">
        <f>Products!E425</f>
        <v>80</v>
      </c>
    </row>
    <row r="97" spans="1:13" ht="21">
      <c r="C97" s="34"/>
      <c r="D97" s="34"/>
      <c r="E97" s="34"/>
      <c r="J97" s="353"/>
      <c r="K97" s="348"/>
      <c r="L97" s="342" t="str">
        <f>Products!B426</f>
        <v>дверна ручка</v>
      </c>
      <c r="M97" s="349" t="str">
        <f>Products!E426</f>
        <v>див. Таблицю Ручки</v>
      </c>
    </row>
    <row r="98" spans="1:13" s="31" customFormat="1" ht="12.75" customHeight="1">
      <c r="B98" s="499" t="str">
        <f>TITLE!$C$14</f>
        <v>Полотна збірні: ЛАДА A</v>
      </c>
      <c r="C98" s="500"/>
      <c r="D98" s="500"/>
      <c r="E98" s="500"/>
      <c r="F98" s="170"/>
      <c r="G98" s="170"/>
      <c r="H98" s="170"/>
      <c r="I98" s="170"/>
      <c r="J98" s="343"/>
      <c r="K98" s="343"/>
      <c r="L98" s="355"/>
      <c r="M98" s="356"/>
    </row>
    <row r="99" spans="1:13" ht="24.75" customHeight="1">
      <c r="A99" s="31"/>
      <c r="B99" s="507" t="str">
        <f>Products!B446</f>
        <v>модель</v>
      </c>
      <c r="C99" s="156" t="str">
        <f>Products!C446</f>
        <v>покриття:</v>
      </c>
      <c r="D99" s="129" t="str">
        <f>Products!D446</f>
        <v>Verto-CELL</v>
      </c>
      <c r="E99" s="167" t="str">
        <f>Products!F446</f>
        <v>UNI-MAT</v>
      </c>
      <c r="F99" s="130" t="str">
        <f>Products!H446</f>
        <v>RESIST</v>
      </c>
      <c r="G99" s="130" t="str">
        <f>Products!J446</f>
        <v>Verto LINE-3D</v>
      </c>
      <c r="H99" s="130" t="str">
        <f>Products!L446</f>
        <v>ЕКО Шпон</v>
      </c>
      <c r="I99" s="216"/>
      <c r="J99" s="216"/>
      <c r="K99" s="357"/>
      <c r="L99" s="341" t="str">
        <f>Products!B455</f>
        <v>полотно розміром 100</v>
      </c>
      <c r="M99" s="358">
        <f>Products!E455</f>
        <v>720</v>
      </c>
    </row>
    <row r="100" spans="1:13" ht="24.75" customHeight="1">
      <c r="A100" s="31"/>
      <c r="B100" s="497"/>
      <c r="C100" s="157" t="str">
        <f>Products!C447</f>
        <v>заповнення:</v>
      </c>
      <c r="D100" s="139" t="str">
        <f>Products!D447</f>
        <v>клеєний сосновий брус</v>
      </c>
      <c r="E100" s="168" t="str">
        <f>Products!F447</f>
        <v>клеєний сосновий брус</v>
      </c>
      <c r="F100" s="140" t="str">
        <f>Products!H447</f>
        <v>клеєний сосновий брус</v>
      </c>
      <c r="G100" s="140" t="str">
        <f>Products!J447</f>
        <v>клеєний сосновий брус</v>
      </c>
      <c r="H100" s="140" t="str">
        <f>Products!L447</f>
        <v>клеєний сосновий брус</v>
      </c>
      <c r="I100" s="216"/>
      <c r="J100" s="216"/>
      <c r="K100" s="348"/>
      <c r="L100" s="342" t="str">
        <f>Products!B456</f>
        <v>вентиляційний підріз</v>
      </c>
      <c r="M100" s="349">
        <f>Products!E456</f>
        <v>170.00000000000003</v>
      </c>
    </row>
    <row r="101" spans="1:13" ht="12.75" customHeight="1">
      <c r="A101" s="31"/>
      <c r="B101" s="498"/>
      <c r="C101" s="158" t="str">
        <f>Products!C448</f>
        <v>скління:</v>
      </c>
      <c r="D101" s="137" t="str">
        <f>Products!D448</f>
        <v>Сатин</v>
      </c>
      <c r="E101" s="161" t="str">
        <f>Products!F448</f>
        <v>Сатин</v>
      </c>
      <c r="F101" s="126" t="str">
        <f>Products!H448</f>
        <v>Сатин</v>
      </c>
      <c r="G101" s="126" t="str">
        <f>Products!J448</f>
        <v>Сатин</v>
      </c>
      <c r="H101" s="126" t="str">
        <f>Products!L448</f>
        <v>Сатин</v>
      </c>
      <c r="I101" s="216"/>
      <c r="J101" s="216"/>
      <c r="K101" s="348"/>
      <c r="L101" s="342" t="str">
        <f>Products!B457</f>
        <v>скло Графіт / Бронза</v>
      </c>
      <c r="M101" s="349">
        <f>Products!E457</f>
        <v>550</v>
      </c>
    </row>
    <row r="102" spans="1:13">
      <c r="A102" s="31"/>
      <c r="B102" s="13" t="str">
        <f>Products!B449</f>
        <v>2А.0 - 2А.1</v>
      </c>
      <c r="C102" s="163"/>
      <c r="D102" s="184">
        <f>Products!E449</f>
        <v>6230</v>
      </c>
      <c r="E102" s="184">
        <f>Products!G449</f>
        <v>7100</v>
      </c>
      <c r="F102" s="184">
        <f>Products!I449</f>
        <v>7390</v>
      </c>
      <c r="G102" s="184">
        <f>Products!K449</f>
        <v>8050</v>
      </c>
      <c r="H102" s="184">
        <f>Products!M449</f>
        <v>8470</v>
      </c>
      <c r="I102" s="31"/>
      <c r="J102" s="362"/>
      <c r="K102" s="348"/>
      <c r="L102" s="342" t="str">
        <f>Products!B458</f>
        <v>замок Soft</v>
      </c>
      <c r="M102" s="349">
        <f>Products!E458</f>
        <v>550</v>
      </c>
    </row>
    <row r="103" spans="1:13">
      <c r="A103" s="31"/>
      <c r="B103" s="114" t="str">
        <f>Products!B450</f>
        <v>3А.0 - 3А.2</v>
      </c>
      <c r="C103" s="173"/>
      <c r="D103" s="194">
        <f>Products!E450</f>
        <v>6230</v>
      </c>
      <c r="E103" s="194">
        <f>Products!G450</f>
        <v>7100</v>
      </c>
      <c r="F103" s="194">
        <f>Products!I450</f>
        <v>7390</v>
      </c>
      <c r="G103" s="194">
        <f>Products!K450</f>
        <v>8050</v>
      </c>
      <c r="H103" s="194">
        <f>Products!M450</f>
        <v>8470</v>
      </c>
      <c r="I103" s="31"/>
      <c r="J103" s="362"/>
      <c r="K103" s="348"/>
      <c r="L103" s="342" t="str">
        <f>Products!B459</f>
        <v>замок Soft чорн.</v>
      </c>
      <c r="M103" s="349">
        <f>Products!E459</f>
        <v>680.00000000000011</v>
      </c>
    </row>
    <row r="104" spans="1:13">
      <c r="A104" s="31"/>
      <c r="B104" s="281" t="str">
        <f>Products!B451</f>
        <v>8.0 - 8.5</v>
      </c>
      <c r="C104" s="282"/>
      <c r="D104" s="283">
        <f>Products!E451</f>
        <v>6230</v>
      </c>
      <c r="E104" s="283">
        <f>Products!G451</f>
        <v>7100</v>
      </c>
      <c r="F104" s="283">
        <f>Products!I451</f>
        <v>7390</v>
      </c>
      <c r="G104" s="283">
        <f>Products!K451</f>
        <v>8050</v>
      </c>
      <c r="H104" s="283">
        <f>Products!M451</f>
        <v>8470</v>
      </c>
      <c r="I104" s="31"/>
      <c r="J104" s="362"/>
      <c r="K104" s="348"/>
      <c r="L104" s="342" t="str">
        <f>Products!B460</f>
        <v>замок Magnet</v>
      </c>
      <c r="M104" s="349">
        <f>Products!E460</f>
        <v>800.00000000000011</v>
      </c>
    </row>
    <row r="105" spans="1:13">
      <c r="A105" s="31"/>
      <c r="F105" s="97"/>
      <c r="G105" s="97"/>
      <c r="H105" s="31"/>
      <c r="I105" s="31"/>
      <c r="J105" s="362"/>
      <c r="K105" s="348"/>
      <c r="L105" s="342" t="str">
        <f>Products!B461</f>
        <v>замок Magnet чорн.</v>
      </c>
      <c r="M105" s="349">
        <f>Products!E461</f>
        <v>1000</v>
      </c>
    </row>
    <row r="106" spans="1:13">
      <c r="A106" s="31"/>
      <c r="C106" s="34"/>
      <c r="D106" s="34"/>
      <c r="E106" s="34"/>
      <c r="H106" s="31"/>
      <c r="I106" s="31"/>
      <c r="J106" s="362"/>
      <c r="K106" s="348"/>
      <c r="L106" s="342" t="str">
        <f>Products!B462</f>
        <v>ручка-замок (для дверей купе)</v>
      </c>
      <c r="M106" s="349">
        <f>Products!E462</f>
        <v>560</v>
      </c>
    </row>
    <row r="107" spans="1:13">
      <c r="A107" s="31"/>
      <c r="C107" s="34"/>
      <c r="D107" s="34"/>
      <c r="E107" s="34"/>
      <c r="H107" s="31"/>
      <c r="I107" s="31"/>
      <c r="J107" s="362"/>
      <c r="K107" s="348"/>
      <c r="L107" s="342" t="str">
        <f>Products!B463</f>
        <v>циліндр несиметричний</v>
      </c>
      <c r="M107" s="349">
        <f>Products!E463</f>
        <v>390</v>
      </c>
    </row>
    <row r="108" spans="1:13">
      <c r="A108" s="31"/>
      <c r="C108" s="34"/>
      <c r="D108" s="34"/>
      <c r="E108" s="34"/>
      <c r="H108" s="31"/>
      <c r="I108" s="31"/>
      <c r="J108" s="362"/>
      <c r="K108" s="348"/>
      <c r="L108" s="342" t="str">
        <f>Products!B464</f>
        <v>завіса Prestige (1 шт)</v>
      </c>
      <c r="M108" s="349">
        <f>Products!E464</f>
        <v>260</v>
      </c>
    </row>
    <row r="109" spans="1:13">
      <c r="C109" s="34"/>
      <c r="D109" s="34"/>
      <c r="E109" s="34"/>
      <c r="J109" s="353"/>
      <c r="K109" s="348"/>
      <c r="L109" s="342" t="str">
        <f>Products!B465</f>
        <v>накладка на завіси (1 к-т)</v>
      </c>
      <c r="M109" s="349">
        <f>Products!E465</f>
        <v>80</v>
      </c>
    </row>
    <row r="110" spans="1:13" ht="21">
      <c r="C110" s="34"/>
      <c r="D110" s="34"/>
      <c r="E110" s="34"/>
      <c r="J110" s="353"/>
      <c r="K110" s="348"/>
      <c r="L110" s="342" t="str">
        <f>Products!B466</f>
        <v>дверна ручка</v>
      </c>
      <c r="M110" s="349" t="str">
        <f>Products!E466</f>
        <v>див. Таблицю Ручки</v>
      </c>
    </row>
    <row r="111" spans="1:13">
      <c r="B111" s="499" t="str">
        <f>Products!B517</f>
        <v>Полотна збірні: ЛАДА B</v>
      </c>
      <c r="C111" s="500"/>
      <c r="D111" s="500"/>
      <c r="E111" s="500"/>
      <c r="F111" s="170"/>
      <c r="G111" s="170"/>
      <c r="H111" s="170"/>
      <c r="I111" s="170"/>
      <c r="J111" s="343"/>
      <c r="K111" s="343"/>
      <c r="L111" s="355"/>
      <c r="M111" s="356"/>
    </row>
    <row r="112" spans="1:13" ht="27.75" customHeight="1">
      <c r="B112" s="507" t="str">
        <f>Products!B519</f>
        <v>модель</v>
      </c>
      <c r="C112" s="156" t="str">
        <f>Products!C519</f>
        <v>покриття:</v>
      </c>
      <c r="D112" s="129" t="str">
        <f>Products!D519</f>
        <v>Verto-CELL</v>
      </c>
      <c r="E112" s="167" t="str">
        <f>Products!F519</f>
        <v>UNI-MAT</v>
      </c>
      <c r="F112" s="130" t="str">
        <f>Products!H519</f>
        <v>RESIST</v>
      </c>
      <c r="G112" s="130" t="str">
        <f>Products!J519</f>
        <v>Verto LINE-3D</v>
      </c>
      <c r="H112" s="130" t="str">
        <f>Products!L519</f>
        <v>ЕКО Шпон</v>
      </c>
      <c r="I112" s="216"/>
      <c r="J112" s="216"/>
      <c r="K112" s="357"/>
      <c r="L112" s="341" t="str">
        <f>Products!B528</f>
        <v>полотно розміром 100</v>
      </c>
      <c r="M112" s="358">
        <f>Products!E528</f>
        <v>720</v>
      </c>
    </row>
    <row r="113" spans="2:13" ht="24" customHeight="1">
      <c r="B113" s="497"/>
      <c r="C113" s="157" t="str">
        <f>Products!C520</f>
        <v>заповнення:</v>
      </c>
      <c r="D113" s="139" t="str">
        <f>Products!D520</f>
        <v>клеєний сосновий брус</v>
      </c>
      <c r="E113" s="168" t="str">
        <f>Products!F520</f>
        <v>клеєний сосновий брус</v>
      </c>
      <c r="F113" s="140" t="str">
        <f>Products!H520</f>
        <v>клеєний сосновий брус</v>
      </c>
      <c r="G113" s="140" t="str">
        <f>Products!J520</f>
        <v>клеєний сосновий брус</v>
      </c>
      <c r="H113" s="140" t="str">
        <f>Products!L520</f>
        <v>клеєний сосновий брус</v>
      </c>
      <c r="I113" s="216"/>
      <c r="J113" s="216"/>
      <c r="K113" s="348"/>
      <c r="L113" s="342" t="str">
        <f>Products!B529</f>
        <v>вентиляційний підріз</v>
      </c>
      <c r="M113" s="349">
        <f>Products!E529</f>
        <v>170.00000000000003</v>
      </c>
    </row>
    <row r="114" spans="2:13">
      <c r="B114" s="498"/>
      <c r="C114" s="158" t="str">
        <f>Products!C521</f>
        <v>скління:</v>
      </c>
      <c r="D114" s="137" t="str">
        <f>Products!D521</f>
        <v>Сатин</v>
      </c>
      <c r="E114" s="161" t="str">
        <f>Products!F521</f>
        <v>Сатин</v>
      </c>
      <c r="F114" s="126" t="str">
        <f>Products!H521</f>
        <v>Сатин</v>
      </c>
      <c r="G114" s="126" t="str">
        <f>Products!J521</f>
        <v>Сатин</v>
      </c>
      <c r="H114" s="126" t="str">
        <f>Products!L521</f>
        <v>Сатин</v>
      </c>
      <c r="I114" s="216"/>
      <c r="J114" s="216"/>
      <c r="K114" s="348"/>
      <c r="L114" s="342" t="str">
        <f>Products!B530</f>
        <v>скло Графіт / Бронза</v>
      </c>
      <c r="M114" s="349">
        <f>Products!E530</f>
        <v>550</v>
      </c>
    </row>
    <row r="115" spans="2:13">
      <c r="B115" s="13" t="str">
        <f>Products!B522</f>
        <v>1.0 - 1.3</v>
      </c>
      <c r="C115" s="163"/>
      <c r="D115" s="184">
        <f>Products!E522</f>
        <v>6230</v>
      </c>
      <c r="E115" s="184">
        <f>Products!G522</f>
        <v>7100</v>
      </c>
      <c r="F115" s="184">
        <f>Products!I522</f>
        <v>7400</v>
      </c>
      <c r="G115" s="184">
        <f>Products!K522</f>
        <v>8050</v>
      </c>
      <c r="H115" s="184">
        <f>Products!M522</f>
        <v>8470</v>
      </c>
      <c r="I115" s="31"/>
      <c r="J115" s="362"/>
      <c r="K115" s="348"/>
      <c r="L115" s="342" t="str">
        <f>Products!B531</f>
        <v>скло Lacobel чорне</v>
      </c>
      <c r="M115" s="349">
        <f>Products!E531</f>
        <v>550</v>
      </c>
    </row>
    <row r="116" spans="2:13">
      <c r="B116" s="114" t="str">
        <f>Products!B523</f>
        <v>2.0 - 2.2</v>
      </c>
      <c r="C116" s="173"/>
      <c r="D116" s="194">
        <f>Products!E523</f>
        <v>6230</v>
      </c>
      <c r="E116" s="194">
        <f>Products!G523</f>
        <v>7100</v>
      </c>
      <c r="F116" s="194">
        <f>Products!I523</f>
        <v>7400</v>
      </c>
      <c r="G116" s="194">
        <f>Products!K523</f>
        <v>8050</v>
      </c>
      <c r="H116" s="194">
        <f>Products!M523</f>
        <v>8470</v>
      </c>
      <c r="I116" s="31"/>
      <c r="J116" s="362"/>
      <c r="K116" s="348"/>
      <c r="L116" s="342" t="str">
        <f>Products!B532</f>
        <v>замок Soft</v>
      </c>
      <c r="M116" s="349">
        <f>Products!E532</f>
        <v>550</v>
      </c>
    </row>
    <row r="117" spans="2:13">
      <c r="B117" s="281" t="str">
        <f>Products!B524</f>
        <v>3.0 - 3.5</v>
      </c>
      <c r="C117" s="282"/>
      <c r="D117" s="283">
        <f>Products!E524</f>
        <v>6500</v>
      </c>
      <c r="E117" s="283">
        <f>Products!G524</f>
        <v>7400</v>
      </c>
      <c r="F117" s="283">
        <f>Products!I524</f>
        <v>7730</v>
      </c>
      <c r="G117" s="283">
        <f>Products!K524</f>
        <v>8340</v>
      </c>
      <c r="H117" s="283">
        <f>Products!M524</f>
        <v>8850</v>
      </c>
      <c r="I117" s="31"/>
      <c r="J117" s="362"/>
      <c r="K117" s="348"/>
      <c r="L117" s="342" t="str">
        <f>Products!B533</f>
        <v>замок Soft чорн.</v>
      </c>
      <c r="M117" s="349">
        <f>Products!E533</f>
        <v>680.00000000000011</v>
      </c>
    </row>
    <row r="118" spans="2:13">
      <c r="F118" s="97"/>
      <c r="G118" s="97"/>
      <c r="H118" s="31"/>
      <c r="I118" s="31"/>
      <c r="J118" s="362"/>
      <c r="K118" s="348"/>
      <c r="L118" s="342" t="str">
        <f>Products!B534</f>
        <v>замок Magnet</v>
      </c>
      <c r="M118" s="349">
        <f>Products!E534</f>
        <v>800.00000000000011</v>
      </c>
    </row>
    <row r="119" spans="2:13">
      <c r="C119" s="34"/>
      <c r="D119" s="34"/>
      <c r="E119" s="34"/>
      <c r="H119" s="31"/>
      <c r="I119" s="31"/>
      <c r="J119" s="362"/>
      <c r="K119" s="348"/>
      <c r="L119" s="342" t="str">
        <f>Products!B535</f>
        <v>замок Magnet чорн.</v>
      </c>
      <c r="M119" s="349">
        <f>Products!E535</f>
        <v>1000</v>
      </c>
    </row>
    <row r="120" spans="2:13">
      <c r="C120" s="34"/>
      <c r="D120" s="34"/>
      <c r="E120" s="34"/>
      <c r="H120" s="31"/>
      <c r="I120" s="31"/>
      <c r="J120" s="362"/>
      <c r="K120" s="348"/>
      <c r="L120" s="342" t="str">
        <f>Products!B536</f>
        <v>ручка-замок (для дверей купе)</v>
      </c>
      <c r="M120" s="349">
        <f>Products!E536</f>
        <v>560</v>
      </c>
    </row>
    <row r="121" spans="2:13">
      <c r="C121" s="34"/>
      <c r="D121" s="34"/>
      <c r="E121" s="34"/>
      <c r="H121" s="31"/>
      <c r="I121" s="31"/>
      <c r="J121" s="362"/>
      <c r="K121" s="348"/>
      <c r="L121" s="342" t="str">
        <f>Products!B537</f>
        <v>циліндр несиметричний</v>
      </c>
      <c r="M121" s="349">
        <f>Products!E537</f>
        <v>390</v>
      </c>
    </row>
    <row r="122" spans="2:13">
      <c r="F122" s="97"/>
      <c r="G122" s="97"/>
      <c r="H122" s="31"/>
      <c r="I122" s="31"/>
      <c r="J122" s="362"/>
      <c r="K122" s="348"/>
      <c r="L122" s="342" t="str">
        <f>Products!B538</f>
        <v>завіса Prestige (1 шт)</v>
      </c>
      <c r="M122" s="349">
        <f>Products!E538</f>
        <v>260</v>
      </c>
    </row>
    <row r="123" spans="2:13">
      <c r="C123" s="34"/>
      <c r="D123" s="34"/>
      <c r="E123" s="34"/>
      <c r="J123" s="353"/>
      <c r="K123" s="348"/>
      <c r="L123" s="342" t="str">
        <f>Products!B539</f>
        <v>накладка на завіси (1 к-т)</v>
      </c>
      <c r="M123" s="349">
        <f>Products!E539</f>
        <v>80</v>
      </c>
    </row>
    <row r="124" spans="2:13" ht="21">
      <c r="C124" s="34"/>
      <c r="D124" s="34"/>
      <c r="E124" s="34"/>
      <c r="J124" s="353"/>
      <c r="K124" s="348"/>
      <c r="L124" s="342" t="str">
        <f>Products!B540</f>
        <v>дверна ручка</v>
      </c>
      <c r="M124" s="349" t="str">
        <f>Products!E540</f>
        <v>див. Таблицю Ручки</v>
      </c>
    </row>
    <row r="125" spans="2:13">
      <c r="B125" s="499" t="str">
        <f>Products!B591</f>
        <v>Полотна збірні: ЛАДА C</v>
      </c>
      <c r="C125" s="500"/>
      <c r="D125" s="500"/>
      <c r="E125" s="500"/>
      <c r="F125" s="170"/>
      <c r="G125" s="170"/>
      <c r="H125" s="170"/>
      <c r="I125" s="170"/>
      <c r="J125" s="343"/>
      <c r="K125" s="343"/>
      <c r="L125" s="355"/>
      <c r="M125" s="356"/>
    </row>
    <row r="126" spans="2:13" ht="25.5" customHeight="1">
      <c r="B126" s="507" t="str">
        <f>Products!B593</f>
        <v>модель</v>
      </c>
      <c r="C126" s="156" t="str">
        <f>Products!C593</f>
        <v>покриття:</v>
      </c>
      <c r="D126" s="129" t="str">
        <f>Products!D593</f>
        <v>Verto-CELL</v>
      </c>
      <c r="E126" s="167" t="str">
        <f>Products!F593</f>
        <v>UNI-MAT</v>
      </c>
      <c r="F126" s="130" t="str">
        <f>Products!H593</f>
        <v>RESIST</v>
      </c>
      <c r="G126" s="130" t="str">
        <f>Products!J593</f>
        <v>Verto LINE-3D</v>
      </c>
      <c r="H126" s="130" t="str">
        <f>Products!L593</f>
        <v>ЕКО Шпон</v>
      </c>
      <c r="I126" s="216"/>
      <c r="J126" s="216"/>
      <c r="K126" s="357"/>
      <c r="L126" s="341" t="str">
        <f>Products!B601</f>
        <v>полотно розміром 100</v>
      </c>
      <c r="M126" s="358">
        <f>Products!E601</f>
        <v>720</v>
      </c>
    </row>
    <row r="127" spans="2:13" ht="24.75" customHeight="1">
      <c r="B127" s="497"/>
      <c r="C127" s="157" t="str">
        <f>Products!C594</f>
        <v>заповнення:</v>
      </c>
      <c r="D127" s="139" t="str">
        <f>Products!D594</f>
        <v>клеєний сосновий брус</v>
      </c>
      <c r="E127" s="168" t="str">
        <f>Products!F594</f>
        <v>клеєний сосновий брус</v>
      </c>
      <c r="F127" s="140" t="str">
        <f>Products!H594</f>
        <v>клеєний сосновий брус</v>
      </c>
      <c r="G127" s="140" t="str">
        <f>Products!J594</f>
        <v>клеєний сосновий брус</v>
      </c>
      <c r="H127" s="140" t="str">
        <f>Products!L594</f>
        <v>клеєний сосновий брус</v>
      </c>
      <c r="I127" s="216"/>
      <c r="J127" s="216"/>
      <c r="K127" s="348"/>
      <c r="L127" s="342" t="str">
        <f>Products!B602</f>
        <v>вентиляційний підріз</v>
      </c>
      <c r="M127" s="349">
        <f>Products!E602</f>
        <v>170.00000000000003</v>
      </c>
    </row>
    <row r="128" spans="2:13">
      <c r="B128" s="498"/>
      <c r="C128" s="158" t="str">
        <f>Products!C595</f>
        <v>скління:</v>
      </c>
      <c r="D128" s="137" t="str">
        <f>Products!D595</f>
        <v>Сатин</v>
      </c>
      <c r="E128" s="161" t="str">
        <f>Products!F595</f>
        <v>Сатин</v>
      </c>
      <c r="F128" s="126" t="str">
        <f>Products!H595</f>
        <v>Сатин</v>
      </c>
      <c r="G128" s="126" t="str">
        <f>Products!J595</f>
        <v>Сатин</v>
      </c>
      <c r="H128" s="126" t="str">
        <f>Products!L595</f>
        <v>Сатин</v>
      </c>
      <c r="I128" s="216"/>
      <c r="J128" s="216"/>
      <c r="K128" s="348"/>
      <c r="L128" s="342" t="str">
        <f>Products!B603</f>
        <v>скло Графіт / Бронза</v>
      </c>
      <c r="M128" s="349">
        <f>Products!E603</f>
        <v>550</v>
      </c>
    </row>
    <row r="129" spans="2:13">
      <c r="B129" s="13" t="str">
        <f>Products!B596</f>
        <v>4.0 - 4.8</v>
      </c>
      <c r="C129" s="163"/>
      <c r="D129" s="184">
        <f>Products!E596</f>
        <v>6790.0000000000009</v>
      </c>
      <c r="E129" s="184">
        <f>Products!G596</f>
        <v>7740</v>
      </c>
      <c r="F129" s="184">
        <f>Products!I596</f>
        <v>8050</v>
      </c>
      <c r="G129" s="184">
        <f>Products!K596</f>
        <v>8770</v>
      </c>
      <c r="H129" s="184">
        <f>Products!M596</f>
        <v>9200</v>
      </c>
      <c r="I129" s="31"/>
      <c r="J129" s="362"/>
      <c r="K129" s="348"/>
      <c r="L129" s="342" t="str">
        <f>Products!B604</f>
        <v>замок Soft</v>
      </c>
      <c r="M129" s="349">
        <f>Products!E604</f>
        <v>550</v>
      </c>
    </row>
    <row r="130" spans="2:13">
      <c r="B130" s="281" t="str">
        <f>Products!B597</f>
        <v>5.0 - 5.6</v>
      </c>
      <c r="C130" s="282"/>
      <c r="D130" s="283">
        <f>Products!E597</f>
        <v>6790.0000000000009</v>
      </c>
      <c r="E130" s="283">
        <f>Products!G597</f>
        <v>7740</v>
      </c>
      <c r="F130" s="283">
        <f>Products!I597</f>
        <v>8050</v>
      </c>
      <c r="G130" s="283">
        <f>Products!K597</f>
        <v>8770</v>
      </c>
      <c r="H130" s="283">
        <f>Products!M597</f>
        <v>9200</v>
      </c>
      <c r="I130" s="31"/>
      <c r="J130" s="362"/>
      <c r="K130" s="348"/>
      <c r="L130" s="342" t="str">
        <f>Products!B605</f>
        <v>замок Soft чорн.</v>
      </c>
      <c r="M130" s="349">
        <f>Products!E605</f>
        <v>680.00000000000011</v>
      </c>
    </row>
    <row r="131" spans="2:13">
      <c r="F131" s="97"/>
      <c r="G131" s="97"/>
      <c r="H131" s="31"/>
      <c r="I131" s="31"/>
      <c r="J131" s="362"/>
      <c r="K131" s="348"/>
      <c r="L131" s="342" t="str">
        <f>Products!B606</f>
        <v>замок Magnet</v>
      </c>
      <c r="M131" s="349">
        <f>Products!E606</f>
        <v>800.00000000000011</v>
      </c>
    </row>
    <row r="132" spans="2:13">
      <c r="F132" s="97"/>
      <c r="G132" s="97"/>
      <c r="H132" s="31"/>
      <c r="I132" s="31"/>
      <c r="J132" s="362"/>
      <c r="K132" s="348"/>
      <c r="L132" s="342" t="str">
        <f>Products!B607</f>
        <v>замок Magnet чорн.</v>
      </c>
      <c r="M132" s="349">
        <f>Products!E607</f>
        <v>1000</v>
      </c>
    </row>
    <row r="133" spans="2:13">
      <c r="C133" s="34"/>
      <c r="D133" s="34"/>
      <c r="E133" s="34"/>
      <c r="H133" s="31"/>
      <c r="I133" s="31"/>
      <c r="J133" s="362"/>
      <c r="K133" s="348"/>
      <c r="L133" s="342" t="str">
        <f>Products!B608</f>
        <v>ручка-замок (для дверей купе)</v>
      </c>
      <c r="M133" s="349">
        <f>Products!E608</f>
        <v>560</v>
      </c>
    </row>
    <row r="134" spans="2:13">
      <c r="C134" s="34"/>
      <c r="D134" s="34"/>
      <c r="E134" s="34"/>
      <c r="H134" s="31"/>
      <c r="I134" s="31"/>
      <c r="J134" s="362"/>
      <c r="K134" s="348"/>
      <c r="L134" s="342" t="str">
        <f>Products!B609</f>
        <v>циліндр несиметричний</v>
      </c>
      <c r="M134" s="349">
        <f>Products!E609</f>
        <v>390</v>
      </c>
    </row>
    <row r="135" spans="2:13">
      <c r="C135" s="34"/>
      <c r="D135" s="34"/>
      <c r="E135" s="34"/>
      <c r="H135" s="31"/>
      <c r="I135" s="31"/>
      <c r="J135" s="362"/>
      <c r="K135" s="348"/>
      <c r="L135" s="342" t="str">
        <f>Products!B610</f>
        <v>завіса Prestige (1 шт)</v>
      </c>
      <c r="M135" s="349">
        <f>Products!E610</f>
        <v>260</v>
      </c>
    </row>
    <row r="136" spans="2:13">
      <c r="C136" s="34"/>
      <c r="D136" s="34"/>
      <c r="E136" s="34"/>
      <c r="J136" s="353"/>
      <c r="K136" s="348"/>
      <c r="L136" s="342" t="str">
        <f>Products!B611</f>
        <v>накладка на завіси (1 к-т)</v>
      </c>
      <c r="M136" s="349">
        <f>Products!E611</f>
        <v>80</v>
      </c>
    </row>
    <row r="137" spans="2:13" ht="21">
      <c r="C137" s="34"/>
      <c r="D137" s="34"/>
      <c r="E137" s="34"/>
      <c r="J137" s="353"/>
      <c r="K137" s="348"/>
      <c r="L137" s="342" t="str">
        <f>Products!B612</f>
        <v>дверна ручка</v>
      </c>
      <c r="M137" s="349" t="str">
        <f>Products!E612</f>
        <v>див. Таблицю Ручки</v>
      </c>
    </row>
    <row r="138" spans="2:13">
      <c r="B138" s="499" t="str">
        <f>Products!B663</f>
        <v>Полотна збірні: ЛАДА D</v>
      </c>
      <c r="C138" s="500"/>
      <c r="D138" s="500"/>
      <c r="E138" s="500"/>
      <c r="F138" s="170"/>
      <c r="G138" s="170"/>
      <c r="H138" s="170"/>
      <c r="I138" s="170"/>
      <c r="J138" s="343"/>
      <c r="K138" s="343"/>
      <c r="L138" s="355"/>
      <c r="M138" s="356"/>
    </row>
    <row r="139" spans="2:13" ht="27" customHeight="1">
      <c r="B139" s="507" t="str">
        <f>Products!B665</f>
        <v>модель</v>
      </c>
      <c r="C139" s="156" t="str">
        <f>Products!C665</f>
        <v>покриття:</v>
      </c>
      <c r="D139" s="129" t="str">
        <f>Products!D665</f>
        <v>Verto-CELL</v>
      </c>
      <c r="E139" s="167" t="str">
        <f>Products!F665</f>
        <v>UNI-MAT</v>
      </c>
      <c r="F139" s="130" t="str">
        <f>Products!H665</f>
        <v>RESIST</v>
      </c>
      <c r="G139" s="130" t="str">
        <f>Products!J665</f>
        <v>Verto LINE-3D</v>
      </c>
      <c r="H139" s="130" t="str">
        <f>Products!L665</f>
        <v>ЕКО Шпон</v>
      </c>
      <c r="I139" s="216"/>
      <c r="J139" s="216"/>
      <c r="K139" s="357"/>
      <c r="L139" s="341" t="str">
        <f>Products!B673</f>
        <v>полотно розміром 100</v>
      </c>
      <c r="M139" s="358">
        <f>Products!E673</f>
        <v>720</v>
      </c>
    </row>
    <row r="140" spans="2:13" ht="24.75" customHeight="1">
      <c r="B140" s="497"/>
      <c r="C140" s="157" t="str">
        <f>Products!C666</f>
        <v>заповнення:</v>
      </c>
      <c r="D140" s="139" t="str">
        <f>Products!D666</f>
        <v>клеєний сосновий брус</v>
      </c>
      <c r="E140" s="168" t="str">
        <f>Products!F666</f>
        <v>клеєний сосновий брус</v>
      </c>
      <c r="F140" s="140" t="str">
        <f>Products!H666</f>
        <v>клеєний сосновий брус</v>
      </c>
      <c r="G140" s="140" t="str">
        <f>Products!J666</f>
        <v>клеєний сосновий брус</v>
      </c>
      <c r="H140" s="140" t="str">
        <f>Products!L666</f>
        <v>клеєний сосновий брус</v>
      </c>
      <c r="I140" s="216"/>
      <c r="J140" s="216"/>
      <c r="K140" s="348"/>
      <c r="L140" s="342" t="str">
        <f>Products!B674</f>
        <v>вентиляційний підріз</v>
      </c>
      <c r="M140" s="349">
        <f>Products!E674</f>
        <v>170.00000000000003</v>
      </c>
    </row>
    <row r="141" spans="2:13">
      <c r="B141" s="498"/>
      <c r="C141" s="158" t="str">
        <f>Products!C667</f>
        <v>скління:</v>
      </c>
      <c r="D141" s="137" t="str">
        <f>Products!D667</f>
        <v>Сатин</v>
      </c>
      <c r="E141" s="161" t="str">
        <f>Products!F667</f>
        <v>Сатин</v>
      </c>
      <c r="F141" s="126" t="str">
        <f>Products!H667</f>
        <v>Сатин</v>
      </c>
      <c r="G141" s="126" t="str">
        <f>Products!J667</f>
        <v>Сатин</v>
      </c>
      <c r="H141" s="126" t="str">
        <f>Products!L667</f>
        <v>Сатин</v>
      </c>
      <c r="I141" s="216"/>
      <c r="J141" s="216"/>
      <c r="K141" s="348"/>
      <c r="L141" s="342" t="str">
        <f>Products!B675</f>
        <v>скло Графіт / Бронза</v>
      </c>
      <c r="M141" s="349">
        <f>Products!E675</f>
        <v>550</v>
      </c>
    </row>
    <row r="142" spans="2:13">
      <c r="B142" s="13" t="str">
        <f>Products!B668</f>
        <v>6.0 - 6.4</v>
      </c>
      <c r="C142" s="163"/>
      <c r="D142" s="184">
        <f>Products!E668</f>
        <v>6790.0000000000009</v>
      </c>
      <c r="E142" s="184">
        <f>Products!G668</f>
        <v>7740</v>
      </c>
      <c r="F142" s="184">
        <f>Products!I668</f>
        <v>8050</v>
      </c>
      <c r="G142" s="184">
        <f>Products!K668</f>
        <v>8770</v>
      </c>
      <c r="H142" s="184">
        <f>Products!M668</f>
        <v>9190</v>
      </c>
      <c r="I142" s="31"/>
      <c r="J142" s="362"/>
      <c r="K142" s="348"/>
      <c r="L142" s="342" t="str">
        <f>Products!B676</f>
        <v>скло Lacobel чорне</v>
      </c>
      <c r="M142" s="349">
        <f>Products!E676</f>
        <v>550</v>
      </c>
    </row>
    <row r="143" spans="2:13">
      <c r="B143" s="281" t="str">
        <f>Products!B669</f>
        <v>7.0 - 7.2</v>
      </c>
      <c r="C143" s="282"/>
      <c r="D143" s="283">
        <f>Products!E669</f>
        <v>6730.0000000000009</v>
      </c>
      <c r="E143" s="283">
        <f>Products!G669</f>
        <v>7670</v>
      </c>
      <c r="F143" s="283">
        <f>Products!I669</f>
        <v>8010</v>
      </c>
      <c r="G143" s="283">
        <f>Products!K669</f>
        <v>8650</v>
      </c>
      <c r="H143" s="283">
        <f>Products!M669</f>
        <v>9170</v>
      </c>
      <c r="I143" s="31"/>
      <c r="J143" s="362"/>
      <c r="K143" s="348"/>
      <c r="L143" s="342" t="str">
        <f>Products!B677</f>
        <v>замок Soft</v>
      </c>
      <c r="M143" s="349">
        <f>Products!E677</f>
        <v>550</v>
      </c>
    </row>
    <row r="144" spans="2:13">
      <c r="F144" s="97"/>
      <c r="G144" s="97"/>
      <c r="H144" s="31"/>
      <c r="I144" s="31"/>
      <c r="J144" s="362"/>
      <c r="K144" s="348"/>
      <c r="L144" s="342" t="str">
        <f>Products!B678</f>
        <v>замок Soft чорн.</v>
      </c>
      <c r="M144" s="349">
        <f>Products!E678</f>
        <v>680.00000000000011</v>
      </c>
    </row>
    <row r="145" spans="2:13">
      <c r="F145" s="97"/>
      <c r="G145" s="97"/>
      <c r="H145" s="31"/>
      <c r="I145" s="31"/>
      <c r="J145" s="362"/>
      <c r="K145" s="348"/>
      <c r="L145" s="342" t="str">
        <f>Products!B679</f>
        <v>замок Magnet</v>
      </c>
      <c r="M145" s="349">
        <f>Products!E679</f>
        <v>800.00000000000011</v>
      </c>
    </row>
    <row r="146" spans="2:13">
      <c r="C146" s="34"/>
      <c r="D146" s="34"/>
      <c r="E146" s="34"/>
      <c r="H146" s="31"/>
      <c r="I146" s="31"/>
      <c r="J146" s="362"/>
      <c r="K146" s="348"/>
      <c r="L146" s="342" t="str">
        <f>Products!B680</f>
        <v>замок Magnet чорн.</v>
      </c>
      <c r="M146" s="349">
        <f>Products!E680</f>
        <v>1000</v>
      </c>
    </row>
    <row r="147" spans="2:13">
      <c r="C147" s="34"/>
      <c r="D147" s="34"/>
      <c r="E147" s="34"/>
      <c r="H147" s="31"/>
      <c r="I147" s="31"/>
      <c r="J147" s="362"/>
      <c r="K147" s="348"/>
      <c r="L147" s="342" t="str">
        <f>Products!B681</f>
        <v>ручка-замок (для дверей купе)</v>
      </c>
      <c r="M147" s="349">
        <f>Products!E681</f>
        <v>560</v>
      </c>
    </row>
    <row r="148" spans="2:13">
      <c r="F148" s="97"/>
      <c r="G148" s="97"/>
      <c r="H148" s="31"/>
      <c r="I148" s="31"/>
      <c r="J148" s="362"/>
      <c r="K148" s="348"/>
      <c r="L148" s="342" t="str">
        <f>Products!B682</f>
        <v>циліндр несиметричний</v>
      </c>
      <c r="M148" s="349">
        <f>Products!E682</f>
        <v>390</v>
      </c>
    </row>
    <row r="149" spans="2:13">
      <c r="C149" s="34"/>
      <c r="D149" s="34"/>
      <c r="E149" s="34"/>
      <c r="J149" s="353"/>
      <c r="K149" s="348"/>
      <c r="L149" s="342" t="str">
        <f>Products!B683</f>
        <v>завіса Prestige (1 шт)</v>
      </c>
      <c r="M149" s="349">
        <f>Products!E683</f>
        <v>260</v>
      </c>
    </row>
    <row r="150" spans="2:13">
      <c r="C150" s="34"/>
      <c r="D150" s="34"/>
      <c r="E150" s="34"/>
      <c r="J150" s="353"/>
      <c r="K150" s="348"/>
      <c r="L150" s="342" t="str">
        <f>Products!B684</f>
        <v>накладка на завіси (1 к-т)</v>
      </c>
      <c r="M150" s="349">
        <f>Products!E684</f>
        <v>80</v>
      </c>
    </row>
    <row r="151" spans="2:13" ht="21">
      <c r="C151" s="34"/>
      <c r="D151" s="34"/>
      <c r="E151" s="34"/>
      <c r="J151" s="353"/>
      <c r="K151" s="348"/>
      <c r="L151" s="342" t="str">
        <f>Products!B685</f>
        <v>дверна ручка</v>
      </c>
      <c r="M151" s="349" t="str">
        <f>Products!E685</f>
        <v>див. Таблицю Ручки</v>
      </c>
    </row>
    <row r="152" spans="2:13">
      <c r="B152" s="499" t="str">
        <f>Products!B736</f>
        <v>Полотна збірні: НІКА</v>
      </c>
      <c r="C152" s="500"/>
      <c r="D152" s="500"/>
      <c r="E152" s="500"/>
      <c r="F152" s="170"/>
      <c r="G152" s="170"/>
      <c r="H152" s="170"/>
      <c r="I152" s="170"/>
      <c r="J152" s="343"/>
      <c r="K152" s="343"/>
      <c r="L152" s="355"/>
      <c r="M152" s="356"/>
    </row>
    <row r="153" spans="2:13" ht="24.75" customHeight="1">
      <c r="B153" s="507" t="str">
        <f>Products!B738</f>
        <v>модель</v>
      </c>
      <c r="C153" s="156" t="str">
        <f>Products!C738</f>
        <v>покриття:</v>
      </c>
      <c r="D153" s="129" t="str">
        <f>Products!D738</f>
        <v>Verto-CELL</v>
      </c>
      <c r="E153" s="167" t="str">
        <f>Products!F738</f>
        <v>UNI-MAT</v>
      </c>
      <c r="F153" s="130" t="str">
        <f>Products!H738</f>
        <v>RESIST</v>
      </c>
      <c r="G153" s="130" t="str">
        <f>Products!J738</f>
        <v>Verto LINE-3D</v>
      </c>
      <c r="H153" s="130" t="str">
        <f>Products!L738</f>
        <v>ЕКО Шпон</v>
      </c>
      <c r="I153" s="216"/>
      <c r="J153" s="216"/>
      <c r="K153" s="357"/>
      <c r="L153" s="341" t="str">
        <f>Products!B746</f>
        <v>полотно розміром 100</v>
      </c>
      <c r="M153" s="358">
        <f>Products!E746</f>
        <v>720</v>
      </c>
    </row>
    <row r="154" spans="2:13" ht="24.75" customHeight="1">
      <c r="B154" s="497"/>
      <c r="C154" s="157" t="str">
        <f>Products!C739</f>
        <v>заповнення:</v>
      </c>
      <c r="D154" s="139" t="str">
        <f>Products!D739</f>
        <v>клеєний сосновий брус</v>
      </c>
      <c r="E154" s="168" t="str">
        <f>Products!F739</f>
        <v>клеєний сосновий брус</v>
      </c>
      <c r="F154" s="140" t="str">
        <f>Products!H739</f>
        <v>клеєний сосновий брус</v>
      </c>
      <c r="G154" s="140" t="str">
        <f>Products!J739</f>
        <v>клеєний сосновий брус</v>
      </c>
      <c r="H154" s="140" t="str">
        <f>Products!L739</f>
        <v>клеєний сосновий брус</v>
      </c>
      <c r="I154" s="216"/>
      <c r="J154" s="216"/>
      <c r="K154" s="348"/>
      <c r="L154" s="342" t="str">
        <f>Products!B747</f>
        <v>вентиляційний підріз</v>
      </c>
      <c r="M154" s="349">
        <f>Products!E747</f>
        <v>170.00000000000003</v>
      </c>
    </row>
    <row r="155" spans="2:13">
      <c r="B155" s="498"/>
      <c r="C155" s="158" t="str">
        <f>Products!C740</f>
        <v>скління:</v>
      </c>
      <c r="D155" s="137" t="str">
        <f>Products!D740</f>
        <v>Сатин</v>
      </c>
      <c r="E155" s="161" t="str">
        <f>Products!F740</f>
        <v>Сатин</v>
      </c>
      <c r="F155" s="126" t="str">
        <f>Products!H740</f>
        <v>Сатин</v>
      </c>
      <c r="G155" s="126" t="str">
        <f>Products!J740</f>
        <v>Сатин</v>
      </c>
      <c r="H155" s="126" t="str">
        <f>Products!L740</f>
        <v>Сатин</v>
      </c>
      <c r="I155" s="216"/>
      <c r="J155" s="216"/>
      <c r="K155" s="348"/>
      <c r="L155" s="342" t="str">
        <f>Products!B748</f>
        <v>скло Графіт / Бронза</v>
      </c>
      <c r="M155" s="349">
        <f>Products!E748</f>
        <v>550</v>
      </c>
    </row>
    <row r="156" spans="2:13">
      <c r="B156" s="13" t="str">
        <f>Products!B741</f>
        <v>1.0 - 1.8</v>
      </c>
      <c r="C156" s="163"/>
      <c r="D156" s="184">
        <f>Products!E741</f>
        <v>6590</v>
      </c>
      <c r="E156" s="184">
        <f>Products!G741</f>
        <v>7500</v>
      </c>
      <c r="F156" s="184">
        <f>Products!I741</f>
        <v>7740</v>
      </c>
      <c r="G156" s="184">
        <f>Products!K741</f>
        <v>8400</v>
      </c>
      <c r="H156" s="184">
        <f>Products!M741</f>
        <v>8770</v>
      </c>
      <c r="I156" s="31"/>
      <c r="J156" s="362"/>
      <c r="K156" s="348"/>
      <c r="L156" s="342" t="str">
        <f>Products!B749</f>
        <v>скло Lacobel чорне</v>
      </c>
      <c r="M156" s="349">
        <f>Products!E749</f>
        <v>550</v>
      </c>
    </row>
    <row r="157" spans="2:13">
      <c r="B157" s="281" t="str">
        <f>Products!B742</f>
        <v>2.1 - 2.4</v>
      </c>
      <c r="C157" s="282"/>
      <c r="D157" s="283">
        <f>Products!E742</f>
        <v>6590</v>
      </c>
      <c r="E157" s="283">
        <f>Products!G742</f>
        <v>7500</v>
      </c>
      <c r="F157" s="283">
        <f>Products!I742</f>
        <v>7740</v>
      </c>
      <c r="G157" s="283">
        <f>Products!K742</f>
        <v>8400</v>
      </c>
      <c r="H157" s="283">
        <f>Products!M742</f>
        <v>8770</v>
      </c>
      <c r="I157" s="31"/>
      <c r="J157" s="362"/>
      <c r="K157" s="348"/>
      <c r="L157" s="342" t="str">
        <f>Products!B750</f>
        <v>замок Soft</v>
      </c>
      <c r="M157" s="349">
        <f>Products!E750</f>
        <v>550</v>
      </c>
    </row>
    <row r="158" spans="2:13">
      <c r="F158" s="97"/>
      <c r="G158" s="97"/>
      <c r="H158" s="31"/>
      <c r="I158" s="31"/>
      <c r="J158" s="362"/>
      <c r="K158" s="348"/>
      <c r="L158" s="342" t="str">
        <f>Products!B751</f>
        <v>замок Soft чорн.</v>
      </c>
      <c r="M158" s="349">
        <f>Products!E751</f>
        <v>680.00000000000011</v>
      </c>
    </row>
    <row r="159" spans="2:13">
      <c r="F159" s="97"/>
      <c r="G159" s="97"/>
      <c r="H159" s="31"/>
      <c r="I159" s="31"/>
      <c r="J159" s="362"/>
      <c r="K159" s="348"/>
      <c r="L159" s="342" t="str">
        <f>Products!B752</f>
        <v>замок Magnet</v>
      </c>
      <c r="M159" s="349">
        <f>Products!E752</f>
        <v>800.00000000000011</v>
      </c>
    </row>
    <row r="160" spans="2:13">
      <c r="C160" s="34"/>
      <c r="D160" s="34"/>
      <c r="E160" s="34"/>
      <c r="H160" s="31"/>
      <c r="I160" s="31"/>
      <c r="J160" s="362"/>
      <c r="K160" s="348"/>
      <c r="L160" s="342" t="str">
        <f>Products!B753</f>
        <v>замок Magnet чорн.</v>
      </c>
      <c r="M160" s="349">
        <f>Products!E753</f>
        <v>1000</v>
      </c>
    </row>
    <row r="161" spans="2:13">
      <c r="C161" s="34"/>
      <c r="D161" s="34"/>
      <c r="E161" s="34"/>
      <c r="H161" s="31"/>
      <c r="I161" s="31"/>
      <c r="J161" s="362"/>
      <c r="K161" s="348"/>
      <c r="L161" s="342" t="str">
        <f>Products!B754</f>
        <v>ручка-замок (для дверей купе)</v>
      </c>
      <c r="M161" s="349">
        <f>Products!E754</f>
        <v>560</v>
      </c>
    </row>
    <row r="162" spans="2:13">
      <c r="C162" s="34"/>
      <c r="D162" s="34"/>
      <c r="E162" s="34"/>
      <c r="H162" s="31"/>
      <c r="I162" s="31"/>
      <c r="J162" s="362"/>
      <c r="K162" s="348"/>
      <c r="L162" s="342" t="str">
        <f>Products!B755</f>
        <v>циліндр несиметричний</v>
      </c>
      <c r="M162" s="349">
        <f>Products!E755</f>
        <v>390</v>
      </c>
    </row>
    <row r="163" spans="2:13">
      <c r="F163" s="97"/>
      <c r="G163" s="97"/>
      <c r="H163" s="31"/>
      <c r="I163" s="31"/>
      <c r="J163" s="362"/>
      <c r="K163" s="348"/>
      <c r="L163" s="342" t="str">
        <f>Products!B756</f>
        <v>завіса Prestige (1 шт)</v>
      </c>
      <c r="M163" s="349">
        <f>Products!E756</f>
        <v>260</v>
      </c>
    </row>
    <row r="164" spans="2:13">
      <c r="F164" s="97"/>
      <c r="G164" s="97"/>
      <c r="H164" s="31"/>
      <c r="I164" s="31"/>
      <c r="J164" s="362"/>
      <c r="K164" s="348"/>
      <c r="L164" s="342" t="str">
        <f>Products!B757</f>
        <v>накладка на завіси (1 к-т)</v>
      </c>
      <c r="M164" s="349">
        <f>Products!E757</f>
        <v>80</v>
      </c>
    </row>
    <row r="165" spans="2:13" ht="21">
      <c r="F165" s="97"/>
      <c r="G165" s="97"/>
      <c r="H165" s="31"/>
      <c r="I165" s="31"/>
      <c r="J165" s="362"/>
      <c r="K165" s="348"/>
      <c r="L165" s="342" t="str">
        <f>Products!B758</f>
        <v>дверна ручка</v>
      </c>
      <c r="M165" s="349" t="str">
        <f>Products!E758</f>
        <v>див. Таблицю Ручки</v>
      </c>
    </row>
    <row r="166" spans="2:13">
      <c r="B166" s="499" t="str">
        <f>Products!B809</f>
        <v>Полотна збірні: ЛІСА</v>
      </c>
      <c r="C166" s="500"/>
      <c r="D166" s="500"/>
      <c r="E166" s="500"/>
      <c r="F166" s="170"/>
      <c r="G166" s="170"/>
      <c r="H166" s="170"/>
      <c r="I166" s="170"/>
      <c r="J166" s="343"/>
      <c r="K166" s="343"/>
      <c r="L166" s="355"/>
      <c r="M166" s="356"/>
    </row>
    <row r="167" spans="2:13" ht="27" customHeight="1">
      <c r="B167" s="507" t="str">
        <f>Products!B811</f>
        <v>модель</v>
      </c>
      <c r="C167" s="156" t="str">
        <f>Products!C811</f>
        <v>покриття:</v>
      </c>
      <c r="D167" s="129" t="str">
        <f>Products!D811</f>
        <v>Verto-CELL</v>
      </c>
      <c r="E167" s="167" t="str">
        <f>Products!F811</f>
        <v>UNI-MAT</v>
      </c>
      <c r="F167" s="130" t="str">
        <f>Products!H811</f>
        <v>RESIST</v>
      </c>
      <c r="G167" s="130" t="str">
        <f>Products!J811</f>
        <v>Verto LINE-3D</v>
      </c>
      <c r="H167" s="130" t="str">
        <f>Products!L811</f>
        <v>ЕКО Шпон</v>
      </c>
      <c r="I167" s="216"/>
      <c r="J167" s="216"/>
      <c r="K167" s="357"/>
      <c r="L167" s="341" t="str">
        <f>Products!B819</f>
        <v>полотно розміром 100</v>
      </c>
      <c r="M167" s="358">
        <f>Products!E819</f>
        <v>720</v>
      </c>
    </row>
    <row r="168" spans="2:13" ht="24.75" customHeight="1">
      <c r="B168" s="497"/>
      <c r="C168" s="157" t="str">
        <f>Products!C812</f>
        <v>заповнення:</v>
      </c>
      <c r="D168" s="139" t="str">
        <f>Products!D812</f>
        <v>клеєний сосновий брус</v>
      </c>
      <c r="E168" s="168" t="str">
        <f>Products!F812</f>
        <v>клеєний сосновий брус</v>
      </c>
      <c r="F168" s="140" t="str">
        <f>Products!H812</f>
        <v>клеєний сосновий брус</v>
      </c>
      <c r="G168" s="140" t="str">
        <f>Products!J812</f>
        <v>клеєний сосновий брус</v>
      </c>
      <c r="H168" s="140" t="str">
        <f>Products!L812</f>
        <v>клеєний сосновий брус</v>
      </c>
      <c r="I168" s="216"/>
      <c r="J168" s="216"/>
      <c r="K168" s="348"/>
      <c r="L168" s="342" t="str">
        <f>Products!B820</f>
        <v>вентиляційний підріз</v>
      </c>
      <c r="M168" s="349">
        <f>Products!E820</f>
        <v>170.00000000000003</v>
      </c>
    </row>
    <row r="169" spans="2:13">
      <c r="B169" s="498"/>
      <c r="C169" s="158" t="str">
        <f>Products!C813</f>
        <v>скління:</v>
      </c>
      <c r="D169" s="137" t="str">
        <f>Products!D813</f>
        <v>Сатин</v>
      </c>
      <c r="E169" s="161" t="str">
        <f>Products!F813</f>
        <v>Сатин</v>
      </c>
      <c r="F169" s="126" t="str">
        <f>Products!H813</f>
        <v>Сатин</v>
      </c>
      <c r="G169" s="126" t="str">
        <f>Products!J813</f>
        <v>Сатин</v>
      </c>
      <c r="H169" s="126" t="str">
        <f>Products!L813</f>
        <v>Сатин</v>
      </c>
      <c r="I169" s="216"/>
      <c r="J169" s="216"/>
      <c r="K169" s="348"/>
      <c r="L169" s="342" t="str">
        <f>Products!B821</f>
        <v>скло Графіт / Бронза</v>
      </c>
      <c r="M169" s="349">
        <f>Products!E821</f>
        <v>550</v>
      </c>
    </row>
    <row r="170" spans="2:13">
      <c r="B170" s="13" t="str">
        <f>Products!B814</f>
        <v>2.0 - 2.2</v>
      </c>
      <c r="C170" s="163"/>
      <c r="D170" s="184">
        <f>Products!E814</f>
        <v>5910</v>
      </c>
      <c r="E170" s="184">
        <f>Products!G814</f>
        <v>6520.0000000000009</v>
      </c>
      <c r="F170" s="184">
        <f>Products!I814</f>
        <v>6710</v>
      </c>
      <c r="G170" s="184">
        <f>Products!K814</f>
        <v>7220</v>
      </c>
      <c r="H170" s="184">
        <f>Products!M814</f>
        <v>7570</v>
      </c>
      <c r="I170" s="31"/>
      <c r="J170" s="362"/>
      <c r="K170" s="348"/>
      <c r="L170" s="342" t="str">
        <f>Products!B822</f>
        <v>скло Lacobel чорне</v>
      </c>
      <c r="M170" s="349">
        <f>Products!E822</f>
        <v>550</v>
      </c>
    </row>
    <row r="171" spans="2:13">
      <c r="B171" s="281" t="str">
        <f>Products!B815</f>
        <v>3.0 - 3.4</v>
      </c>
      <c r="C171" s="282"/>
      <c r="D171" s="283">
        <f>Products!E815</f>
        <v>5910</v>
      </c>
      <c r="E171" s="283">
        <f>Products!G815</f>
        <v>6520.0000000000009</v>
      </c>
      <c r="F171" s="283">
        <f>Products!I815</f>
        <v>6710</v>
      </c>
      <c r="G171" s="283">
        <f>Products!K815</f>
        <v>7220</v>
      </c>
      <c r="H171" s="283">
        <f>Products!M815</f>
        <v>7570</v>
      </c>
      <c r="I171" s="31"/>
      <c r="J171" s="362"/>
      <c r="K171" s="348"/>
      <c r="L171" s="342" t="str">
        <f>Products!B823</f>
        <v>замок Soft</v>
      </c>
      <c r="M171" s="349">
        <f>Products!E823</f>
        <v>550</v>
      </c>
    </row>
    <row r="172" spans="2:13">
      <c r="F172" s="97"/>
      <c r="G172" s="97"/>
      <c r="H172" s="31"/>
      <c r="I172" s="31"/>
      <c r="J172" s="362"/>
      <c r="K172" s="348"/>
      <c r="L172" s="342" t="str">
        <f>Products!B824</f>
        <v>замок Soft чорн.</v>
      </c>
      <c r="M172" s="349">
        <f>Products!E824</f>
        <v>680.00000000000011</v>
      </c>
    </row>
    <row r="173" spans="2:13">
      <c r="F173" s="97"/>
      <c r="G173" s="97"/>
      <c r="H173" s="31"/>
      <c r="I173" s="31"/>
      <c r="J173" s="362"/>
      <c r="K173" s="348"/>
      <c r="L173" s="342" t="str">
        <f>Products!B825</f>
        <v>замок Magnet</v>
      </c>
      <c r="M173" s="349">
        <f>Products!E825</f>
        <v>800.00000000000011</v>
      </c>
    </row>
    <row r="174" spans="2:13">
      <c r="C174" s="34"/>
      <c r="D174" s="34"/>
      <c r="E174" s="34"/>
      <c r="H174" s="31"/>
      <c r="I174" s="31"/>
      <c r="J174" s="362"/>
      <c r="K174" s="348"/>
      <c r="L174" s="342" t="str">
        <f>Products!B826</f>
        <v>замок Magnet чорн.</v>
      </c>
      <c r="M174" s="349">
        <f>Products!E826</f>
        <v>1000</v>
      </c>
    </row>
    <row r="175" spans="2:13">
      <c r="C175" s="34"/>
      <c r="D175" s="34"/>
      <c r="E175" s="34"/>
      <c r="H175" s="31"/>
      <c r="I175" s="31"/>
      <c r="J175" s="362"/>
      <c r="K175" s="348"/>
      <c r="L175" s="342" t="str">
        <f>Products!B827</f>
        <v>ручка-замок (для дверей купе)</v>
      </c>
      <c r="M175" s="349">
        <f>Products!E827</f>
        <v>560</v>
      </c>
    </row>
    <row r="176" spans="2:13">
      <c r="C176" s="34"/>
      <c r="D176" s="34"/>
      <c r="E176" s="34"/>
      <c r="H176" s="31"/>
      <c r="I176" s="31"/>
      <c r="J176" s="362"/>
      <c r="K176" s="348"/>
      <c r="L176" s="342" t="str">
        <f>Products!B828</f>
        <v>циліндр несиметричний</v>
      </c>
      <c r="M176" s="349">
        <f>Products!E828</f>
        <v>390</v>
      </c>
    </row>
    <row r="177" spans="1:13">
      <c r="F177" s="97"/>
      <c r="G177" s="97"/>
      <c r="H177" s="31"/>
      <c r="I177" s="31"/>
      <c r="J177" s="362"/>
      <c r="K177" s="348"/>
      <c r="L177" s="342" t="str">
        <f>Products!B829</f>
        <v>завіса Prestige (1 шт)</v>
      </c>
      <c r="M177" s="349">
        <f>Products!E829</f>
        <v>260</v>
      </c>
    </row>
    <row r="178" spans="1:13">
      <c r="C178" s="34"/>
      <c r="D178" s="34"/>
      <c r="E178" s="34"/>
      <c r="F178" s="31"/>
      <c r="G178" s="31"/>
      <c r="J178" s="353"/>
      <c r="K178" s="348"/>
      <c r="L178" s="342" t="str">
        <f>Products!B830</f>
        <v>накладка на завіси (1 к-т)</v>
      </c>
      <c r="M178" s="349">
        <f>Products!E830</f>
        <v>80</v>
      </c>
    </row>
    <row r="179" spans="1:13" ht="21">
      <c r="C179" s="34"/>
      <c r="D179" s="34"/>
      <c r="E179" s="34"/>
      <c r="F179" s="31"/>
      <c r="G179" s="31"/>
      <c r="J179" s="353"/>
      <c r="K179" s="348"/>
      <c r="L179" s="342" t="str">
        <f>Products!B831</f>
        <v>дверна ручка</v>
      </c>
      <c r="M179" s="349" t="str">
        <f>Products!E831</f>
        <v>див. Таблицю Ручки</v>
      </c>
    </row>
    <row r="180" spans="1:13" s="31" customFormat="1" ht="12.75" customHeight="1">
      <c r="B180" s="499" t="str">
        <f>TITLE!$C$20</f>
        <v>Полотна збірні: ЛАДА-КОНЦЕПТ</v>
      </c>
      <c r="C180" s="500"/>
      <c r="D180" s="500"/>
      <c r="E180" s="500"/>
      <c r="F180" s="170"/>
      <c r="G180" s="170"/>
      <c r="H180" s="170"/>
      <c r="I180" s="170"/>
      <c r="J180" s="343"/>
      <c r="K180" s="343"/>
      <c r="L180" s="355"/>
      <c r="M180" s="356"/>
    </row>
    <row r="181" spans="1:13" ht="26.25" customHeight="1">
      <c r="A181" s="31"/>
      <c r="B181" s="507" t="str">
        <f>Products!B884</f>
        <v>модель</v>
      </c>
      <c r="C181" s="156" t="str">
        <f>Products!C884</f>
        <v>покриття:</v>
      </c>
      <c r="D181" s="129" t="str">
        <f>Products!D884</f>
        <v>Verto-CELL</v>
      </c>
      <c r="E181" s="167" t="str">
        <f>Products!F884</f>
        <v>UNI-MAT</v>
      </c>
      <c r="F181" s="130" t="str">
        <f>Products!H884</f>
        <v>RESIST</v>
      </c>
      <c r="G181" s="130" t="str">
        <f>Products!J884</f>
        <v>Verto LINE-3D</v>
      </c>
      <c r="H181" s="130" t="str">
        <f>Products!L884</f>
        <v>ЕКО Шпон</v>
      </c>
      <c r="I181" s="216"/>
      <c r="J181" s="216"/>
      <c r="K181" s="357"/>
      <c r="L181" s="341" t="str">
        <f>Products!B896</f>
        <v>полотно розміром 100</v>
      </c>
      <c r="M181" s="358">
        <f>Products!E896</f>
        <v>720</v>
      </c>
    </row>
    <row r="182" spans="1:13" ht="24" customHeight="1">
      <c r="A182" s="31"/>
      <c r="B182" s="497"/>
      <c r="C182" s="157" t="str">
        <f>Products!C885</f>
        <v>заповнення:</v>
      </c>
      <c r="D182" s="139" t="str">
        <f>Products!D885</f>
        <v>клеєний сосновий брус</v>
      </c>
      <c r="E182" s="168" t="str">
        <f>Products!F885</f>
        <v>клеєний сосновий брус</v>
      </c>
      <c r="F182" s="140" t="str">
        <f>Products!H885</f>
        <v>клеєний сосновий брус</v>
      </c>
      <c r="G182" s="140" t="str">
        <f>Products!J885</f>
        <v>клеєний сосновий брус</v>
      </c>
      <c r="H182" s="140" t="str">
        <f>Products!L885</f>
        <v>клеєний сосновий брус</v>
      </c>
      <c r="I182" s="216"/>
      <c r="J182" s="216"/>
      <c r="K182" s="348"/>
      <c r="L182" s="342" t="str">
        <f>Products!B897</f>
        <v>вентиляційні віддушини (1ряд)</v>
      </c>
      <c r="M182" s="349">
        <f>Products!E897</f>
        <v>250</v>
      </c>
    </row>
    <row r="183" spans="1:13" ht="12.75" customHeight="1">
      <c r="A183" s="31"/>
      <c r="B183" s="498"/>
      <c r="C183" s="158" t="str">
        <f>Products!C886</f>
        <v>скління:</v>
      </c>
      <c r="D183" s="137" t="str">
        <f>Products!D886</f>
        <v>Сатин</v>
      </c>
      <c r="E183" s="161" t="str">
        <f>Products!F886</f>
        <v>Сатин</v>
      </c>
      <c r="F183" s="126" t="str">
        <f>Products!H886</f>
        <v>Сатин</v>
      </c>
      <c r="G183" s="126" t="str">
        <f>Products!J886</f>
        <v>Сатин</v>
      </c>
      <c r="H183" s="126" t="str">
        <f>Products!L886</f>
        <v>Сатин</v>
      </c>
      <c r="I183" s="216"/>
      <c r="J183" s="216"/>
      <c r="K183" s="348"/>
      <c r="L183" s="342" t="str">
        <f>Products!B898</f>
        <v>вентиляційний підріз</v>
      </c>
      <c r="M183" s="349">
        <f>Products!E898</f>
        <v>170.00000000000003</v>
      </c>
    </row>
    <row r="184" spans="1:13">
      <c r="A184" s="31"/>
      <c r="B184" s="16" t="str">
        <f>Products!B887</f>
        <v>2.0 - 2.2</v>
      </c>
      <c r="C184" s="164"/>
      <c r="D184" s="192">
        <f>Products!E887</f>
        <v>6150</v>
      </c>
      <c r="E184" s="185">
        <f>Products!G887</f>
        <v>6820.0000000000009</v>
      </c>
      <c r="F184" s="186">
        <f>Products!I887</f>
        <v>7030.0000000000009</v>
      </c>
      <c r="G184" s="186">
        <f>Products!K887</f>
        <v>7670</v>
      </c>
      <c r="H184" s="186">
        <f>Products!M887</f>
        <v>8040</v>
      </c>
      <c r="I184" s="224"/>
      <c r="J184" s="224"/>
      <c r="K184" s="348"/>
      <c r="L184" s="342" t="str">
        <f>Products!B899</f>
        <v>скло Графіт / Бронза</v>
      </c>
      <c r="M184" s="349">
        <f>Products!E899</f>
        <v>550</v>
      </c>
    </row>
    <row r="185" spans="1:13">
      <c r="A185" s="31"/>
      <c r="B185" s="16" t="str">
        <f>Products!B888</f>
        <v>3.0 - 3.3</v>
      </c>
      <c r="C185" s="164"/>
      <c r="D185" s="192">
        <f>Products!E888</f>
        <v>6370.0000000000009</v>
      </c>
      <c r="E185" s="185">
        <f>Products!G888</f>
        <v>7080</v>
      </c>
      <c r="F185" s="186">
        <f>Products!I888</f>
        <v>7300.0000000000009</v>
      </c>
      <c r="G185" s="186">
        <f>Products!K888</f>
        <v>7820</v>
      </c>
      <c r="H185" s="186">
        <f>Products!M888</f>
        <v>8170</v>
      </c>
      <c r="I185" s="224"/>
      <c r="J185" s="224"/>
      <c r="K185" s="348"/>
      <c r="L185" s="342" t="str">
        <f>Products!B900</f>
        <v>скло Lacobel чорне</v>
      </c>
      <c r="M185" s="349">
        <f>Products!E900</f>
        <v>550</v>
      </c>
    </row>
    <row r="186" spans="1:13">
      <c r="A186" s="31"/>
      <c r="B186" s="16" t="str">
        <f>Products!B889</f>
        <v>4.0 - 4.4</v>
      </c>
      <c r="C186" s="164"/>
      <c r="D186" s="192">
        <f>Products!E889</f>
        <v>6720</v>
      </c>
      <c r="E186" s="185">
        <f>Products!G889</f>
        <v>7460</v>
      </c>
      <c r="F186" s="186">
        <f>Products!I889</f>
        <v>7680</v>
      </c>
      <c r="G186" s="186">
        <f>Products!K889</f>
        <v>8550</v>
      </c>
      <c r="H186" s="186">
        <f>Products!M889</f>
        <v>8610</v>
      </c>
      <c r="I186" s="224"/>
      <c r="J186" s="224"/>
      <c r="K186" s="348"/>
      <c r="L186" s="342" t="str">
        <f>Products!B901</f>
        <v>замок Soft</v>
      </c>
      <c r="M186" s="349">
        <f>Products!E901</f>
        <v>550</v>
      </c>
    </row>
    <row r="187" spans="1:13">
      <c r="A187" s="31"/>
      <c r="B187" s="16" t="str">
        <f>Products!B890</f>
        <v>5.1.</v>
      </c>
      <c r="C187" s="164"/>
      <c r="D187" s="192">
        <f>Products!E890</f>
        <v>6370.0000000000009</v>
      </c>
      <c r="E187" s="185">
        <f>Products!G890</f>
        <v>7080</v>
      </c>
      <c r="F187" s="186">
        <f>Products!I890</f>
        <v>7300.0000000000009</v>
      </c>
      <c r="G187" s="186">
        <f>Products!K890</f>
        <v>7820</v>
      </c>
      <c r="H187" s="186">
        <f>Products!M890</f>
        <v>8170</v>
      </c>
      <c r="I187" s="224"/>
      <c r="J187" s="224"/>
      <c r="K187" s="348"/>
      <c r="L187" s="342" t="str">
        <f>Products!B902</f>
        <v>замок Soft чорн.</v>
      </c>
      <c r="M187" s="349">
        <f>Products!E902</f>
        <v>680.00000000000011</v>
      </c>
    </row>
    <row r="188" spans="1:13">
      <c r="A188" s="31"/>
      <c r="B188" s="16" t="str">
        <f>Products!B891</f>
        <v>5.2.</v>
      </c>
      <c r="C188" s="164"/>
      <c r="D188" s="192">
        <f>Products!E891</f>
        <v>6060</v>
      </c>
      <c r="E188" s="185">
        <f>Products!G891</f>
        <v>6720</v>
      </c>
      <c r="F188" s="186">
        <f>Products!I891</f>
        <v>6930</v>
      </c>
      <c r="G188" s="186">
        <f>Products!K891</f>
        <v>7480</v>
      </c>
      <c r="H188" s="186">
        <f>Products!M891</f>
        <v>7830</v>
      </c>
      <c r="I188" s="224"/>
      <c r="J188" s="224"/>
      <c r="K188" s="348"/>
      <c r="L188" s="342" t="str">
        <f>Products!B903</f>
        <v>замок Magnet</v>
      </c>
      <c r="M188" s="349">
        <f>Products!E903</f>
        <v>800.00000000000011</v>
      </c>
    </row>
    <row r="189" spans="1:13">
      <c r="A189" s="31"/>
      <c r="B189" s="23" t="str">
        <f>Products!B892</f>
        <v>5.3.</v>
      </c>
      <c r="C189" s="165"/>
      <c r="D189" s="193">
        <f>Products!E892</f>
        <v>5740.0000000000009</v>
      </c>
      <c r="E189" s="187">
        <f>Products!G892</f>
        <v>6360</v>
      </c>
      <c r="F189" s="188">
        <f>Products!I892</f>
        <v>6580.0000000000009</v>
      </c>
      <c r="G189" s="188">
        <f>Products!K892</f>
        <v>7030.0000000000009</v>
      </c>
      <c r="H189" s="188">
        <f>Products!M892</f>
        <v>7320</v>
      </c>
      <c r="I189" s="224"/>
      <c r="J189" s="224"/>
      <c r="K189" s="348"/>
      <c r="L189" s="342" t="str">
        <f>Products!B904</f>
        <v>замок Magnet чорн.</v>
      </c>
      <c r="M189" s="349">
        <f>Products!E904</f>
        <v>1000</v>
      </c>
    </row>
    <row r="190" spans="1:13">
      <c r="A190" s="31"/>
      <c r="B190" s="313"/>
      <c r="C190" s="314"/>
      <c r="D190" s="196"/>
      <c r="E190" s="196"/>
      <c r="F190" s="196"/>
      <c r="G190" s="196"/>
      <c r="H190" s="224"/>
      <c r="I190" s="224"/>
      <c r="J190" s="224"/>
      <c r="K190" s="348"/>
      <c r="L190" s="342" t="str">
        <f>Products!B905</f>
        <v>ручка-замок (для дверей купе)</v>
      </c>
      <c r="M190" s="349">
        <f>Products!E905</f>
        <v>560</v>
      </c>
    </row>
    <row r="191" spans="1:13">
      <c r="A191" s="31"/>
      <c r="B191" s="175"/>
      <c r="C191" s="176"/>
      <c r="D191" s="199"/>
      <c r="E191" s="199"/>
      <c r="F191" s="199"/>
      <c r="G191" s="199"/>
      <c r="H191" s="224"/>
      <c r="I191" s="224"/>
      <c r="J191" s="224"/>
      <c r="K191" s="348"/>
      <c r="L191" s="342" t="str">
        <f>Products!B906</f>
        <v>циліндр несиметричний</v>
      </c>
      <c r="M191" s="349">
        <f>Products!E906</f>
        <v>380</v>
      </c>
    </row>
    <row r="192" spans="1:13">
      <c r="C192" s="34"/>
      <c r="D192" s="34"/>
      <c r="E192" s="34"/>
      <c r="F192" s="31"/>
      <c r="G192" s="31"/>
      <c r="J192" s="353"/>
      <c r="K192" s="348"/>
      <c r="L192" s="342" t="str">
        <f>Products!B907</f>
        <v>завіса Prestige (1 шт)</v>
      </c>
      <c r="M192" s="349">
        <f>Products!E907</f>
        <v>260</v>
      </c>
    </row>
    <row r="193" spans="1:13" ht="14.45" customHeight="1">
      <c r="C193" s="34"/>
      <c r="D193" s="34"/>
      <c r="E193" s="34"/>
      <c r="F193" s="31"/>
      <c r="G193" s="31"/>
      <c r="J193" s="353"/>
      <c r="K193" s="348"/>
      <c r="L193" s="342" t="str">
        <f>Products!B908</f>
        <v>накладка на завіси (1 к-т)</v>
      </c>
      <c r="M193" s="349">
        <f>Products!E908</f>
        <v>80</v>
      </c>
    </row>
    <row r="194" spans="1:13" ht="14.45" customHeight="1">
      <c r="C194" s="34"/>
      <c r="D194" s="34"/>
      <c r="E194" s="34"/>
      <c r="F194" s="31"/>
      <c r="G194" s="31"/>
      <c r="J194" s="353"/>
      <c r="K194" s="348"/>
      <c r="L194" s="342" t="str">
        <f>Products!B909</f>
        <v>дверна ручка</v>
      </c>
      <c r="M194" s="349" t="str">
        <f>Products!E909</f>
        <v>див. Таблицю Ручки</v>
      </c>
    </row>
    <row r="195" spans="1:13" s="31" customFormat="1" ht="12.75" customHeight="1">
      <c r="B195" s="499" t="str">
        <f>TITLE!$C$21</f>
        <v>Полотна збірні: ЛАДА-НОВА</v>
      </c>
      <c r="C195" s="500"/>
      <c r="D195" s="500"/>
      <c r="E195" s="500"/>
      <c r="F195" s="170"/>
      <c r="G195" s="170"/>
      <c r="H195" s="170"/>
      <c r="I195" s="170"/>
      <c r="J195" s="343"/>
      <c r="K195" s="343"/>
      <c r="L195" s="355"/>
      <c r="M195" s="356"/>
    </row>
    <row r="196" spans="1:13" ht="26.25" customHeight="1">
      <c r="A196" s="31"/>
      <c r="B196" s="507" t="str">
        <f>Products!B962</f>
        <v>модель</v>
      </c>
      <c r="C196" s="156" t="str">
        <f>Products!C962</f>
        <v>покриття:</v>
      </c>
      <c r="D196" s="129" t="str">
        <f>Products!D962</f>
        <v>Verto-CELL</v>
      </c>
      <c r="E196" s="167" t="str">
        <f>Products!F962</f>
        <v>UNI-MAT</v>
      </c>
      <c r="F196" s="130" t="str">
        <f>Products!H962</f>
        <v>RESIST</v>
      </c>
      <c r="G196" s="130" t="str">
        <f>Products!J962</f>
        <v>Verto LINE-3D</v>
      </c>
      <c r="H196" s="130" t="str">
        <f>Products!L962</f>
        <v>ЕКО Шпон</v>
      </c>
      <c r="I196" s="216"/>
      <c r="J196" s="216"/>
      <c r="K196" s="357"/>
      <c r="L196" s="341" t="str">
        <f>Products!B974</f>
        <v>полотно розміром 100</v>
      </c>
      <c r="M196" s="358">
        <f>Products!E974</f>
        <v>720</v>
      </c>
    </row>
    <row r="197" spans="1:13" ht="24" customHeight="1">
      <c r="A197" s="31"/>
      <c r="B197" s="497"/>
      <c r="C197" s="157" t="str">
        <f>Products!C963</f>
        <v>заповнення:</v>
      </c>
      <c r="D197" s="139" t="str">
        <f>Products!D963</f>
        <v>клеєний сосновий брус</v>
      </c>
      <c r="E197" s="168" t="str">
        <f>Products!F963</f>
        <v>клеєний сосновий брус</v>
      </c>
      <c r="F197" s="140" t="str">
        <f>Products!H963</f>
        <v>клеєний сосновий брус</v>
      </c>
      <c r="G197" s="140" t="str">
        <f>Products!J963</f>
        <v>клеєний сосновий брус</v>
      </c>
      <c r="H197" s="140" t="str">
        <f>Products!L963</f>
        <v>клеєний сосновий брус</v>
      </c>
      <c r="I197" s="216"/>
      <c r="J197" s="216"/>
      <c r="K197" s="348"/>
      <c r="L197" s="342" t="str">
        <f>Products!B975</f>
        <v>вентиляційні віддушини (1ряд)</v>
      </c>
      <c r="M197" s="349">
        <f>Products!E975</f>
        <v>250</v>
      </c>
    </row>
    <row r="198" spans="1:13" ht="12.75" customHeight="1">
      <c r="A198" s="31"/>
      <c r="B198" s="498"/>
      <c r="C198" s="158" t="str">
        <f>Products!C964</f>
        <v>скління:</v>
      </c>
      <c r="D198" s="137" t="str">
        <f>Products!D964</f>
        <v>Сатин</v>
      </c>
      <c r="E198" s="161" t="str">
        <f>Products!F964</f>
        <v>Сатин</v>
      </c>
      <c r="F198" s="126" t="str">
        <f>Products!H964</f>
        <v>Сатин</v>
      </c>
      <c r="G198" s="126" t="str">
        <f>Products!J964</f>
        <v>Сатин</v>
      </c>
      <c r="H198" s="126" t="str">
        <f>Products!L964</f>
        <v>Сатин</v>
      </c>
      <c r="I198" s="216"/>
      <c r="J198" s="216"/>
      <c r="K198" s="348"/>
      <c r="L198" s="342" t="str">
        <f>Products!B976</f>
        <v>вентиляційний підріз</v>
      </c>
      <c r="M198" s="349">
        <f>Products!E976</f>
        <v>170.00000000000003</v>
      </c>
    </row>
    <row r="199" spans="1:13">
      <c r="A199" s="31"/>
      <c r="B199" s="13" t="str">
        <f>Products!B965</f>
        <v>4.0 - 4.9</v>
      </c>
      <c r="C199" s="163"/>
      <c r="D199" s="191">
        <f>Products!E965</f>
        <v>7490</v>
      </c>
      <c r="E199" s="183">
        <f>Products!G965</f>
        <v>8320</v>
      </c>
      <c r="F199" s="183">
        <f>Products!I965</f>
        <v>8650</v>
      </c>
      <c r="G199" s="183">
        <f>Products!K965</f>
        <v>9430</v>
      </c>
      <c r="H199" s="183">
        <f>Products!M965</f>
        <v>9900</v>
      </c>
      <c r="J199" s="353"/>
      <c r="K199" s="348"/>
      <c r="L199" s="342" t="str">
        <f>Products!B977</f>
        <v>скло Графіт / Бронза</v>
      </c>
      <c r="M199" s="349">
        <f>Products!E977</f>
        <v>550</v>
      </c>
    </row>
    <row r="200" spans="1:13">
      <c r="A200" s="31"/>
      <c r="B200" s="16" t="str">
        <f>Products!B966</f>
        <v>6А.1</v>
      </c>
      <c r="C200" s="164"/>
      <c r="D200" s="192">
        <f>Products!E966</f>
        <v>5730</v>
      </c>
      <c r="E200" s="185">
        <f>Products!G966</f>
        <v>6360</v>
      </c>
      <c r="F200" s="185">
        <f>Products!I966</f>
        <v>6720</v>
      </c>
      <c r="G200" s="185">
        <f>Products!K966</f>
        <v>7210.0000000000009</v>
      </c>
      <c r="H200" s="185">
        <f>Products!M966</f>
        <v>7540</v>
      </c>
      <c r="J200" s="353"/>
      <c r="K200" s="348"/>
      <c r="L200" s="342" t="str">
        <f>Products!B978</f>
        <v>скло Lacobel чорне</v>
      </c>
      <c r="M200" s="349">
        <f>Products!E978</f>
        <v>550</v>
      </c>
    </row>
    <row r="201" spans="1:13">
      <c r="A201" s="31"/>
      <c r="B201" s="16" t="str">
        <f>Products!B967</f>
        <v>6А.5</v>
      </c>
      <c r="C201" s="164"/>
      <c r="D201" s="192">
        <f>Products!E967</f>
        <v>6650</v>
      </c>
      <c r="E201" s="185">
        <f>Products!G967</f>
        <v>7380</v>
      </c>
      <c r="F201" s="185">
        <f>Products!I967</f>
        <v>7780</v>
      </c>
      <c r="G201" s="185">
        <f>Products!K967</f>
        <v>8550</v>
      </c>
      <c r="H201" s="185">
        <f>Products!M967</f>
        <v>8960</v>
      </c>
      <c r="J201" s="353"/>
      <c r="K201" s="348"/>
      <c r="L201" s="342" t="str">
        <f>Products!B979</f>
        <v>замок Soft</v>
      </c>
      <c r="M201" s="349">
        <f>Products!E979</f>
        <v>550</v>
      </c>
    </row>
    <row r="202" spans="1:13">
      <c r="A202" s="31"/>
      <c r="B202" s="16" t="str">
        <f>Products!B968</f>
        <v>7.1.</v>
      </c>
      <c r="C202" s="164"/>
      <c r="D202" s="192">
        <f>Products!E968</f>
        <v>7290</v>
      </c>
      <c r="E202" s="185">
        <f>Products!G968</f>
        <v>8100</v>
      </c>
      <c r="F202" s="185">
        <f>Products!I968</f>
        <v>8620</v>
      </c>
      <c r="G202" s="185">
        <f>Products!K968</f>
        <v>9490</v>
      </c>
      <c r="H202" s="185">
        <f>Products!M968</f>
        <v>10040.000000000002</v>
      </c>
      <c r="J202" s="353"/>
      <c r="K202" s="348"/>
      <c r="L202" s="342" t="str">
        <f>Products!B980</f>
        <v>замок Soft чорн.</v>
      </c>
      <c r="M202" s="349">
        <f>Products!E980</f>
        <v>680.00000000000011</v>
      </c>
    </row>
    <row r="203" spans="1:13">
      <c r="A203" s="31"/>
      <c r="B203" s="16" t="str">
        <f>Products!B969</f>
        <v>7.2.</v>
      </c>
      <c r="C203" s="164"/>
      <c r="D203" s="192">
        <f>Products!E969</f>
        <v>6650</v>
      </c>
      <c r="E203" s="185">
        <f>Products!G969</f>
        <v>7380</v>
      </c>
      <c r="F203" s="185">
        <f>Products!I969</f>
        <v>7800</v>
      </c>
      <c r="G203" s="185">
        <f>Products!K969</f>
        <v>8550</v>
      </c>
      <c r="H203" s="185">
        <f>Products!M969</f>
        <v>8960</v>
      </c>
      <c r="J203" s="353"/>
      <c r="K203" s="348"/>
      <c r="L203" s="342" t="str">
        <f>Products!B981</f>
        <v>замок Magnet</v>
      </c>
      <c r="M203" s="349">
        <f>Products!E981</f>
        <v>800.00000000000011</v>
      </c>
    </row>
    <row r="204" spans="1:13">
      <c r="A204" s="31"/>
      <c r="B204" s="23" t="str">
        <f>Products!B970</f>
        <v>8.1.</v>
      </c>
      <c r="C204" s="165"/>
      <c r="D204" s="193">
        <f>Products!E970</f>
        <v>6650</v>
      </c>
      <c r="E204" s="187">
        <f>Products!G970</f>
        <v>7380</v>
      </c>
      <c r="F204" s="187">
        <f>Products!I970</f>
        <v>7800</v>
      </c>
      <c r="G204" s="187">
        <f>Products!K970</f>
        <v>8550</v>
      </c>
      <c r="H204" s="187">
        <f>Products!M970</f>
        <v>8960</v>
      </c>
      <c r="J204" s="353"/>
      <c r="K204" s="348"/>
      <c r="L204" s="342" t="str">
        <f>Products!B982</f>
        <v>замок Magnet чорн.</v>
      </c>
      <c r="M204" s="349">
        <f>Products!E982</f>
        <v>1000</v>
      </c>
    </row>
    <row r="205" spans="1:13" ht="13.5">
      <c r="B205" s="225"/>
      <c r="C205" s="34"/>
      <c r="D205" s="34"/>
      <c r="E205" s="34"/>
      <c r="F205" s="31"/>
      <c r="J205" s="353"/>
      <c r="K205" s="348"/>
      <c r="L205" s="342" t="str">
        <f>Products!B983</f>
        <v>ручка-замок (для дверей купе)</v>
      </c>
      <c r="M205" s="349">
        <f>Products!E983</f>
        <v>560</v>
      </c>
    </row>
    <row r="206" spans="1:13" ht="13.5">
      <c r="B206" s="225"/>
      <c r="C206" s="34"/>
      <c r="D206" s="34"/>
      <c r="E206" s="34"/>
      <c r="F206" s="31"/>
      <c r="J206" s="353"/>
      <c r="K206" s="348"/>
      <c r="L206" s="342" t="str">
        <f>Products!B984</f>
        <v>циліндр несиметричний</v>
      </c>
      <c r="M206" s="349">
        <f>Products!E984</f>
        <v>380</v>
      </c>
    </row>
    <row r="207" spans="1:13" ht="13.5">
      <c r="B207" s="225"/>
      <c r="C207" s="34"/>
      <c r="D207" s="34"/>
      <c r="E207" s="34"/>
      <c r="F207" s="31"/>
      <c r="J207" s="353"/>
      <c r="K207" s="348"/>
      <c r="L207" s="342" t="str">
        <f>Products!B985</f>
        <v>завіса Prestige (1 шт)</v>
      </c>
      <c r="M207" s="349">
        <f>Products!E985</f>
        <v>260</v>
      </c>
    </row>
    <row r="208" spans="1:13" ht="13.5">
      <c r="B208" s="225"/>
      <c r="C208" s="34"/>
      <c r="D208" s="34"/>
      <c r="E208" s="34"/>
      <c r="F208" s="31"/>
      <c r="J208" s="353"/>
      <c r="K208" s="348"/>
      <c r="L208" s="342" t="str">
        <f>Products!B986</f>
        <v>накладка на завіси (1 к-т)</v>
      </c>
      <c r="M208" s="349">
        <f>Products!E986</f>
        <v>80</v>
      </c>
    </row>
    <row r="209" spans="2:13" ht="21">
      <c r="B209" s="225"/>
      <c r="C209" s="34"/>
      <c r="D209" s="34"/>
      <c r="E209" s="34"/>
      <c r="F209" s="31"/>
      <c r="J209" s="353"/>
      <c r="K209" s="348"/>
      <c r="L209" s="342" t="str">
        <f>Products!B987</f>
        <v>дверна ручка</v>
      </c>
      <c r="M209" s="349" t="str">
        <f>Products!E987</f>
        <v>див. Таблицю Ручки</v>
      </c>
    </row>
    <row r="210" spans="2:13">
      <c r="B210" s="499" t="str">
        <f>Products!B1038</f>
        <v>Полотна збірні: МІРА</v>
      </c>
      <c r="C210" s="500"/>
      <c r="D210" s="500"/>
      <c r="E210" s="500"/>
      <c r="F210" s="170"/>
      <c r="G210" s="170"/>
      <c r="H210" s="170"/>
      <c r="I210" s="170"/>
      <c r="J210" s="343"/>
      <c r="K210" s="343"/>
      <c r="L210" s="355"/>
      <c r="M210" s="356"/>
    </row>
    <row r="211" spans="2:13" ht="26.25" customHeight="1">
      <c r="B211" s="507" t="str">
        <f>Products!B1040</f>
        <v>модель</v>
      </c>
      <c r="C211" s="156" t="str">
        <f>Products!C1040</f>
        <v>покриття:</v>
      </c>
      <c r="D211" s="129" t="str">
        <f>Products!D1040</f>
        <v>Verto-CELL</v>
      </c>
      <c r="E211" s="167" t="str">
        <f>Products!F1040</f>
        <v>UNI-MAT</v>
      </c>
      <c r="F211" s="130" t="str">
        <f>Products!H1040</f>
        <v>RESIST</v>
      </c>
      <c r="G211" s="130" t="str">
        <f>Products!J1040</f>
        <v>Verto LINE-3D</v>
      </c>
      <c r="H211" s="130" t="str">
        <f>Products!L1040</f>
        <v>ЕКО Шпон</v>
      </c>
      <c r="I211" s="216"/>
      <c r="J211" s="216"/>
      <c r="K211" s="357"/>
      <c r="L211" s="341" t="str">
        <f>Products!B1048</f>
        <v>полотно розміром 100</v>
      </c>
      <c r="M211" s="358">
        <f>Products!E1048</f>
        <v>720</v>
      </c>
    </row>
    <row r="212" spans="2:13" ht="24.75" customHeight="1">
      <c r="B212" s="497"/>
      <c r="C212" s="157" t="str">
        <f>Products!C1041</f>
        <v>заповнення:</v>
      </c>
      <c r="D212" s="139" t="str">
        <f>Products!D1041</f>
        <v>клеєний сосновий брус</v>
      </c>
      <c r="E212" s="168" t="str">
        <f>Products!F1041</f>
        <v>клеєний сосновий брус</v>
      </c>
      <c r="F212" s="140" t="str">
        <f>Products!H1041</f>
        <v>клеєний сосновий брус</v>
      </c>
      <c r="G212" s="140" t="str">
        <f>Products!J1041</f>
        <v>клеєний сосновий брус</v>
      </c>
      <c r="H212" s="140" t="str">
        <f>Products!L1041</f>
        <v>клеєний сосновий брус</v>
      </c>
      <c r="I212" s="216"/>
      <c r="J212" s="216"/>
      <c r="K212" s="348"/>
      <c r="L212" s="342" t="str">
        <f>Products!B1049</f>
        <v>вентиляційний підріз</v>
      </c>
      <c r="M212" s="349">
        <f>Products!E1049</f>
        <v>170.00000000000003</v>
      </c>
    </row>
    <row r="213" spans="2:13">
      <c r="B213" s="498"/>
      <c r="C213" s="158" t="str">
        <f>Products!C1042</f>
        <v>скління:</v>
      </c>
      <c r="D213" s="137" t="str">
        <f>Products!D1042</f>
        <v>Сатин</v>
      </c>
      <c r="E213" s="161" t="str">
        <f>Products!F1042</f>
        <v>Сатин</v>
      </c>
      <c r="F213" s="126" t="str">
        <f>Products!H1042</f>
        <v>Сатин</v>
      </c>
      <c r="G213" s="126" t="str">
        <f>Products!J1042</f>
        <v>Сатин</v>
      </c>
      <c r="H213" s="126" t="str">
        <f>Products!L1042</f>
        <v>Сатин</v>
      </c>
      <c r="I213" s="216"/>
      <c r="J213" s="216"/>
      <c r="K213" s="348"/>
      <c r="L213" s="342" t="str">
        <f>Products!B1050</f>
        <v>скло Графіт / Бронза</v>
      </c>
      <c r="M213" s="349">
        <f>Products!E1050</f>
        <v>550</v>
      </c>
    </row>
    <row r="214" spans="2:13">
      <c r="B214" s="13" t="str">
        <f>Products!B1043</f>
        <v>1.0 - 1.6</v>
      </c>
      <c r="C214" s="163"/>
      <c r="D214" s="184">
        <f>Products!E1043</f>
        <v>6950</v>
      </c>
      <c r="E214" s="184">
        <f>Products!G1043</f>
        <v>7920</v>
      </c>
      <c r="F214" s="184">
        <f>Products!I1043</f>
        <v>8270</v>
      </c>
      <c r="G214" s="184">
        <f>Products!K1043</f>
        <v>8880</v>
      </c>
      <c r="H214" s="184">
        <f>Products!M1043</f>
        <v>9310</v>
      </c>
      <c r="I214" s="31"/>
      <c r="J214" s="362"/>
      <c r="K214" s="348"/>
      <c r="L214" s="342" t="str">
        <f>Products!B1051</f>
        <v>скло Lacobel чорне</v>
      </c>
      <c r="M214" s="349">
        <f>Products!E1051</f>
        <v>550</v>
      </c>
    </row>
    <row r="215" spans="2:13">
      <c r="B215" s="281" t="str">
        <f>Products!B1044</f>
        <v>2.1 - 2.3</v>
      </c>
      <c r="C215" s="282"/>
      <c r="D215" s="283">
        <f>Products!E1044</f>
        <v>6950</v>
      </c>
      <c r="E215" s="283">
        <f>Products!G1044</f>
        <v>7920</v>
      </c>
      <c r="F215" s="283">
        <f>Products!I1044</f>
        <v>8270</v>
      </c>
      <c r="G215" s="283">
        <f>Products!K1044</f>
        <v>8880</v>
      </c>
      <c r="H215" s="283">
        <f>Products!M1044</f>
        <v>9310</v>
      </c>
      <c r="I215" s="31"/>
      <c r="J215" s="362"/>
      <c r="K215" s="348"/>
      <c r="L215" s="342" t="str">
        <f>Products!B1052</f>
        <v>замок Soft</v>
      </c>
      <c r="M215" s="349">
        <f>Products!E1052</f>
        <v>550</v>
      </c>
    </row>
    <row r="216" spans="2:13">
      <c r="F216" s="97"/>
      <c r="G216" s="97"/>
      <c r="H216" s="31"/>
      <c r="I216" s="31"/>
      <c r="J216" s="362"/>
      <c r="K216" s="348"/>
      <c r="L216" s="342" t="str">
        <f>Products!B1053</f>
        <v>замок Soft чорн.</v>
      </c>
      <c r="M216" s="349">
        <f>Products!E1053</f>
        <v>680.00000000000011</v>
      </c>
    </row>
    <row r="217" spans="2:13">
      <c r="F217" s="97"/>
      <c r="G217" s="97"/>
      <c r="H217" s="31"/>
      <c r="I217" s="31"/>
      <c r="J217" s="362"/>
      <c r="K217" s="348"/>
      <c r="L217" s="342" t="str">
        <f>Products!B1054</f>
        <v>замок Magnet</v>
      </c>
      <c r="M217" s="349">
        <f>Products!E1054</f>
        <v>800.00000000000011</v>
      </c>
    </row>
    <row r="218" spans="2:13">
      <c r="C218" s="34"/>
      <c r="D218" s="34"/>
      <c r="E218" s="34"/>
      <c r="H218" s="31"/>
      <c r="I218" s="31"/>
      <c r="J218" s="362"/>
      <c r="K218" s="348"/>
      <c r="L218" s="342" t="str">
        <f>Products!B1055</f>
        <v>замок Magnet чорн.</v>
      </c>
      <c r="M218" s="349">
        <f>Products!E1055</f>
        <v>1000</v>
      </c>
    </row>
    <row r="219" spans="2:13">
      <c r="C219" s="34"/>
      <c r="D219" s="34"/>
      <c r="E219" s="34"/>
      <c r="H219" s="31"/>
      <c r="I219" s="31"/>
      <c r="J219" s="362"/>
      <c r="K219" s="348"/>
      <c r="L219" s="342" t="str">
        <f>Products!B1056</f>
        <v>ручка-замок (для дверей купе)</v>
      </c>
      <c r="M219" s="349">
        <f>Products!E1056</f>
        <v>560</v>
      </c>
    </row>
    <row r="220" spans="2:13">
      <c r="F220" s="97"/>
      <c r="G220" s="97"/>
      <c r="H220" s="31"/>
      <c r="I220" s="31"/>
      <c r="J220" s="362"/>
      <c r="K220" s="348"/>
      <c r="L220" s="342" t="str">
        <f>Products!B1057</f>
        <v>циліндр несиметричний</v>
      </c>
      <c r="M220" s="349">
        <f>Products!E1057</f>
        <v>380</v>
      </c>
    </row>
    <row r="221" spans="2:13">
      <c r="F221" s="97"/>
      <c r="G221" s="97"/>
      <c r="H221" s="31"/>
      <c r="I221" s="31"/>
      <c r="J221" s="362"/>
      <c r="K221" s="348"/>
      <c r="L221" s="342" t="str">
        <f>Products!B1058</f>
        <v>завіса Prestige (1 шт)</v>
      </c>
      <c r="M221" s="349">
        <f>Products!E1058</f>
        <v>260</v>
      </c>
    </row>
    <row r="222" spans="2:13" ht="13.5">
      <c r="B222" s="225"/>
      <c r="C222" s="34"/>
      <c r="D222" s="34"/>
      <c r="E222" s="34"/>
      <c r="F222" s="31"/>
      <c r="J222" s="353"/>
      <c r="K222" s="348"/>
      <c r="L222" s="342" t="str">
        <f>Products!B1059</f>
        <v>накладка на завіси (1 к-т)</v>
      </c>
      <c r="M222" s="349">
        <f>Products!E1059</f>
        <v>80</v>
      </c>
    </row>
    <row r="223" spans="2:13" ht="21">
      <c r="B223" s="225"/>
      <c r="C223" s="34"/>
      <c r="D223" s="34"/>
      <c r="E223" s="34"/>
      <c r="F223" s="31"/>
      <c r="J223" s="353"/>
      <c r="K223" s="348"/>
      <c r="L223" s="342" t="str">
        <f>Products!B1060</f>
        <v>дверна ручка</v>
      </c>
      <c r="M223" s="349" t="str">
        <f>Products!E1060</f>
        <v>див. Таблицю Ручки</v>
      </c>
    </row>
    <row r="224" spans="2:13">
      <c r="B224" s="499" t="str">
        <f>TITLE!$C$23</f>
        <v>Полотна збірні: ЛАДА-ЛОФТ</v>
      </c>
      <c r="C224" s="500"/>
      <c r="D224" s="500"/>
      <c r="E224" s="500"/>
      <c r="F224" s="170"/>
      <c r="G224" s="170"/>
      <c r="H224" s="170"/>
      <c r="I224" s="170"/>
      <c r="J224" s="343"/>
      <c r="K224" s="343"/>
      <c r="L224" s="355"/>
      <c r="M224" s="356"/>
    </row>
    <row r="225" spans="2:13" ht="25.5" customHeight="1">
      <c r="B225" s="507" t="str">
        <f>Products!B1113</f>
        <v>модель</v>
      </c>
      <c r="C225" s="156" t="str">
        <f>Products!C1113</f>
        <v>покриття:</v>
      </c>
      <c r="D225" s="129" t="str">
        <f>Products!D1113</f>
        <v>Verto-CELL</v>
      </c>
      <c r="E225" s="167" t="str">
        <f>Products!F1113</f>
        <v>UNI-MAT</v>
      </c>
      <c r="F225" s="130" t="str">
        <f>Products!H1113</f>
        <v>RESIST</v>
      </c>
      <c r="G225" s="130" t="str">
        <f>Products!J1113</f>
        <v>Verto LINE-3D</v>
      </c>
      <c r="H225" s="130" t="str">
        <f>Products!L1113</f>
        <v>ЕКО Шпон</v>
      </c>
      <c r="I225" s="216"/>
      <c r="J225" s="216"/>
      <c r="K225" s="357"/>
      <c r="L225" s="341" t="str">
        <f>Products!B1124</f>
        <v>полотно розміром 100</v>
      </c>
      <c r="M225" s="358">
        <f>Products!E1124</f>
        <v>720</v>
      </c>
    </row>
    <row r="226" spans="2:13" ht="24.75" customHeight="1">
      <c r="B226" s="497"/>
      <c r="C226" s="157" t="str">
        <f>Products!C1114</f>
        <v>заповнення:</v>
      </c>
      <c r="D226" s="139" t="str">
        <f>Products!D1114</f>
        <v>клеєний сосновий брус</v>
      </c>
      <c r="E226" s="168" t="str">
        <f>Products!F1114</f>
        <v>клеєний сосновий брус</v>
      </c>
      <c r="F226" s="140" t="str">
        <f>Products!H1114</f>
        <v>клеєний сосновий брус</v>
      </c>
      <c r="G226" s="140" t="str">
        <f>Products!J1114</f>
        <v>клеєний сосновий брус</v>
      </c>
      <c r="H226" s="140" t="str">
        <f>Products!L1114</f>
        <v>клеєний сосновий брус</v>
      </c>
      <c r="I226" s="216"/>
      <c r="J226" s="216"/>
      <c r="K226" s="348"/>
      <c r="L226" s="342" t="str">
        <f>Products!B1125</f>
        <v>вентиляційні віддушини (1ряд)</v>
      </c>
      <c r="M226" s="349">
        <f>Products!E1125</f>
        <v>250</v>
      </c>
    </row>
    <row r="227" spans="2:13">
      <c r="B227" s="498"/>
      <c r="C227" s="158" t="str">
        <f>Products!C1115</f>
        <v>скління:</v>
      </c>
      <c r="D227" s="137" t="str">
        <f>Products!D1115</f>
        <v>Сатин</v>
      </c>
      <c r="E227" s="161" t="str">
        <f>Products!F1115</f>
        <v>Сатин</v>
      </c>
      <c r="F227" s="126" t="str">
        <f>Products!H1115</f>
        <v>Сатин</v>
      </c>
      <c r="G227" s="126" t="str">
        <f>Products!J1115</f>
        <v>Сатин</v>
      </c>
      <c r="H227" s="126" t="str">
        <f>Products!L1115</f>
        <v>Сатин</v>
      </c>
      <c r="I227" s="216"/>
      <c r="J227" s="216"/>
      <c r="K227" s="348"/>
      <c r="L227" s="342" t="str">
        <f>Products!B1126</f>
        <v>вентиляційний підріз</v>
      </c>
      <c r="M227" s="349">
        <f>Products!E1126</f>
        <v>170.00000000000003</v>
      </c>
    </row>
    <row r="228" spans="2:13">
      <c r="B228" s="13" t="str">
        <f>Products!B1116</f>
        <v>1.0 - 1.1</v>
      </c>
      <c r="C228" s="163"/>
      <c r="D228" s="191">
        <f>Products!E1116</f>
        <v>6640.0000000000009</v>
      </c>
      <c r="E228" s="183">
        <f>Products!G1116</f>
        <v>7570</v>
      </c>
      <c r="F228" s="183">
        <f>Products!I1116</f>
        <v>7790</v>
      </c>
      <c r="G228" s="183">
        <f>Products!K1116</f>
        <v>8390</v>
      </c>
      <c r="H228" s="183">
        <f>Products!M1116</f>
        <v>8780</v>
      </c>
      <c r="J228" s="353"/>
      <c r="K228" s="348"/>
      <c r="L228" s="342" t="str">
        <f>Products!B1127</f>
        <v>скло Графіт / Бронза</v>
      </c>
      <c r="M228" s="349">
        <f>Products!E1127</f>
        <v>550</v>
      </c>
    </row>
    <row r="229" spans="2:13">
      <c r="B229" s="114" t="str">
        <f>Products!B1117</f>
        <v>3.0 - 3.1</v>
      </c>
      <c r="C229" s="173"/>
      <c r="D229" s="291">
        <f>Products!E1117</f>
        <v>6950</v>
      </c>
      <c r="E229" s="292">
        <f>Products!G1117</f>
        <v>7930</v>
      </c>
      <c r="F229" s="292">
        <f>Products!I1117</f>
        <v>8150</v>
      </c>
      <c r="G229" s="292">
        <f>Products!K1117</f>
        <v>8750</v>
      </c>
      <c r="H229" s="292">
        <f>Products!M1117</f>
        <v>9130</v>
      </c>
      <c r="J229" s="353"/>
      <c r="K229" s="348"/>
      <c r="L229" s="342" t="str">
        <f>Products!B1128</f>
        <v>скло Lacobel чорне</v>
      </c>
      <c r="M229" s="349">
        <f>Products!E1128</f>
        <v>550</v>
      </c>
    </row>
    <row r="230" spans="2:13">
      <c r="B230" s="114" t="str">
        <f>Products!B1118</f>
        <v>4.0 - 4.1</v>
      </c>
      <c r="C230" s="173"/>
      <c r="D230" s="291">
        <f>Products!E1118</f>
        <v>6640.0000000000009</v>
      </c>
      <c r="E230" s="292">
        <f>Products!G1118</f>
        <v>7570</v>
      </c>
      <c r="F230" s="292">
        <f>Products!I1118</f>
        <v>7790</v>
      </c>
      <c r="G230" s="292">
        <f>Products!K1118</f>
        <v>8390</v>
      </c>
      <c r="H230" s="292">
        <f>Products!M1118</f>
        <v>8780</v>
      </c>
      <c r="J230" s="353"/>
      <c r="K230" s="348"/>
      <c r="L230" s="342" t="str">
        <f>Products!B1129</f>
        <v>замок Soft</v>
      </c>
      <c r="M230" s="349">
        <f>Products!E1129</f>
        <v>550</v>
      </c>
    </row>
    <row r="231" spans="2:13">
      <c r="B231" s="114" t="str">
        <f>Products!B1119</f>
        <v>5.0 - 5.1</v>
      </c>
      <c r="C231" s="173"/>
      <c r="D231" s="291">
        <f>Products!E1119</f>
        <v>6660</v>
      </c>
      <c r="E231" s="292">
        <f>Products!G1119</f>
        <v>7590</v>
      </c>
      <c r="F231" s="292">
        <f>Products!I1119</f>
        <v>7890</v>
      </c>
      <c r="G231" s="292">
        <f>Products!K1119</f>
        <v>8460</v>
      </c>
      <c r="H231" s="292">
        <f>Products!M1119</f>
        <v>8850</v>
      </c>
      <c r="J231" s="353"/>
      <c r="K231" s="348"/>
      <c r="L231" s="342" t="str">
        <f>Products!B1130</f>
        <v>замок Soft чорн.</v>
      </c>
      <c r="M231" s="349">
        <f>Products!E1130</f>
        <v>680.00000000000011</v>
      </c>
    </row>
    <row r="232" spans="2:13">
      <c r="B232" s="23" t="str">
        <f>Products!B1120</f>
        <v>6.0 - 6.1</v>
      </c>
      <c r="C232" s="165"/>
      <c r="D232" s="193">
        <f>Products!E1120</f>
        <v>6780</v>
      </c>
      <c r="E232" s="187">
        <f>Products!G1120</f>
        <v>7720</v>
      </c>
      <c r="F232" s="187">
        <f>Products!I1120</f>
        <v>7920</v>
      </c>
      <c r="G232" s="187">
        <f>Products!K1120</f>
        <v>8540</v>
      </c>
      <c r="H232" s="187">
        <f>Products!M1120</f>
        <v>8930</v>
      </c>
      <c r="J232" s="353"/>
      <c r="K232" s="348"/>
      <c r="L232" s="342" t="str">
        <f>Products!B1131</f>
        <v>замок Magnet</v>
      </c>
      <c r="M232" s="349">
        <f>Products!E1131</f>
        <v>800.00000000000011</v>
      </c>
    </row>
    <row r="233" spans="2:13">
      <c r="C233" s="34"/>
      <c r="D233" s="34"/>
      <c r="E233" s="34"/>
      <c r="F233" s="31"/>
      <c r="G233" s="31"/>
      <c r="J233" s="353"/>
      <c r="K233" s="348"/>
      <c r="L233" s="342" t="str">
        <f>Products!B1132</f>
        <v>замок Magnet чорн.</v>
      </c>
      <c r="M233" s="349">
        <f>Products!E1132</f>
        <v>1000</v>
      </c>
    </row>
    <row r="234" spans="2:13">
      <c r="C234" s="34"/>
      <c r="D234" s="34"/>
      <c r="E234" s="34"/>
      <c r="F234" s="31"/>
      <c r="G234" s="31"/>
      <c r="J234" s="353"/>
      <c r="K234" s="348"/>
      <c r="L234" s="342" t="str">
        <f>Products!B1133</f>
        <v>ручка-замок (для дверей купе)</v>
      </c>
      <c r="M234" s="349">
        <f>Products!E1133</f>
        <v>560</v>
      </c>
    </row>
    <row r="235" spans="2:13" ht="13.5">
      <c r="B235" s="225"/>
      <c r="C235" s="34"/>
      <c r="D235" s="34"/>
      <c r="E235" s="34"/>
      <c r="F235" s="31"/>
      <c r="J235" s="353"/>
      <c r="K235" s="348"/>
      <c r="L235" s="342" t="str">
        <f>Products!B1134</f>
        <v>циліндр несиметричний</v>
      </c>
      <c r="M235" s="349">
        <f>Products!E1134</f>
        <v>380</v>
      </c>
    </row>
    <row r="236" spans="2:13" ht="13.5">
      <c r="B236" s="225"/>
      <c r="C236" s="34"/>
      <c r="D236" s="34"/>
      <c r="E236" s="34"/>
      <c r="F236" s="31"/>
      <c r="J236" s="353"/>
      <c r="K236" s="348"/>
      <c r="L236" s="342" t="str">
        <f>Products!B1135</f>
        <v>завіса Prestige (1 шт)</v>
      </c>
      <c r="M236" s="349">
        <f>Products!E1135</f>
        <v>260</v>
      </c>
    </row>
    <row r="237" spans="2:13" ht="13.5">
      <c r="B237" s="225"/>
      <c r="C237" s="34"/>
      <c r="D237" s="34"/>
      <c r="E237" s="34"/>
      <c r="F237" s="31"/>
      <c r="J237" s="353"/>
      <c r="K237" s="348"/>
      <c r="L237" s="342" t="str">
        <f>Products!B1136</f>
        <v>накладка на завіси (1 к-т)</v>
      </c>
      <c r="M237" s="349">
        <f>Products!E1136</f>
        <v>80</v>
      </c>
    </row>
    <row r="238" spans="2:13" ht="21">
      <c r="B238" s="225"/>
      <c r="C238" s="34"/>
      <c r="D238" s="34"/>
      <c r="E238" s="34"/>
      <c r="F238" s="31"/>
      <c r="J238" s="353"/>
      <c r="K238" s="348"/>
      <c r="L238" s="342" t="str">
        <f>Products!B1137</f>
        <v>дверна ручка</v>
      </c>
      <c r="M238" s="349" t="str">
        <f>Products!E1137</f>
        <v>див. Таблицю Ручки</v>
      </c>
    </row>
    <row r="239" spans="2:13">
      <c r="B239" s="499" t="str">
        <f>Products!B1188</f>
        <v>Полотна збірні: ЛІНДА</v>
      </c>
      <c r="C239" s="500"/>
      <c r="D239" s="500"/>
      <c r="E239" s="500"/>
      <c r="F239" s="170"/>
      <c r="G239" s="170"/>
      <c r="H239" s="170"/>
      <c r="I239" s="170"/>
      <c r="J239" s="343"/>
      <c r="K239" s="343"/>
      <c r="L239" s="355"/>
      <c r="M239" s="356"/>
    </row>
    <row r="240" spans="2:13" ht="26.25" customHeight="1">
      <c r="B240" s="507" t="str">
        <f>Products!B1190</f>
        <v>модель</v>
      </c>
      <c r="C240" s="156" t="str">
        <f>Products!C1190</f>
        <v>покриття:</v>
      </c>
      <c r="D240" s="129" t="str">
        <f>Products!D1190</f>
        <v>Verto-CELL</v>
      </c>
      <c r="E240" s="167" t="str">
        <f>Products!F1190</f>
        <v>UNI-MAT</v>
      </c>
      <c r="F240" s="130" t="str">
        <f>Products!H1190</f>
        <v>RESIST</v>
      </c>
      <c r="G240" s="130" t="str">
        <f>Products!J1190</f>
        <v>Verto LINE-3D</v>
      </c>
      <c r="H240" s="130" t="str">
        <f>Products!L1190</f>
        <v>ЕКО Шпон</v>
      </c>
      <c r="I240" s="216"/>
      <c r="J240" s="216"/>
      <c r="K240" s="357"/>
      <c r="L240" s="341" t="str">
        <f>Products!B1198</f>
        <v>полотно розміром 100</v>
      </c>
      <c r="M240" s="358">
        <f>Products!E1198</f>
        <v>720</v>
      </c>
    </row>
    <row r="241" spans="2:13" ht="24.75" customHeight="1">
      <c r="B241" s="497"/>
      <c r="C241" s="157" t="str">
        <f>Products!C1191</f>
        <v>заповнення:</v>
      </c>
      <c r="D241" s="139" t="str">
        <f>Products!D1191</f>
        <v>клеєний сосновий брус</v>
      </c>
      <c r="E241" s="168" t="str">
        <f>Products!F1191</f>
        <v>клеєний сосновий брус</v>
      </c>
      <c r="F241" s="140" t="str">
        <f>Products!H1191</f>
        <v>клеєний сосновий брус</v>
      </c>
      <c r="G241" s="140" t="str">
        <f>Products!J1191</f>
        <v>клеєний сосновий брус</v>
      </c>
      <c r="H241" s="140" t="str">
        <f>Products!L1191</f>
        <v>клеєний сосновий брус</v>
      </c>
      <c r="I241" s="216"/>
      <c r="J241" s="216"/>
      <c r="K241" s="348"/>
      <c r="L241" s="342" t="str">
        <f>Products!B1199</f>
        <v>вентиляційний підріз</v>
      </c>
      <c r="M241" s="349">
        <f>Products!E1199</f>
        <v>170.00000000000003</v>
      </c>
    </row>
    <row r="242" spans="2:13">
      <c r="B242" s="498"/>
      <c r="C242" s="158" t="str">
        <f>Products!C1192</f>
        <v>скління:</v>
      </c>
      <c r="D242" s="137" t="str">
        <f>Products!D1192</f>
        <v>Сатин</v>
      </c>
      <c r="E242" s="161" t="str">
        <f>Products!F1192</f>
        <v>Сатин</v>
      </c>
      <c r="F242" s="126" t="str">
        <f>Products!H1192</f>
        <v>Сатин</v>
      </c>
      <c r="G242" s="126" t="str">
        <f>Products!J1192</f>
        <v>Сатин</v>
      </c>
      <c r="H242" s="126" t="str">
        <f>Products!L1192</f>
        <v>Сатин</v>
      </c>
      <c r="I242" s="216"/>
      <c r="J242" s="216"/>
      <c r="K242" s="348"/>
      <c r="L242" s="342" t="str">
        <f>Products!B1200</f>
        <v>скло Графіт / Бронза</v>
      </c>
      <c r="M242" s="349">
        <f>Products!E1200</f>
        <v>550</v>
      </c>
    </row>
    <row r="243" spans="2:13">
      <c r="B243" s="13" t="str">
        <f>Products!B1193</f>
        <v>1.0 - 1.5</v>
      </c>
      <c r="C243" s="163"/>
      <c r="D243" s="184">
        <f>Products!E1193</f>
        <v>6160.0000000000009</v>
      </c>
      <c r="E243" s="184">
        <f>Products!G1193</f>
        <v>7020</v>
      </c>
      <c r="F243" s="184">
        <f>Products!I1193</f>
        <v>7320</v>
      </c>
      <c r="G243" s="184">
        <f>Products!K1193</f>
        <v>7870</v>
      </c>
      <c r="H243" s="184">
        <f>Products!M1193</f>
        <v>8280</v>
      </c>
      <c r="I243" s="31"/>
      <c r="J243" s="362"/>
      <c r="K243" s="348"/>
      <c r="L243" s="342" t="str">
        <f>Products!B1201</f>
        <v>замок Soft</v>
      </c>
      <c r="M243" s="349">
        <f>Products!E1201</f>
        <v>550</v>
      </c>
    </row>
    <row r="244" spans="2:13">
      <c r="B244" s="281" t="str">
        <f>Products!B1194</f>
        <v>1.6 - 1.8</v>
      </c>
      <c r="C244" s="282"/>
      <c r="D244" s="283">
        <f>Products!E1194</f>
        <v>6160.0000000000009</v>
      </c>
      <c r="E244" s="283">
        <f>Products!G1194</f>
        <v>7020</v>
      </c>
      <c r="F244" s="283">
        <f>Products!I1194</f>
        <v>7320</v>
      </c>
      <c r="G244" s="283">
        <f>Products!K1194</f>
        <v>7870</v>
      </c>
      <c r="H244" s="283">
        <f>Products!M1194</f>
        <v>8280</v>
      </c>
      <c r="I244" s="31"/>
      <c r="J244" s="362"/>
      <c r="K244" s="348"/>
      <c r="L244" s="342" t="str">
        <f>Products!B1202</f>
        <v>замок Soft чорн.</v>
      </c>
      <c r="M244" s="349">
        <f>Products!E1202</f>
        <v>680.00000000000011</v>
      </c>
    </row>
    <row r="245" spans="2:13">
      <c r="F245" s="97"/>
      <c r="G245" s="97"/>
      <c r="H245" s="31"/>
      <c r="I245" s="31"/>
      <c r="J245" s="362"/>
      <c r="K245" s="348"/>
      <c r="L245" s="342" t="str">
        <f>Products!B1203</f>
        <v>замок Magnet</v>
      </c>
      <c r="M245" s="349">
        <f>Products!E1203</f>
        <v>800.00000000000011</v>
      </c>
    </row>
    <row r="246" spans="2:13">
      <c r="F246" s="97"/>
      <c r="G246" s="97"/>
      <c r="H246" s="31"/>
      <c r="I246" s="31"/>
      <c r="J246" s="362"/>
      <c r="K246" s="348"/>
      <c r="L246" s="342" t="str">
        <f>Products!B1204</f>
        <v>замок Magnet чорн.</v>
      </c>
      <c r="M246" s="349">
        <f>Products!E1204</f>
        <v>1000</v>
      </c>
    </row>
    <row r="247" spans="2:13">
      <c r="C247" s="34"/>
      <c r="D247" s="34"/>
      <c r="E247" s="34"/>
      <c r="H247" s="31"/>
      <c r="I247" s="31"/>
      <c r="J247" s="362"/>
      <c r="K247" s="348"/>
      <c r="L247" s="342" t="str">
        <f>Products!B1205</f>
        <v>ручка-замок (для дверей купе)</v>
      </c>
      <c r="M247" s="349">
        <f>Products!E1205</f>
        <v>560</v>
      </c>
    </row>
    <row r="248" spans="2:13">
      <c r="C248" s="34"/>
      <c r="D248" s="34"/>
      <c r="E248" s="34"/>
      <c r="H248" s="31"/>
      <c r="I248" s="31"/>
      <c r="J248" s="362"/>
      <c r="K248" s="348"/>
      <c r="L248" s="342" t="str">
        <f>Products!B1206</f>
        <v>циліндр несиметричний</v>
      </c>
      <c r="M248" s="349">
        <f>Products!E1206</f>
        <v>380</v>
      </c>
    </row>
    <row r="249" spans="2:13">
      <c r="F249" s="97"/>
      <c r="G249" s="97"/>
      <c r="H249" s="31"/>
      <c r="I249" s="31"/>
      <c r="J249" s="362"/>
      <c r="K249" s="348"/>
      <c r="L249" s="342" t="str">
        <f>Products!B1207</f>
        <v>завіса Prestige (1 шт)</v>
      </c>
      <c r="M249" s="349">
        <f>Products!E1207</f>
        <v>260</v>
      </c>
    </row>
    <row r="250" spans="2:13" ht="13.5">
      <c r="B250" s="225"/>
      <c r="C250" s="34"/>
      <c r="D250" s="34"/>
      <c r="E250" s="34"/>
      <c r="F250" s="31"/>
      <c r="J250" s="353"/>
      <c r="K250" s="348"/>
      <c r="L250" s="342" t="str">
        <f>Products!B1208</f>
        <v>накладка на завіси (1 к-т)</v>
      </c>
      <c r="M250" s="349">
        <f>Products!E1208</f>
        <v>80</v>
      </c>
    </row>
    <row r="251" spans="2:13" ht="21">
      <c r="B251" s="225"/>
      <c r="C251" s="34"/>
      <c r="D251" s="34"/>
      <c r="E251" s="34"/>
      <c r="F251" s="31"/>
      <c r="J251" s="353"/>
      <c r="K251" s="348"/>
      <c r="L251" s="342" t="str">
        <f>Products!B1209</f>
        <v>дверна ручка</v>
      </c>
      <c r="M251" s="349" t="str">
        <f>Products!E1209</f>
        <v>див. Таблицю Ручки</v>
      </c>
    </row>
    <row r="252" spans="2:13">
      <c r="B252" s="499" t="str">
        <f>Products!B1260</f>
        <v>Полотна збірні: ТІАНА</v>
      </c>
      <c r="C252" s="500"/>
      <c r="D252" s="500"/>
      <c r="E252" s="500"/>
      <c r="F252" s="170"/>
      <c r="G252" s="170"/>
      <c r="H252" s="170"/>
      <c r="I252" s="170"/>
      <c r="J252" s="343"/>
      <c r="K252" s="343"/>
      <c r="L252" s="355"/>
      <c r="M252" s="356"/>
    </row>
    <row r="253" spans="2:13" ht="27" customHeight="1">
      <c r="B253" s="507" t="str">
        <f>Products!B1262</f>
        <v>модель</v>
      </c>
      <c r="C253" s="156" t="str">
        <f>Products!C1262</f>
        <v>покриття:</v>
      </c>
      <c r="D253" s="129" t="str">
        <f>Products!D1262</f>
        <v>Verto-CELL</v>
      </c>
      <c r="E253" s="167" t="str">
        <f>Products!F1262</f>
        <v>UNI-MAT</v>
      </c>
      <c r="F253" s="130" t="str">
        <f>Products!H1262</f>
        <v>RESIST</v>
      </c>
      <c r="G253" s="130" t="str">
        <f>Products!J1262</f>
        <v>Verto LINE-3D</v>
      </c>
      <c r="H253" s="130" t="str">
        <f>Products!L1262</f>
        <v>ЕКО Шпон</v>
      </c>
      <c r="I253" s="216"/>
      <c r="J253" s="216"/>
      <c r="K253" s="357"/>
      <c r="L253" s="341" t="str">
        <f>Products!B1270</f>
        <v>полотно розміром 100</v>
      </c>
      <c r="M253" s="358">
        <f>Products!E1270</f>
        <v>720</v>
      </c>
    </row>
    <row r="254" spans="2:13" ht="26.25" customHeight="1">
      <c r="B254" s="497"/>
      <c r="C254" s="157" t="str">
        <f>Products!C1263</f>
        <v>заповнення:</v>
      </c>
      <c r="D254" s="139" t="str">
        <f>Products!D1263</f>
        <v>клеєний сосновий брус</v>
      </c>
      <c r="E254" s="168" t="str">
        <f>Products!F1263</f>
        <v>клеєний сосновий брус</v>
      </c>
      <c r="F254" s="140" t="str">
        <f>Products!H1263</f>
        <v>клеєний сосновий брус</v>
      </c>
      <c r="G254" s="140" t="str">
        <f>Products!J1263</f>
        <v>клеєний сосновий брус</v>
      </c>
      <c r="H254" s="140" t="str">
        <f>Products!L1263</f>
        <v>клеєний сосновий брус</v>
      </c>
      <c r="I254" s="216"/>
      <c r="J254" s="216"/>
      <c r="K254" s="348"/>
      <c r="L254" s="342" t="str">
        <f>Products!B1271</f>
        <v>вентиляційний підріз</v>
      </c>
      <c r="M254" s="349">
        <f>Products!E1271</f>
        <v>170.00000000000003</v>
      </c>
    </row>
    <row r="255" spans="2:13">
      <c r="B255" s="498"/>
      <c r="C255" s="158" t="str">
        <f>Products!C1264</f>
        <v>скління:</v>
      </c>
      <c r="D255" s="137" t="str">
        <f>Products!D1264</f>
        <v>Сатин</v>
      </c>
      <c r="E255" s="161" t="str">
        <f>Products!F1264</f>
        <v>Сатин</v>
      </c>
      <c r="F255" s="126" t="str">
        <f>Products!H1264</f>
        <v>Сатин</v>
      </c>
      <c r="G255" s="126" t="str">
        <f>Products!J1264</f>
        <v>Сатин</v>
      </c>
      <c r="H255" s="126" t="str">
        <f>Products!L1264</f>
        <v>Сатин</v>
      </c>
      <c r="I255" s="216"/>
      <c r="J255" s="216"/>
      <c r="K255" s="348"/>
      <c r="L255" s="342" t="str">
        <f>Products!B1272</f>
        <v>скло Графіт / Бронза</v>
      </c>
      <c r="M255" s="349">
        <f>Products!E1272</f>
        <v>550</v>
      </c>
    </row>
    <row r="256" spans="2:13">
      <c r="B256" s="13" t="str">
        <f>Products!B1265</f>
        <v>1.0 - 1.5</v>
      </c>
      <c r="C256" s="163"/>
      <c r="D256" s="184">
        <f>Products!E1265</f>
        <v>6790.0000000000009</v>
      </c>
      <c r="E256" s="184">
        <f>Products!G1265</f>
        <v>7660</v>
      </c>
      <c r="F256" s="184">
        <f>Products!I1265</f>
        <v>7890</v>
      </c>
      <c r="G256" s="184">
        <f>Products!K1265</f>
        <v>8470</v>
      </c>
      <c r="H256" s="184">
        <f>Products!M1265</f>
        <v>8870</v>
      </c>
      <c r="I256" s="31"/>
      <c r="J256" s="362"/>
      <c r="K256" s="348"/>
      <c r="L256" s="342" t="str">
        <f>Products!B1273</f>
        <v>скло Lacobel чорне</v>
      </c>
      <c r="M256" s="349">
        <f>Products!E1273</f>
        <v>550</v>
      </c>
    </row>
    <row r="257" spans="2:13">
      <c r="B257" s="281" t="str">
        <f>Products!B1266</f>
        <v>1.6 - 1.8</v>
      </c>
      <c r="C257" s="282"/>
      <c r="D257" s="283">
        <f>Products!E1266</f>
        <v>6790.0000000000009</v>
      </c>
      <c r="E257" s="283">
        <f>Products!G1266</f>
        <v>7660</v>
      </c>
      <c r="F257" s="283">
        <f>Products!I1266</f>
        <v>7890</v>
      </c>
      <c r="G257" s="283">
        <f>Products!K1266</f>
        <v>8470</v>
      </c>
      <c r="H257" s="283">
        <f>Products!M1266</f>
        <v>8870</v>
      </c>
      <c r="I257" s="31"/>
      <c r="J257" s="362"/>
      <c r="K257" s="348"/>
      <c r="L257" s="342" t="str">
        <f>Products!B1274</f>
        <v>замок Soft</v>
      </c>
      <c r="M257" s="349">
        <f>Products!E1274</f>
        <v>550</v>
      </c>
    </row>
    <row r="258" spans="2:13">
      <c r="F258" s="97"/>
      <c r="G258" s="97"/>
      <c r="H258" s="31"/>
      <c r="I258" s="31"/>
      <c r="J258" s="362"/>
      <c r="K258" s="348"/>
      <c r="L258" s="342" t="str">
        <f>Products!B1275</f>
        <v>замок Soft чорн.</v>
      </c>
      <c r="M258" s="349">
        <f>Products!E1275</f>
        <v>680.00000000000011</v>
      </c>
    </row>
    <row r="259" spans="2:13">
      <c r="F259" s="97"/>
      <c r="G259" s="97"/>
      <c r="H259" s="31"/>
      <c r="I259" s="31"/>
      <c r="J259" s="362"/>
      <c r="K259" s="348"/>
      <c r="L259" s="342" t="str">
        <f>Products!B1276</f>
        <v>замок Magnet</v>
      </c>
      <c r="M259" s="349">
        <f>Products!E1276</f>
        <v>800.00000000000011</v>
      </c>
    </row>
    <row r="260" spans="2:13">
      <c r="C260" s="34"/>
      <c r="D260" s="34"/>
      <c r="E260" s="34"/>
      <c r="H260" s="31"/>
      <c r="I260" s="31"/>
      <c r="J260" s="362"/>
      <c r="K260" s="348"/>
      <c r="L260" s="342" t="str">
        <f>Products!B1277</f>
        <v>замок Magnet чорн.</v>
      </c>
      <c r="M260" s="349">
        <f>Products!E1277</f>
        <v>1000</v>
      </c>
    </row>
    <row r="261" spans="2:13">
      <c r="C261" s="34"/>
      <c r="D261" s="34"/>
      <c r="E261" s="34"/>
      <c r="H261" s="31"/>
      <c r="I261" s="31"/>
      <c r="J261" s="362"/>
      <c r="K261" s="348"/>
      <c r="L261" s="342" t="str">
        <f>Products!B1278</f>
        <v>ручка-замок (для дверей купе)</v>
      </c>
      <c r="M261" s="349">
        <f>Products!E1278</f>
        <v>560</v>
      </c>
    </row>
    <row r="262" spans="2:13">
      <c r="F262" s="97"/>
      <c r="G262" s="97"/>
      <c r="H262" s="31"/>
      <c r="I262" s="31"/>
      <c r="J262" s="362"/>
      <c r="K262" s="348"/>
      <c r="L262" s="342" t="str">
        <f>Products!B1279</f>
        <v>циліндр несиметричний</v>
      </c>
      <c r="M262" s="349">
        <f>Products!E1279</f>
        <v>380</v>
      </c>
    </row>
    <row r="263" spans="2:13" ht="13.5">
      <c r="B263" s="225"/>
      <c r="C263" s="34"/>
      <c r="D263" s="34"/>
      <c r="E263" s="34"/>
      <c r="F263" s="31"/>
      <c r="J263" s="353"/>
      <c r="K263" s="348"/>
      <c r="L263" s="342" t="str">
        <f>Products!B1280</f>
        <v>завіса Prestige (1 шт)</v>
      </c>
      <c r="M263" s="349">
        <f>Products!E1280</f>
        <v>260</v>
      </c>
    </row>
    <row r="264" spans="2:13" ht="13.5">
      <c r="B264" s="225"/>
      <c r="C264" s="34"/>
      <c r="D264" s="34"/>
      <c r="E264" s="34"/>
      <c r="F264" s="31"/>
      <c r="J264" s="353"/>
      <c r="K264" s="348"/>
      <c r="L264" s="342" t="str">
        <f>Products!B1281</f>
        <v>накладка на завіси (1 к-т)</v>
      </c>
      <c r="M264" s="349">
        <f>Products!E1281</f>
        <v>80</v>
      </c>
    </row>
    <row r="265" spans="2:13" ht="21">
      <c r="B265" s="225"/>
      <c r="C265" s="34"/>
      <c r="D265" s="34"/>
      <c r="E265" s="34"/>
      <c r="F265" s="31"/>
      <c r="J265" s="353"/>
      <c r="K265" s="348"/>
      <c r="L265" s="342" t="str">
        <f>Products!B1282</f>
        <v>дверна ручка</v>
      </c>
      <c r="M265" s="349" t="str">
        <f>Products!E1282</f>
        <v>див. Таблицю Ручки</v>
      </c>
    </row>
    <row r="266" spans="2:13">
      <c r="B266" s="499" t="str">
        <f>Products!B1333</f>
        <v>Полотна збірні: ЄВА</v>
      </c>
      <c r="C266" s="500"/>
      <c r="D266" s="500"/>
      <c r="E266" s="500"/>
      <c r="F266" s="170"/>
      <c r="G266" s="170"/>
      <c r="H266" s="170"/>
      <c r="I266" s="170"/>
      <c r="J266" s="343"/>
      <c r="K266" s="343"/>
      <c r="L266" s="355"/>
      <c r="M266" s="356"/>
    </row>
    <row r="267" spans="2:13" ht="26.25" customHeight="1">
      <c r="B267" s="507" t="str">
        <f>Products!B1335</f>
        <v>модель</v>
      </c>
      <c r="C267" s="156" t="str">
        <f>Products!C1335</f>
        <v>покриття:</v>
      </c>
      <c r="D267" s="129" t="str">
        <f>Products!D1335</f>
        <v>Verto-CELL</v>
      </c>
      <c r="E267" s="167" t="str">
        <f>Products!F1335</f>
        <v>UNI-MAT</v>
      </c>
      <c r="F267" s="130" t="str">
        <f>Products!H1335</f>
        <v>RESIST</v>
      </c>
      <c r="G267" s="130" t="str">
        <f>Products!J1335</f>
        <v>Verto LINE-3D</v>
      </c>
      <c r="H267" s="130" t="str">
        <f>Products!L1335</f>
        <v>ЕКО Шпон</v>
      </c>
      <c r="I267" s="216"/>
      <c r="J267" s="216"/>
      <c r="K267" s="357"/>
      <c r="L267" s="341" t="str">
        <f>Products!B1344</f>
        <v>полотно розміром 100</v>
      </c>
      <c r="M267" s="358">
        <f>Products!E1344</f>
        <v>720</v>
      </c>
    </row>
    <row r="268" spans="2:13" ht="24.75" customHeight="1">
      <c r="B268" s="497"/>
      <c r="C268" s="157" t="str">
        <f>Products!C1336</f>
        <v>заповнення:</v>
      </c>
      <c r="D268" s="139" t="str">
        <f>Products!D1336</f>
        <v>клеєний сосновий брус</v>
      </c>
      <c r="E268" s="168" t="str">
        <f>Products!F1336</f>
        <v>клеєний сосновий брус</v>
      </c>
      <c r="F268" s="140" t="str">
        <f>Products!H1336</f>
        <v>клеєний сосновий брус</v>
      </c>
      <c r="G268" s="140" t="str">
        <f>Products!J1336</f>
        <v>клеєний сосновий брус</v>
      </c>
      <c r="H268" s="140" t="str">
        <f>Products!L1336</f>
        <v>клеєний сосновий брус</v>
      </c>
      <c r="I268" s="216"/>
      <c r="J268" s="216"/>
      <c r="K268" s="348"/>
      <c r="L268" s="342" t="str">
        <f>Products!B1345</f>
        <v>вентиляційний підріз</v>
      </c>
      <c r="M268" s="349">
        <f>Products!E1345</f>
        <v>170.00000000000003</v>
      </c>
    </row>
    <row r="269" spans="2:13">
      <c r="B269" s="498"/>
      <c r="C269" s="158" t="str">
        <f>Products!C1337</f>
        <v>скління:</v>
      </c>
      <c r="D269" s="137" t="str">
        <f>Products!D1337</f>
        <v>Сатин</v>
      </c>
      <c r="E269" s="161" t="str">
        <f>Products!F1337</f>
        <v>Сатин</v>
      </c>
      <c r="F269" s="126" t="str">
        <f>Products!H1337</f>
        <v>Сатин</v>
      </c>
      <c r="G269" s="126" t="str">
        <f>Products!J1337</f>
        <v>Сатин</v>
      </c>
      <c r="H269" s="126" t="str">
        <f>Products!L1337</f>
        <v>Сатин</v>
      </c>
      <c r="I269" s="216"/>
      <c r="J269" s="216"/>
      <c r="K269" s="348"/>
      <c r="L269" s="342" t="str">
        <f>Products!B1346</f>
        <v>скло Графіт / Бронза</v>
      </c>
      <c r="M269" s="349">
        <f>Products!E1346</f>
        <v>550</v>
      </c>
    </row>
    <row r="270" spans="2:13">
      <c r="B270" s="13" t="str">
        <f>Products!B1338</f>
        <v>2.0 - 2.2</v>
      </c>
      <c r="C270" s="163"/>
      <c r="D270" s="191">
        <f>Products!E1338</f>
        <v>5880</v>
      </c>
      <c r="E270" s="183">
        <f>Products!G1338</f>
        <v>6700.0000000000009</v>
      </c>
      <c r="F270" s="183">
        <f>Products!I1338</f>
        <v>7010</v>
      </c>
      <c r="G270" s="183">
        <f>Products!K1338</f>
        <v>7680</v>
      </c>
      <c r="H270" s="183">
        <f>Products!M1338</f>
        <v>8050</v>
      </c>
      <c r="I270" s="31"/>
      <c r="J270" s="362"/>
      <c r="K270" s="348"/>
      <c r="L270" s="342" t="str">
        <f>Products!B1347</f>
        <v>скло Lacobel чорне</v>
      </c>
      <c r="M270" s="349">
        <f>Products!E1347</f>
        <v>550</v>
      </c>
    </row>
    <row r="271" spans="2:13">
      <c r="B271" s="114" t="str">
        <f>Products!B1339</f>
        <v>4.0 - 4.4</v>
      </c>
      <c r="C271" s="173"/>
      <c r="D271" s="291">
        <f>Products!E1339</f>
        <v>5880</v>
      </c>
      <c r="E271" s="292">
        <f>Products!G1339</f>
        <v>6700.0000000000009</v>
      </c>
      <c r="F271" s="292">
        <f>Products!I1339</f>
        <v>7010</v>
      </c>
      <c r="G271" s="292">
        <f>Products!K1339</f>
        <v>7680</v>
      </c>
      <c r="H271" s="292">
        <f>Products!M1339</f>
        <v>8050</v>
      </c>
      <c r="I271" s="31"/>
      <c r="J271" s="362"/>
      <c r="K271" s="348"/>
      <c r="L271" s="342" t="str">
        <f>Products!B1348</f>
        <v>замок Soft</v>
      </c>
      <c r="M271" s="349">
        <f>Products!E1348</f>
        <v>550</v>
      </c>
    </row>
    <row r="272" spans="2:13">
      <c r="B272" s="23" t="str">
        <f>Products!B1340</f>
        <v>4.5 - 4.6</v>
      </c>
      <c r="C272" s="165"/>
      <c r="D272" s="193">
        <f>Products!E1340</f>
        <v>5880</v>
      </c>
      <c r="E272" s="187">
        <f>Products!G1340</f>
        <v>6700.0000000000009</v>
      </c>
      <c r="F272" s="187">
        <f>Products!I1340</f>
        <v>7010</v>
      </c>
      <c r="G272" s="187">
        <f>Products!K1340</f>
        <v>7680</v>
      </c>
      <c r="H272" s="187">
        <f>Products!M1340</f>
        <v>8050</v>
      </c>
      <c r="I272" s="31"/>
      <c r="J272" s="362"/>
      <c r="K272" s="348"/>
      <c r="L272" s="342" t="str">
        <f>Products!B1349</f>
        <v>замок Soft чорн.</v>
      </c>
      <c r="M272" s="349">
        <f>Products!E1349</f>
        <v>680.00000000000011</v>
      </c>
    </row>
    <row r="273" spans="2:13">
      <c r="F273" s="97"/>
      <c r="G273" s="97"/>
      <c r="H273" s="31"/>
      <c r="I273" s="31"/>
      <c r="J273" s="362"/>
      <c r="K273" s="348"/>
      <c r="L273" s="342" t="str">
        <f>Products!B1350</f>
        <v>замок Magnet</v>
      </c>
      <c r="M273" s="349">
        <f>Products!E1350</f>
        <v>800.00000000000011</v>
      </c>
    </row>
    <row r="274" spans="2:13">
      <c r="C274" s="34"/>
      <c r="D274" s="34"/>
      <c r="E274" s="34"/>
      <c r="H274" s="31"/>
      <c r="I274" s="31"/>
      <c r="J274" s="362"/>
      <c r="K274" s="348"/>
      <c r="L274" s="342" t="str">
        <f>Products!B1351</f>
        <v>замок Magnet чорн.</v>
      </c>
      <c r="M274" s="349">
        <f>Products!E1351</f>
        <v>1000</v>
      </c>
    </row>
    <row r="275" spans="2:13">
      <c r="C275" s="34"/>
      <c r="D275" s="34"/>
      <c r="E275" s="34"/>
      <c r="H275" s="31"/>
      <c r="I275" s="31"/>
      <c r="J275" s="362"/>
      <c r="K275" s="348"/>
      <c r="L275" s="342" t="str">
        <f>Products!B1352</f>
        <v>ручка-замок (для дверей купе)</v>
      </c>
      <c r="M275" s="349">
        <f>Products!E1352</f>
        <v>560</v>
      </c>
    </row>
    <row r="276" spans="2:13">
      <c r="F276" s="97"/>
      <c r="G276" s="97"/>
      <c r="H276" s="31"/>
      <c r="I276" s="31"/>
      <c r="J276" s="362"/>
      <c r="K276" s="348"/>
      <c r="L276" s="342" t="str">
        <f>Products!B1353</f>
        <v>циліндр несиметричний</v>
      </c>
      <c r="M276" s="349">
        <f>Products!E1353</f>
        <v>380</v>
      </c>
    </row>
    <row r="277" spans="2:13" ht="13.5">
      <c r="B277" s="225"/>
      <c r="C277" s="34"/>
      <c r="D277" s="34"/>
      <c r="E277" s="34"/>
      <c r="F277" s="31"/>
      <c r="J277" s="353"/>
      <c r="K277" s="348"/>
      <c r="L277" s="342" t="str">
        <f>Products!B1354</f>
        <v>завіса Prestige (1 шт)</v>
      </c>
      <c r="M277" s="349">
        <f>Products!E1354</f>
        <v>260</v>
      </c>
    </row>
    <row r="278" spans="2:13" ht="13.5">
      <c r="B278" s="225"/>
      <c r="C278" s="34"/>
      <c r="D278" s="34"/>
      <c r="E278" s="34"/>
      <c r="F278" s="31"/>
      <c r="J278" s="353"/>
      <c r="K278" s="348"/>
      <c r="L278" s="342" t="str">
        <f>Products!B1355</f>
        <v>накладка на завіси (1 к-т)</v>
      </c>
      <c r="M278" s="349">
        <f>Products!E1355</f>
        <v>80</v>
      </c>
    </row>
    <row r="279" spans="2:13" ht="21">
      <c r="B279" s="225"/>
      <c r="C279" s="34"/>
      <c r="D279" s="34"/>
      <c r="E279" s="34"/>
      <c r="F279" s="31"/>
      <c r="J279" s="353"/>
      <c r="K279" s="348"/>
      <c r="L279" s="342" t="str">
        <f>Products!B1356</f>
        <v>дверна ручка</v>
      </c>
      <c r="M279" s="349" t="str">
        <f>Products!E1356</f>
        <v>див. Таблицю Ручки</v>
      </c>
    </row>
    <row r="280" spans="2:13">
      <c r="B280" s="499" t="str">
        <f>Products!B1407</f>
        <v>Полотна збірні: ТРЕНД</v>
      </c>
      <c r="C280" s="500"/>
      <c r="D280" s="500"/>
      <c r="E280" s="500"/>
      <c r="F280" s="170"/>
      <c r="G280" s="170"/>
      <c r="H280" s="170"/>
      <c r="I280" s="170"/>
      <c r="J280" s="343"/>
      <c r="K280" s="343"/>
      <c r="L280" s="355"/>
      <c r="M280" s="356"/>
    </row>
    <row r="281" spans="2:13" ht="25.5" customHeight="1">
      <c r="B281" s="507" t="str">
        <f>Products!B1409</f>
        <v>модель</v>
      </c>
      <c r="C281" s="156" t="str">
        <f>Products!C1409</f>
        <v>покриття:</v>
      </c>
      <c r="D281" s="129" t="str">
        <f>Products!D1409</f>
        <v>Verto-CELL</v>
      </c>
      <c r="E281" s="167" t="str">
        <f>Products!F1409</f>
        <v>UNI-MAT</v>
      </c>
      <c r="F281" s="130" t="str">
        <f>Products!H1409</f>
        <v>RESIST</v>
      </c>
      <c r="G281" s="130" t="str">
        <f>Products!J1409</f>
        <v>Verto LINE-3D</v>
      </c>
      <c r="H281" s="130" t="str">
        <f>Products!L1409</f>
        <v>ЕКО Шпон</v>
      </c>
      <c r="I281" s="216"/>
      <c r="J281" s="216"/>
      <c r="K281" s="357"/>
      <c r="L281" s="341" t="str">
        <f>Products!B1418</f>
        <v>полотно розміром 100</v>
      </c>
      <c r="M281" s="358">
        <f>Products!E1418</f>
        <v>720</v>
      </c>
    </row>
    <row r="282" spans="2:13" ht="24" customHeight="1">
      <c r="B282" s="497"/>
      <c r="C282" s="157" t="str">
        <f>Products!C1410</f>
        <v>заповнення:</v>
      </c>
      <c r="D282" s="139" t="str">
        <f>Products!D1410</f>
        <v>клеєний сосновий брус</v>
      </c>
      <c r="E282" s="168" t="str">
        <f>Products!F1410</f>
        <v>клеєний сосновий брус</v>
      </c>
      <c r="F282" s="140" t="str">
        <f>Products!H1410</f>
        <v>клеєний сосновий брус</v>
      </c>
      <c r="G282" s="140" t="str">
        <f>Products!J1410</f>
        <v>клеєний сосновий брус</v>
      </c>
      <c r="H282" s="140" t="str">
        <f>Products!L1410</f>
        <v>клеєний сосновий брус</v>
      </c>
      <c r="I282" s="216"/>
      <c r="J282" s="216"/>
      <c r="K282" s="348"/>
      <c r="L282" s="342" t="str">
        <f>Products!B1419</f>
        <v>вентиляційні віддушини (1ряд)</v>
      </c>
      <c r="M282" s="349">
        <f>Products!E1419</f>
        <v>250</v>
      </c>
    </row>
    <row r="283" spans="2:13">
      <c r="B283" s="498"/>
      <c r="C283" s="158" t="str">
        <f>Products!C1411</f>
        <v>скління:</v>
      </c>
      <c r="D283" s="137" t="str">
        <f>Products!D1411</f>
        <v>Сатин</v>
      </c>
      <c r="E283" s="161" t="str">
        <f>Products!F1411</f>
        <v>Сатин</v>
      </c>
      <c r="F283" s="126" t="str">
        <f>Products!H1411</f>
        <v>Сатин</v>
      </c>
      <c r="G283" s="126" t="str">
        <f>Products!J1411</f>
        <v>Сатин</v>
      </c>
      <c r="H283" s="126" t="str">
        <f>Products!L1411</f>
        <v>Сатин</v>
      </c>
      <c r="I283" s="216"/>
      <c r="J283" s="216"/>
      <c r="K283" s="348"/>
      <c r="L283" s="342" t="str">
        <f>Products!B1420</f>
        <v>вентиляційний підріз</v>
      </c>
      <c r="M283" s="349">
        <f>Products!E1420</f>
        <v>170.00000000000003</v>
      </c>
    </row>
    <row r="284" spans="2:13">
      <c r="B284" s="13" t="str">
        <f>Products!B1412</f>
        <v>5.0 - 5.5</v>
      </c>
      <c r="C284" s="163"/>
      <c r="D284" s="191">
        <f>Products!E1412</f>
        <v>7530</v>
      </c>
      <c r="E284" s="183">
        <f>Products!G1412</f>
        <v>8360</v>
      </c>
      <c r="F284" s="183">
        <f>Products!I1412</f>
        <v>8640</v>
      </c>
      <c r="G284" s="183">
        <f>Products!K1412</f>
        <v>9030</v>
      </c>
      <c r="H284" s="183">
        <f>Products!M1412</f>
        <v>9450</v>
      </c>
      <c r="J284" s="353"/>
      <c r="K284" s="348"/>
      <c r="L284" s="342" t="str">
        <f>Products!B1421</f>
        <v>скло Графіт / Бронза</v>
      </c>
      <c r="M284" s="349">
        <f>Products!E1421</f>
        <v>550</v>
      </c>
    </row>
    <row r="285" spans="2:13">
      <c r="B285" s="114" t="str">
        <f>Products!B1413</f>
        <v>5А.1 - 5А.3</v>
      </c>
      <c r="C285" s="173"/>
      <c r="D285" s="291">
        <f>Products!E1413</f>
        <v>7530</v>
      </c>
      <c r="E285" s="292">
        <f>Products!G1413</f>
        <v>8360</v>
      </c>
      <c r="F285" s="292">
        <f>Products!I1413</f>
        <v>8640</v>
      </c>
      <c r="G285" s="292">
        <f>Products!K1413</f>
        <v>9030</v>
      </c>
      <c r="H285" s="292">
        <f>Products!M1413</f>
        <v>9450</v>
      </c>
      <c r="J285" s="353"/>
      <c r="K285" s="348"/>
      <c r="L285" s="342" t="str">
        <f>Products!B1422</f>
        <v>замок Soft</v>
      </c>
      <c r="M285" s="349">
        <f>Products!E1422</f>
        <v>550</v>
      </c>
    </row>
    <row r="286" spans="2:13">
      <c r="B286" s="23" t="str">
        <f>Products!B1414</f>
        <v>5Б.3</v>
      </c>
      <c r="C286" s="165"/>
      <c r="D286" s="193">
        <f>Products!E1414</f>
        <v>7530</v>
      </c>
      <c r="E286" s="187">
        <f>Products!G1414</f>
        <v>8360</v>
      </c>
      <c r="F286" s="187">
        <f>Products!I1414</f>
        <v>8640</v>
      </c>
      <c r="G286" s="187">
        <f>Products!K1414</f>
        <v>9030</v>
      </c>
      <c r="H286" s="187">
        <f>Products!M1414</f>
        <v>9450</v>
      </c>
      <c r="J286" s="353"/>
      <c r="K286" s="348"/>
      <c r="L286" s="342" t="str">
        <f>Products!B1423</f>
        <v>замок Soft чорн.</v>
      </c>
      <c r="M286" s="349">
        <f>Products!E1423</f>
        <v>680.00000000000011</v>
      </c>
    </row>
    <row r="287" spans="2:13">
      <c r="C287" s="34"/>
      <c r="D287" s="34"/>
      <c r="E287" s="34"/>
      <c r="F287" s="31"/>
      <c r="J287" s="353"/>
      <c r="K287" s="348"/>
      <c r="L287" s="342" t="str">
        <f>Products!B1424</f>
        <v>замок Magnet</v>
      </c>
      <c r="M287" s="349">
        <f>Products!E1424</f>
        <v>800.00000000000011</v>
      </c>
    </row>
    <row r="288" spans="2:13">
      <c r="C288" s="34"/>
      <c r="D288" s="34"/>
      <c r="E288" s="34"/>
      <c r="F288" s="31"/>
      <c r="J288" s="353"/>
      <c r="K288" s="348"/>
      <c r="L288" s="342" t="str">
        <f>Products!B1425</f>
        <v>замок Magnet чорн.</v>
      </c>
      <c r="M288" s="349">
        <f>Products!E1425</f>
        <v>1000</v>
      </c>
    </row>
    <row r="289" spans="2:13">
      <c r="C289" s="34"/>
      <c r="D289" s="34"/>
      <c r="E289" s="34"/>
      <c r="F289" s="31"/>
      <c r="J289" s="353"/>
      <c r="K289" s="348"/>
      <c r="L289" s="342" t="str">
        <f>Products!B1426</f>
        <v>ручка-замок (для дверей купе)</v>
      </c>
      <c r="M289" s="349">
        <f>Products!E1426</f>
        <v>560</v>
      </c>
    </row>
    <row r="290" spans="2:13">
      <c r="C290" s="34"/>
      <c r="D290" s="34"/>
      <c r="E290" s="34"/>
      <c r="F290" s="31"/>
      <c r="J290" s="353"/>
      <c r="K290" s="348"/>
      <c r="L290" s="342" t="str">
        <f>Products!B1427</f>
        <v>циліндр несиметричний</v>
      </c>
      <c r="M290" s="349">
        <f>Products!E1427</f>
        <v>380</v>
      </c>
    </row>
    <row r="291" spans="2:13">
      <c r="C291" s="34"/>
      <c r="D291" s="34"/>
      <c r="E291" s="34"/>
      <c r="F291" s="31"/>
      <c r="J291" s="353"/>
      <c r="K291" s="348"/>
      <c r="L291" s="342" t="str">
        <f>Products!B1428</f>
        <v>завіса Prestige (1 шт)</v>
      </c>
      <c r="M291" s="349">
        <f>Products!E1428</f>
        <v>260</v>
      </c>
    </row>
    <row r="292" spans="2:13" ht="13.5">
      <c r="B292" s="225"/>
      <c r="C292" s="34"/>
      <c r="D292" s="34"/>
      <c r="E292" s="34"/>
      <c r="F292" s="31"/>
      <c r="J292" s="353"/>
      <c r="K292" s="348"/>
      <c r="L292" s="342" t="str">
        <f>Products!B1429</f>
        <v>накладка на завіси (1 к-т)</v>
      </c>
      <c r="M292" s="349">
        <f>Products!E1429</f>
        <v>80</v>
      </c>
    </row>
    <row r="293" spans="2:13" ht="21">
      <c r="B293" s="225"/>
      <c r="C293" s="34"/>
      <c r="D293" s="34"/>
      <c r="E293" s="34"/>
      <c r="F293" s="31"/>
      <c r="J293" s="353"/>
      <c r="K293" s="348"/>
      <c r="L293" s="342" t="str">
        <f>Products!B1430</f>
        <v>дверна ручка</v>
      </c>
      <c r="M293" s="349" t="str">
        <f>Products!E1430</f>
        <v>див. Таблицю Ручки</v>
      </c>
    </row>
    <row r="294" spans="2:13">
      <c r="B294" s="499" t="str">
        <f>Products!B1481</f>
        <v>Полотна збірні: МОДЕРН</v>
      </c>
      <c r="C294" s="500"/>
      <c r="D294" s="500"/>
      <c r="E294" s="500"/>
      <c r="F294" s="170"/>
      <c r="G294" s="170"/>
      <c r="H294" s="170"/>
      <c r="I294" s="170"/>
      <c r="J294" s="343"/>
      <c r="K294" s="343"/>
      <c r="L294" s="355"/>
      <c r="M294" s="356"/>
    </row>
    <row r="295" spans="2:13">
      <c r="B295" s="507" t="str">
        <f>Products!B1483</f>
        <v>модель</v>
      </c>
      <c r="C295" s="156" t="str">
        <f>Products!C1483</f>
        <v>покриття:</v>
      </c>
      <c r="D295" s="129" t="str">
        <f>Products!D1483</f>
        <v>VERTO-CELL</v>
      </c>
      <c r="E295" s="167" t="str">
        <f>Products!F1483</f>
        <v>UNI-MAT</v>
      </c>
      <c r="F295" s="130" t="str">
        <f>Products!H1483</f>
        <v>RESIST</v>
      </c>
      <c r="G295" s="130" t="str">
        <f>Products!J1483</f>
        <v>Verto LINE-3D</v>
      </c>
      <c r="H295" s="130" t="str">
        <f>Products!L1483</f>
        <v>ЕКО Шпон</v>
      </c>
      <c r="I295" s="216"/>
      <c r="J295" s="216"/>
      <c r="K295" s="357"/>
      <c r="L295" s="341" t="str">
        <f>Products!B1492</f>
        <v>полотно розміром 100</v>
      </c>
      <c r="M295" s="358">
        <f>Products!E1492</f>
        <v>720</v>
      </c>
    </row>
    <row r="296" spans="2:13" ht="24" customHeight="1">
      <c r="B296" s="497"/>
      <c r="C296" s="157" t="str">
        <f>Products!C1484</f>
        <v>заповнення:</v>
      </c>
      <c r="D296" s="139" t="str">
        <f>Products!D1484</f>
        <v>клеєний сосновий брус</v>
      </c>
      <c r="E296" s="168" t="str">
        <f>Products!F1484</f>
        <v>клеєний сосновий брус</v>
      </c>
      <c r="F296" s="140" t="str">
        <f>Products!H1484</f>
        <v>клеєний сосновий брус</v>
      </c>
      <c r="G296" s="140" t="str">
        <f>Products!J1484</f>
        <v>клеєний сосновий брус</v>
      </c>
      <c r="H296" s="140" t="str">
        <f>Products!L1484</f>
        <v>клеєний сосновий брус</v>
      </c>
      <c r="I296" s="216"/>
      <c r="J296" s="216"/>
      <c r="K296" s="348"/>
      <c r="L296" s="342" t="str">
        <f>Products!B1493</f>
        <v>вентиляційні віддушини (1ряд)</v>
      </c>
      <c r="M296" s="349">
        <f>Products!E1493</f>
        <v>250</v>
      </c>
    </row>
    <row r="297" spans="2:13">
      <c r="B297" s="498"/>
      <c r="C297" s="158" t="str">
        <f>Products!C1485</f>
        <v>скління:</v>
      </c>
      <c r="D297" s="137" t="str">
        <f>Products!D1485</f>
        <v>Сатин</v>
      </c>
      <c r="E297" s="161" t="str">
        <f>Products!F1485</f>
        <v>Сатин</v>
      </c>
      <c r="F297" s="126" t="str">
        <f>Products!H1485</f>
        <v>Сатин</v>
      </c>
      <c r="G297" s="126" t="str">
        <f>Products!J1485</f>
        <v>Сатин</v>
      </c>
      <c r="H297" s="126" t="str">
        <f>Products!L1485</f>
        <v>Сатин</v>
      </c>
      <c r="I297" s="216"/>
      <c r="J297" s="216"/>
      <c r="K297" s="348"/>
      <c r="L297" s="342" t="str">
        <f>Products!B1494</f>
        <v>вентиляційний підріз</v>
      </c>
      <c r="M297" s="349">
        <f>Products!E1494</f>
        <v>170.00000000000003</v>
      </c>
    </row>
    <row r="298" spans="2:13">
      <c r="B298" s="13" t="str">
        <f>Products!B1486</f>
        <v>1.0 - 1.1</v>
      </c>
      <c r="C298" s="163"/>
      <c r="D298" s="191">
        <f>Products!E1486</f>
        <v>6320</v>
      </c>
      <c r="E298" s="183">
        <f>Products!G1486</f>
        <v>7080</v>
      </c>
      <c r="F298" s="183">
        <f>Products!I1486</f>
        <v>7380</v>
      </c>
      <c r="G298" s="183">
        <f>Products!K1486</f>
        <v>7920</v>
      </c>
      <c r="H298" s="183">
        <f>Products!M1486</f>
        <v>8300</v>
      </c>
      <c r="J298" s="353"/>
      <c r="K298" s="348"/>
      <c r="L298" s="342" t="str">
        <f>Products!B1495</f>
        <v>скло Графіт / Бронза</v>
      </c>
      <c r="M298" s="349">
        <f>Products!E1495</f>
        <v>550</v>
      </c>
    </row>
    <row r="299" spans="2:13">
      <c r="B299" s="114" t="str">
        <f>Products!B1487</f>
        <v>3.0 - 3.3</v>
      </c>
      <c r="C299" s="173"/>
      <c r="D299" s="291">
        <f>Products!E1487</f>
        <v>7440</v>
      </c>
      <c r="E299" s="292">
        <f>Products!G1487</f>
        <v>8340</v>
      </c>
      <c r="F299" s="292">
        <f>Products!I1487</f>
        <v>8700</v>
      </c>
      <c r="G299" s="292">
        <f>Products!K1487</f>
        <v>9250</v>
      </c>
      <c r="H299" s="292">
        <f>Products!M1487</f>
        <v>9690</v>
      </c>
      <c r="J299" s="353"/>
      <c r="K299" s="348"/>
      <c r="L299" s="342" t="str">
        <f>Products!B1496</f>
        <v>замок Soft</v>
      </c>
      <c r="M299" s="349">
        <f>Products!E1496</f>
        <v>550</v>
      </c>
    </row>
    <row r="300" spans="2:13">
      <c r="B300" s="23" t="str">
        <f>Products!B1488</f>
        <v>3А.1 - 3А.2</v>
      </c>
      <c r="C300" s="165"/>
      <c r="D300" s="193">
        <f>Products!E1488</f>
        <v>7440</v>
      </c>
      <c r="E300" s="187">
        <f>Products!G1488</f>
        <v>8340</v>
      </c>
      <c r="F300" s="187">
        <f>Products!I1488</f>
        <v>8700</v>
      </c>
      <c r="G300" s="187">
        <f>Products!K1488</f>
        <v>9250</v>
      </c>
      <c r="H300" s="187">
        <f>Products!M1488</f>
        <v>9690</v>
      </c>
      <c r="J300" s="353"/>
      <c r="K300" s="348"/>
      <c r="L300" s="342" t="str">
        <f>Products!B1497</f>
        <v>замок Soft чорн.</v>
      </c>
      <c r="M300" s="349">
        <f>Products!E1497</f>
        <v>680.00000000000011</v>
      </c>
    </row>
    <row r="301" spans="2:13">
      <c r="C301" s="34"/>
      <c r="D301" s="34"/>
      <c r="E301" s="34"/>
      <c r="F301" s="31"/>
      <c r="J301" s="353"/>
      <c r="K301" s="348"/>
      <c r="L301" s="342" t="str">
        <f>Products!B1498</f>
        <v>замок Magnet</v>
      </c>
      <c r="M301" s="349">
        <f>Products!E1498</f>
        <v>800.00000000000011</v>
      </c>
    </row>
    <row r="302" spans="2:13">
      <c r="C302" s="34"/>
      <c r="D302" s="34"/>
      <c r="E302" s="34"/>
      <c r="F302" s="31"/>
      <c r="J302" s="353"/>
      <c r="K302" s="348"/>
      <c r="L302" s="342" t="str">
        <f>Products!B1499</f>
        <v>замок Magnet чорн.</v>
      </c>
      <c r="M302" s="349">
        <f>Products!E1499</f>
        <v>1000</v>
      </c>
    </row>
    <row r="303" spans="2:13">
      <c r="C303" s="34"/>
      <c r="D303" s="34"/>
      <c r="E303" s="34"/>
      <c r="F303" s="31"/>
      <c r="J303" s="353"/>
      <c r="K303" s="348"/>
      <c r="L303" s="342" t="str">
        <f>Products!B1500</f>
        <v>ручка-замок (для дверей купе)</v>
      </c>
      <c r="M303" s="349">
        <f>Products!E1500</f>
        <v>560</v>
      </c>
    </row>
    <row r="304" spans="2:13">
      <c r="C304" s="34"/>
      <c r="D304" s="34"/>
      <c r="E304" s="34"/>
      <c r="F304" s="31"/>
      <c r="J304" s="353"/>
      <c r="K304" s="348"/>
      <c r="L304" s="342" t="str">
        <f>Products!B1501</f>
        <v>циліндр несиметричний</v>
      </c>
      <c r="M304" s="349">
        <f>Products!E1501</f>
        <v>380</v>
      </c>
    </row>
    <row r="305" spans="1:13">
      <c r="C305" s="34"/>
      <c r="D305" s="34"/>
      <c r="E305" s="34"/>
      <c r="F305" s="31"/>
      <c r="J305" s="353"/>
      <c r="K305" s="348"/>
      <c r="L305" s="342" t="str">
        <f>Products!B1502</f>
        <v>завіса Prestige (1 шт)</v>
      </c>
      <c r="M305" s="349">
        <f>Products!E1502</f>
        <v>260</v>
      </c>
    </row>
    <row r="306" spans="1:13">
      <c r="C306" s="34"/>
      <c r="D306" s="34"/>
      <c r="E306" s="34"/>
      <c r="F306" s="31"/>
      <c r="J306" s="353"/>
      <c r="K306" s="348"/>
      <c r="L306" s="342" t="str">
        <f>Products!B1503</f>
        <v>накладка на завіси (1 к-т)</v>
      </c>
      <c r="M306" s="349">
        <f>Products!E1503</f>
        <v>80</v>
      </c>
    </row>
    <row r="307" spans="1:13" ht="21">
      <c r="C307" s="34"/>
      <c r="D307" s="34"/>
      <c r="E307" s="34"/>
      <c r="F307" s="31"/>
      <c r="J307" s="353"/>
      <c r="K307" s="348"/>
      <c r="L307" s="342" t="str">
        <f>Products!B1504</f>
        <v>дверна ручка</v>
      </c>
      <c r="M307" s="349" t="str">
        <f>Products!E1504</f>
        <v>див. Таблицю Ручки</v>
      </c>
    </row>
    <row r="308" spans="1:13" s="31" customFormat="1" ht="12.75" customHeight="1">
      <c r="B308" s="499" t="str">
        <f>Products!B1555</f>
        <v>Полотна збірні: ПОЛО</v>
      </c>
      <c r="C308" s="500"/>
      <c r="D308" s="500"/>
      <c r="E308" s="500"/>
      <c r="F308" s="170"/>
      <c r="G308" s="170"/>
      <c r="H308" s="170"/>
      <c r="I308" s="170"/>
      <c r="J308" s="343"/>
      <c r="K308" s="343"/>
      <c r="L308" s="355"/>
      <c r="M308" s="356"/>
    </row>
    <row r="309" spans="1:13" ht="24.75" customHeight="1">
      <c r="A309" s="31"/>
      <c r="B309" s="507" t="str">
        <f>Products!B1557</f>
        <v>модель</v>
      </c>
      <c r="C309" s="156" t="str">
        <f>Products!C1557</f>
        <v>покриття:</v>
      </c>
      <c r="D309" s="129" t="str">
        <f>Products!D1557</f>
        <v>Verto-CELL</v>
      </c>
      <c r="E309" s="167" t="str">
        <f>Products!F1557</f>
        <v>UNI-MAT</v>
      </c>
      <c r="F309" s="130" t="str">
        <f>Products!H1557</f>
        <v>RESIST</v>
      </c>
      <c r="G309" s="130" t="str">
        <f>Products!J1557</f>
        <v>Verto LINE-3D</v>
      </c>
      <c r="H309" s="130" t="str">
        <f>Products!L1557</f>
        <v>ЕКО Шпон</v>
      </c>
      <c r="I309" s="216"/>
      <c r="J309" s="216"/>
      <c r="K309" s="357"/>
      <c r="L309" s="341" t="str">
        <f>Products!B1567</f>
        <v>полотно розміром 100</v>
      </c>
      <c r="M309" s="358">
        <f>Products!E1567</f>
        <v>720</v>
      </c>
    </row>
    <row r="310" spans="1:13" ht="26.25" customHeight="1">
      <c r="A310" s="31"/>
      <c r="B310" s="497"/>
      <c r="C310" s="157" t="str">
        <f>Products!C1558</f>
        <v>заповнення:</v>
      </c>
      <c r="D310" s="139" t="str">
        <f>Products!D1558</f>
        <v>клеєний сосновий брус</v>
      </c>
      <c r="E310" s="168" t="str">
        <f>Products!F1558</f>
        <v>клеєний сосновий брус</v>
      </c>
      <c r="F310" s="140" t="str">
        <f>Products!H1558</f>
        <v>клеєний сосновий брус</v>
      </c>
      <c r="G310" s="140" t="str">
        <f>Products!J1558</f>
        <v>клеєний сосновий брус</v>
      </c>
      <c r="H310" s="140" t="str">
        <f>Products!L1558</f>
        <v>клеєний сосновий брус</v>
      </c>
      <c r="I310" s="216"/>
      <c r="J310" s="216"/>
      <c r="K310" s="348"/>
      <c r="L310" s="342" t="str">
        <f>Products!B1568</f>
        <v>вентиляційні віддушини (1ряд)</v>
      </c>
      <c r="M310" s="349">
        <f>Products!E1568</f>
        <v>250</v>
      </c>
    </row>
    <row r="311" spans="1:13" ht="12.75" customHeight="1">
      <c r="A311" s="31"/>
      <c r="B311" s="498"/>
      <c r="C311" s="158" t="str">
        <f>Products!C1559</f>
        <v>скління:</v>
      </c>
      <c r="D311" s="137" t="str">
        <f>Products!D1559</f>
        <v>Сатин</v>
      </c>
      <c r="E311" s="161" t="str">
        <f>Products!F1559</f>
        <v>Сатин</v>
      </c>
      <c r="F311" s="126" t="str">
        <f>Products!H1559</f>
        <v>Сатин</v>
      </c>
      <c r="G311" s="126" t="str">
        <f>Products!J1559</f>
        <v>Сатин</v>
      </c>
      <c r="H311" s="126" t="str">
        <f>Products!L1559</f>
        <v>Сатин</v>
      </c>
      <c r="I311" s="216"/>
      <c r="J311" s="216"/>
      <c r="K311" s="348"/>
      <c r="L311" s="342" t="str">
        <f>Products!B1569</f>
        <v>вентиляційний підріз</v>
      </c>
      <c r="M311" s="349">
        <f>Products!E1569</f>
        <v>170.00000000000003</v>
      </c>
    </row>
    <row r="312" spans="1:13">
      <c r="A312" s="31"/>
      <c r="B312" s="13" t="str">
        <f>Products!B1560</f>
        <v>3.0 - 3.6</v>
      </c>
      <c r="C312" s="163"/>
      <c r="D312" s="191">
        <f>Products!E1560</f>
        <v>6440</v>
      </c>
      <c r="E312" s="183">
        <f>Products!G1560</f>
        <v>7150.0000000000009</v>
      </c>
      <c r="F312" s="183">
        <f>Products!I1560</f>
        <v>7500</v>
      </c>
      <c r="G312" s="183">
        <f>Products!K1560</f>
        <v>8110</v>
      </c>
      <c r="H312" s="183">
        <f>Products!M1560</f>
        <v>8540</v>
      </c>
      <c r="J312" s="353"/>
      <c r="K312" s="348"/>
      <c r="L312" s="342" t="str">
        <f>Products!B1570</f>
        <v>скло Графіт / Бронза</v>
      </c>
      <c r="M312" s="349">
        <f>Products!E1570</f>
        <v>550</v>
      </c>
    </row>
    <row r="313" spans="1:13">
      <c r="A313" s="31"/>
      <c r="B313" s="114" t="str">
        <f>Products!B1561</f>
        <v>3А.3</v>
      </c>
      <c r="C313" s="173"/>
      <c r="D313" s="291">
        <f>Products!E1561</f>
        <v>5980.0000000000009</v>
      </c>
      <c r="E313" s="292">
        <f>Products!G1561</f>
        <v>6640.0000000000009</v>
      </c>
      <c r="F313" s="292">
        <f>Products!I1561</f>
        <v>6900</v>
      </c>
      <c r="G313" s="292">
        <f>Products!K1561</f>
        <v>7470</v>
      </c>
      <c r="H313" s="292">
        <f>Products!M1561</f>
        <v>7830</v>
      </c>
      <c r="J313" s="353"/>
      <c r="K313" s="348"/>
      <c r="L313" s="342" t="str">
        <f>Products!B1571</f>
        <v>замок Soft</v>
      </c>
      <c r="M313" s="349">
        <f>Products!E1571</f>
        <v>550</v>
      </c>
    </row>
    <row r="314" spans="1:13">
      <c r="A314" s="31"/>
      <c r="B314" s="114" t="str">
        <f>Products!B1562</f>
        <v>3А.5</v>
      </c>
      <c r="C314" s="173"/>
      <c r="D314" s="291">
        <f>Products!E1562</f>
        <v>5580</v>
      </c>
      <c r="E314" s="292">
        <f>Products!G1562</f>
        <v>6190.0000000000009</v>
      </c>
      <c r="F314" s="292">
        <f>Products!I1562</f>
        <v>6340.0000000000009</v>
      </c>
      <c r="G314" s="292">
        <f>Products!K1562</f>
        <v>6890</v>
      </c>
      <c r="H314" s="292">
        <f>Products!M1562</f>
        <v>7230</v>
      </c>
      <c r="J314" s="353"/>
      <c r="K314" s="348"/>
      <c r="L314" s="342" t="str">
        <f>Products!B1572</f>
        <v>замок Soft чорн.</v>
      </c>
      <c r="M314" s="349">
        <f>Products!E1572</f>
        <v>680.00000000000011</v>
      </c>
    </row>
    <row r="315" spans="1:13">
      <c r="A315" s="31"/>
      <c r="B315" s="23" t="str">
        <f>Products!B1563</f>
        <v>4.3.</v>
      </c>
      <c r="C315" s="165"/>
      <c r="D315" s="193">
        <f>Products!E1563</f>
        <v>5980.0000000000009</v>
      </c>
      <c r="E315" s="187">
        <f>Products!G1563</f>
        <v>6640.0000000000009</v>
      </c>
      <c r="F315" s="187">
        <f>Products!I1563</f>
        <v>6900</v>
      </c>
      <c r="G315" s="187">
        <f>Products!K1563</f>
        <v>7470</v>
      </c>
      <c r="H315" s="187">
        <f>Products!M1563</f>
        <v>7830</v>
      </c>
      <c r="J315" s="353"/>
      <c r="K315" s="348"/>
      <c r="L315" s="342" t="str">
        <f>Products!B1573</f>
        <v>замок Magnet</v>
      </c>
      <c r="M315" s="349">
        <f>Products!E1573</f>
        <v>800.00000000000011</v>
      </c>
    </row>
    <row r="316" spans="1:13">
      <c r="A316" s="31"/>
      <c r="J316" s="353"/>
      <c r="K316" s="348"/>
      <c r="L316" s="342" t="str">
        <f>Products!B1574</f>
        <v>замок Magnet чорн.</v>
      </c>
      <c r="M316" s="349">
        <f>Products!E1574</f>
        <v>1000</v>
      </c>
    </row>
    <row r="317" spans="1:13">
      <c r="A317" s="31"/>
      <c r="B317" s="175"/>
      <c r="C317" s="176"/>
      <c r="D317" s="199"/>
      <c r="E317" s="199"/>
      <c r="F317" s="199"/>
      <c r="G317" s="199"/>
      <c r="J317" s="353"/>
      <c r="K317" s="348"/>
      <c r="L317" s="342" t="str">
        <f>Products!B1575</f>
        <v>ручка-замок (для дверей купе)</v>
      </c>
      <c r="M317" s="349">
        <f>Products!E1575</f>
        <v>560</v>
      </c>
    </row>
    <row r="318" spans="1:13" ht="13.5" customHeight="1">
      <c r="A318" s="31"/>
      <c r="J318" s="353"/>
      <c r="K318" s="348"/>
      <c r="L318" s="342" t="str">
        <f>Products!B1576</f>
        <v>циліндр несиметричний</v>
      </c>
      <c r="M318" s="349">
        <f>Products!E1576</f>
        <v>380</v>
      </c>
    </row>
    <row r="319" spans="1:13" ht="13.5" customHeight="1">
      <c r="A319" s="31"/>
      <c r="J319" s="353"/>
      <c r="K319" s="348"/>
      <c r="L319" s="342" t="str">
        <f>Products!B1577</f>
        <v>завіса Prestige (1 шт)</v>
      </c>
      <c r="M319" s="349">
        <f>Products!E1577</f>
        <v>260</v>
      </c>
    </row>
    <row r="320" spans="1:13" ht="13.5">
      <c r="B320" s="225"/>
      <c r="C320" s="34"/>
      <c r="D320" s="34"/>
      <c r="E320" s="34"/>
      <c r="F320" s="31"/>
      <c r="J320" s="353"/>
      <c r="K320" s="348"/>
      <c r="L320" s="342" t="str">
        <f>Products!B1578</f>
        <v>накладка на завіси (1 к-т)</v>
      </c>
      <c r="M320" s="349">
        <f>Products!E1578</f>
        <v>80</v>
      </c>
    </row>
    <row r="321" spans="1:13" ht="21">
      <c r="B321" s="225"/>
      <c r="C321" s="34"/>
      <c r="D321" s="34"/>
      <c r="E321" s="34"/>
      <c r="F321" s="31"/>
      <c r="J321" s="353"/>
      <c r="K321" s="348"/>
      <c r="L321" s="342" t="str">
        <f>Products!B1579</f>
        <v>дверна ручка</v>
      </c>
      <c r="M321" s="349" t="str">
        <f>Products!E1579</f>
        <v>див. Таблицю Ручки</v>
      </c>
    </row>
    <row r="322" spans="1:13" s="31" customFormat="1" ht="12.75" customHeight="1">
      <c r="B322" s="499" t="str">
        <f>TITLE!$C$30</f>
        <v>Полотна скляні: ЛІНЕЯ</v>
      </c>
      <c r="C322" s="500"/>
      <c r="D322" s="500"/>
      <c r="E322" s="500"/>
      <c r="F322" s="170"/>
      <c r="G322" s="170"/>
      <c r="H322" s="170"/>
      <c r="I322" s="170"/>
      <c r="J322" s="343"/>
      <c r="K322" s="343"/>
      <c r="L322" s="355"/>
      <c r="M322" s="356"/>
    </row>
    <row r="323" spans="1:13" ht="12.75" customHeight="1">
      <c r="A323" s="31"/>
      <c r="B323" s="497" t="str">
        <f>Products!B1632</f>
        <v>модель</v>
      </c>
      <c r="C323" s="156" t="str">
        <f>Products!C1632</f>
        <v>покриття:</v>
      </c>
      <c r="D323" s="458" t="str">
        <f>Products!D1632</f>
        <v>VERTO-CELL</v>
      </c>
      <c r="E323" s="473"/>
      <c r="F323" s="459"/>
      <c r="G323" s="46"/>
      <c r="H323" s="216"/>
      <c r="I323" s="216"/>
      <c r="J323" s="216"/>
      <c r="K323" s="357"/>
      <c r="L323" s="341" t="str">
        <f>Products!B1641</f>
        <v>полотно розміром 100</v>
      </c>
      <c r="M323" s="358">
        <f>Products!E1641</f>
        <v>680.00000000000011</v>
      </c>
    </row>
    <row r="324" spans="1:13">
      <c r="A324" s="31"/>
      <c r="B324" s="497"/>
      <c r="C324" s="157" t="str">
        <f>Products!C1633</f>
        <v>заповнення:</v>
      </c>
      <c r="D324" s="460" t="str">
        <f>Products!D1633</f>
        <v>сотове заповнення</v>
      </c>
      <c r="E324" s="495"/>
      <c r="F324" s="461"/>
      <c r="G324" s="47"/>
      <c r="H324" s="216"/>
      <c r="I324" s="216"/>
      <c r="J324" s="216"/>
      <c r="K324" s="348"/>
      <c r="L324" s="342" t="str">
        <f>Products!B1642</f>
        <v>скло Графіт / Бронза</v>
      </c>
      <c r="M324" s="363" t="str">
        <f>Products!E1642</f>
        <v>див. Таблицю Ціни</v>
      </c>
    </row>
    <row r="325" spans="1:13" ht="12.75" customHeight="1">
      <c r="A325" s="31"/>
      <c r="B325" s="498"/>
      <c r="C325" s="158" t="str">
        <f>Products!C1634</f>
        <v>скління:</v>
      </c>
      <c r="D325" s="255" t="str">
        <f>Products!D1634</f>
        <v>Сатин</v>
      </c>
      <c r="E325" s="262" t="str">
        <f>Products!F1634</f>
        <v>Графіт / Бронза</v>
      </c>
      <c r="F325" s="263" t="str">
        <f>Products!H1634</f>
        <v>Триплекс мат/чорн</v>
      </c>
      <c r="G325" s="159"/>
      <c r="H325" s="216"/>
      <c r="I325" s="216"/>
      <c r="J325" s="216"/>
      <c r="K325" s="348"/>
      <c r="L325" s="342" t="str">
        <f>Products!B1643</f>
        <v>скло Триплекс матовий / чорний</v>
      </c>
      <c r="M325" s="363" t="str">
        <f>Products!E1643</f>
        <v>див. Таблицю Ціни</v>
      </c>
    </row>
    <row r="326" spans="1:13">
      <c r="A326" s="31"/>
      <c r="B326" s="13">
        <f>Products!B1635</f>
        <v>1</v>
      </c>
      <c r="C326" s="163"/>
      <c r="D326" s="256">
        <f>Products!E1635</f>
        <v>4840</v>
      </c>
      <c r="E326" s="264">
        <f>Products!G1635</f>
        <v>5570</v>
      </c>
      <c r="F326" s="257">
        <f>Products!I1635</f>
        <v>5960</v>
      </c>
      <c r="G326" s="199"/>
      <c r="H326" s="224"/>
      <c r="I326" s="224"/>
      <c r="J326" s="224"/>
      <c r="K326" s="348"/>
      <c r="L326" s="342" t="str">
        <f>Products!B1644</f>
        <v>замок Soft</v>
      </c>
      <c r="M326" s="363">
        <f>Products!E1644</f>
        <v>550</v>
      </c>
    </row>
    <row r="327" spans="1:13">
      <c r="A327" s="31"/>
      <c r="B327" s="16">
        <f>Products!B1636</f>
        <v>3</v>
      </c>
      <c r="C327" s="164"/>
      <c r="D327" s="258">
        <f>Products!E1636</f>
        <v>6840</v>
      </c>
      <c r="E327" s="265">
        <f>Products!G1636</f>
        <v>7800</v>
      </c>
      <c r="F327" s="259">
        <f>Products!I1636</f>
        <v>8190</v>
      </c>
      <c r="G327" s="199"/>
      <c r="H327" s="224"/>
      <c r="I327" s="224"/>
      <c r="J327" s="224"/>
      <c r="K327" s="348"/>
      <c r="L327" s="342" t="str">
        <f>Products!B1645</f>
        <v>замок Soft чорн.</v>
      </c>
      <c r="M327" s="363">
        <f>Products!E1645</f>
        <v>680.00000000000011</v>
      </c>
    </row>
    <row r="328" spans="1:13">
      <c r="A328" s="31"/>
      <c r="B328" s="23">
        <f>Products!B1637</f>
        <v>4</v>
      </c>
      <c r="C328" s="165"/>
      <c r="D328" s="260">
        <f>Products!E1637</f>
        <v>7220</v>
      </c>
      <c r="E328" s="266">
        <f>Products!G1637</f>
        <v>8320</v>
      </c>
      <c r="F328" s="261">
        <f>Products!I1637</f>
        <v>8900</v>
      </c>
      <c r="G328" s="199"/>
      <c r="H328" s="224"/>
      <c r="I328" s="224"/>
      <c r="J328" s="224"/>
      <c r="K328" s="348"/>
      <c r="L328" s="342" t="str">
        <f>Products!B1646</f>
        <v>замок Magnet</v>
      </c>
      <c r="M328" s="363">
        <f>Products!E1646</f>
        <v>800.00000000000011</v>
      </c>
    </row>
    <row r="329" spans="1:13">
      <c r="A329" s="31"/>
      <c r="G329" s="199"/>
      <c r="H329" s="224"/>
      <c r="I329" s="224"/>
      <c r="J329" s="224"/>
      <c r="K329" s="348"/>
      <c r="L329" s="342" t="str">
        <f>Products!B1647</f>
        <v>замок Magnet чорн.</v>
      </c>
      <c r="M329" s="363">
        <f>Products!E1647</f>
        <v>1000</v>
      </c>
    </row>
    <row r="330" spans="1:13">
      <c r="A330" s="31"/>
      <c r="G330" s="199"/>
      <c r="H330" s="224"/>
      <c r="I330" s="224"/>
      <c r="J330" s="224"/>
      <c r="K330" s="348"/>
      <c r="L330" s="342" t="str">
        <f>Products!B1648</f>
        <v>циліндр несиметричний</v>
      </c>
      <c r="M330" s="363">
        <f>Products!E1648</f>
        <v>380</v>
      </c>
    </row>
    <row r="331" spans="1:13">
      <c r="C331" s="34"/>
      <c r="D331" s="34"/>
      <c r="E331" s="34"/>
      <c r="F331" s="31"/>
      <c r="G331" s="31"/>
      <c r="J331" s="353"/>
      <c r="K331" s="348"/>
      <c r="L331" s="342" t="str">
        <f>Products!B1649</f>
        <v>завіса Prestige (1 шт)</v>
      </c>
      <c r="M331" s="363">
        <f>Products!E1649</f>
        <v>260</v>
      </c>
    </row>
    <row r="332" spans="1:13">
      <c r="C332" s="34"/>
      <c r="D332" s="34"/>
      <c r="E332" s="34"/>
      <c r="F332" s="31"/>
      <c r="G332" s="31"/>
      <c r="J332" s="353"/>
      <c r="K332" s="348"/>
      <c r="L332" s="342" t="str">
        <f>Products!B1650</f>
        <v>накладка на завіси (1 к-т)</v>
      </c>
      <c r="M332" s="363">
        <f>Products!E1650</f>
        <v>80</v>
      </c>
    </row>
    <row r="333" spans="1:13">
      <c r="C333" s="34"/>
      <c r="D333" s="34"/>
      <c r="E333" s="34"/>
      <c r="F333" s="31"/>
      <c r="G333" s="31"/>
      <c r="J333" s="353"/>
      <c r="K333" s="348"/>
      <c r="L333" s="342" t="str">
        <f>Products!B1651</f>
        <v>дверна ручка</v>
      </c>
      <c r="M333" s="363" t="str">
        <f>Products!E1651</f>
        <v>див. Таблицю Ручки</v>
      </c>
    </row>
    <row r="334" spans="1:13">
      <c r="C334" s="34"/>
      <c r="D334" s="34"/>
      <c r="E334" s="34"/>
      <c r="F334" s="31"/>
      <c r="G334" s="31"/>
      <c r="J334" s="353"/>
      <c r="K334" s="348"/>
      <c r="L334" s="342" t="str">
        <f>Products!B1652</f>
        <v>ДСП трубчасте</v>
      </c>
      <c r="M334" s="363">
        <f>Products!E1652</f>
        <v>930</v>
      </c>
    </row>
    <row r="335" spans="1:13" s="31" customFormat="1" ht="12.75" customHeight="1">
      <c r="B335" s="499" t="str">
        <f>TITLE!$C$31</f>
        <v>Полотна скляні: ЛАЙН</v>
      </c>
      <c r="C335" s="500"/>
      <c r="D335" s="500"/>
      <c r="E335" s="500"/>
      <c r="F335" s="170"/>
      <c r="G335" s="170"/>
      <c r="H335" s="170"/>
      <c r="I335" s="170"/>
      <c r="J335" s="343"/>
      <c r="K335" s="343"/>
      <c r="L335" s="355"/>
      <c r="M335" s="356"/>
    </row>
    <row r="336" spans="1:13">
      <c r="A336" s="31"/>
      <c r="B336" s="497" t="str">
        <f>Products!B1705</f>
        <v>модель</v>
      </c>
      <c r="C336" s="156" t="str">
        <f>Products!C1705</f>
        <v>покриття:</v>
      </c>
      <c r="D336" s="128" t="str">
        <f>Products!D1705</f>
        <v>VERTO-CELL</v>
      </c>
      <c r="E336" s="167" t="str">
        <f>Products!F1705</f>
        <v>RESIST</v>
      </c>
      <c r="F336" s="167" t="str">
        <f>Products!H1705</f>
        <v>Verto LINE-3D</v>
      </c>
      <c r="G336" s="167" t="str">
        <f>Products!J1705</f>
        <v>ЕКО Шпон</v>
      </c>
      <c r="H336" s="216"/>
      <c r="I336" s="216"/>
      <c r="J336" s="216"/>
      <c r="K336" s="345"/>
      <c r="L336" s="342" t="str">
        <f>CONCATENATE(Products!B1718," ",Products!C1718)</f>
        <v xml:space="preserve">полотно розміром 100 </v>
      </c>
      <c r="M336" s="358">
        <f>Products!E1718</f>
        <v>680.00000000000011</v>
      </c>
    </row>
    <row r="337" spans="1:13">
      <c r="A337" s="31"/>
      <c r="B337" s="497"/>
      <c r="C337" s="157" t="str">
        <f>Products!C1706</f>
        <v>заповнення:</v>
      </c>
      <c r="D337" s="139" t="str">
        <f>Products!D1706</f>
        <v>сотове заповнення</v>
      </c>
      <c r="E337" s="168" t="str">
        <f>Products!F1706</f>
        <v>сотове заповнення</v>
      </c>
      <c r="F337" s="168" t="str">
        <f>Products!H1706</f>
        <v>сотове заповнення</v>
      </c>
      <c r="G337" s="168" t="str">
        <f>Products!J1706</f>
        <v>сотове заповнення</v>
      </c>
      <c r="H337" s="216"/>
      <c r="I337" s="216"/>
      <c r="J337" s="216"/>
      <c r="K337" s="345"/>
      <c r="L337" s="342" t="str">
        <f>CONCATENATE(Products!B1719," ",Products!C1719)</f>
        <v xml:space="preserve">скло Триплекс матовий / чорний </v>
      </c>
      <c r="M337" s="349">
        <f>Products!E1719</f>
        <v>1060</v>
      </c>
    </row>
    <row r="338" spans="1:13" ht="12.75" customHeight="1">
      <c r="A338" s="31"/>
      <c r="B338" s="498"/>
      <c r="C338" s="158" t="str">
        <f>Products!C1707</f>
        <v>скління:</v>
      </c>
      <c r="D338" s="137" t="str">
        <f>Products!D1707</f>
        <v>Малюнок / Сатин (1)</v>
      </c>
      <c r="E338" s="174" t="str">
        <f>Products!F1707</f>
        <v>Малюнок / Сатин (1)</v>
      </c>
      <c r="F338" s="174" t="str">
        <f>Products!H1707</f>
        <v>Малюнок / Сатин (1)</v>
      </c>
      <c r="G338" s="174" t="str">
        <f>Products!J1707</f>
        <v>Малюнок / Сатин (1)</v>
      </c>
      <c r="H338" s="216"/>
      <c r="I338" s="216"/>
      <c r="J338" s="216"/>
      <c r="K338" s="345"/>
      <c r="L338" s="342" t="str">
        <f>CONCATENATE(Products!B1720," ",Products!C1720)</f>
        <v xml:space="preserve">скло Графіт / Бронза </v>
      </c>
      <c r="M338" s="349">
        <f>Products!E1720</f>
        <v>780</v>
      </c>
    </row>
    <row r="339" spans="1:13">
      <c r="A339" s="31"/>
      <c r="B339" s="13">
        <f>Products!B1708</f>
        <v>1</v>
      </c>
      <c r="C339" s="163"/>
      <c r="D339" s="191">
        <f>Products!E1708</f>
        <v>7240.0000000000009</v>
      </c>
      <c r="E339" s="183">
        <f>Products!G1708</f>
        <v>7820</v>
      </c>
      <c r="F339" s="183">
        <f>Products!I1708</f>
        <v>8160</v>
      </c>
      <c r="G339" s="183">
        <f>Products!K1708</f>
        <v>8570</v>
      </c>
      <c r="H339" s="224"/>
      <c r="I339" s="224"/>
      <c r="J339" s="224"/>
      <c r="K339" s="345"/>
      <c r="L339" s="342" t="str">
        <f>CONCATENATE(Products!B1721," ",Products!C1721)</f>
        <v xml:space="preserve">замок Soft </v>
      </c>
      <c r="M339" s="349">
        <f>Products!E1721</f>
        <v>550</v>
      </c>
    </row>
    <row r="340" spans="1:13">
      <c r="A340" s="31"/>
      <c r="B340" s="16">
        <f>Products!B1709</f>
        <v>2</v>
      </c>
      <c r="C340" s="164"/>
      <c r="D340" s="192">
        <f>Products!E1709</f>
        <v>8040</v>
      </c>
      <c r="E340" s="185">
        <f>Products!G1709</f>
        <v>8590</v>
      </c>
      <c r="F340" s="185">
        <f>Products!I1709</f>
        <v>8970</v>
      </c>
      <c r="G340" s="185">
        <f>Products!K1709</f>
        <v>9400</v>
      </c>
      <c r="H340" s="228"/>
      <c r="I340" s="228"/>
      <c r="J340" s="228"/>
      <c r="K340" s="345"/>
      <c r="L340" s="342" t="str">
        <f>CONCATENATE(Products!B1722," ",Products!C1722)</f>
        <v xml:space="preserve">замок Soft чорн. </v>
      </c>
      <c r="M340" s="349">
        <f>Products!E1722</f>
        <v>680.00000000000011</v>
      </c>
    </row>
    <row r="341" spans="1:13">
      <c r="A341" s="31"/>
      <c r="B341" s="16">
        <f>Products!B1710</f>
        <v>3</v>
      </c>
      <c r="C341" s="164"/>
      <c r="D341" s="192">
        <f>Products!E1710</f>
        <v>8040</v>
      </c>
      <c r="E341" s="185">
        <f>Products!G1710</f>
        <v>8590</v>
      </c>
      <c r="F341" s="185">
        <f>Products!I1710</f>
        <v>8970</v>
      </c>
      <c r="G341" s="185">
        <f>Products!K1710</f>
        <v>9400</v>
      </c>
      <c r="H341" s="224"/>
      <c r="I341" s="224"/>
      <c r="J341" s="224"/>
      <c r="K341" s="345"/>
      <c r="L341" s="342" t="str">
        <f>CONCATENATE(Products!B1723," ",Products!C1723)</f>
        <v xml:space="preserve">замок Magnet </v>
      </c>
      <c r="M341" s="349">
        <f>Products!E1723</f>
        <v>800.00000000000011</v>
      </c>
    </row>
    <row r="342" spans="1:13">
      <c r="A342" s="31"/>
      <c r="B342" s="16">
        <f>Products!B1711</f>
        <v>4</v>
      </c>
      <c r="C342" s="164"/>
      <c r="D342" s="192">
        <f>Products!E1711</f>
        <v>8040</v>
      </c>
      <c r="E342" s="185">
        <f>Products!G1711</f>
        <v>8590</v>
      </c>
      <c r="F342" s="185">
        <f>Products!I1711</f>
        <v>8970</v>
      </c>
      <c r="G342" s="185">
        <f>Products!K1711</f>
        <v>9400</v>
      </c>
      <c r="H342" s="224"/>
      <c r="I342" s="224"/>
      <c r="J342" s="224"/>
      <c r="K342" s="345"/>
      <c r="L342" s="342" t="str">
        <f>CONCATENATE(Products!B1724," ",Products!C1724)</f>
        <v xml:space="preserve">замок Magnet чорн. </v>
      </c>
      <c r="M342" s="349">
        <f>Products!E1724</f>
        <v>1000</v>
      </c>
    </row>
    <row r="343" spans="1:13">
      <c r="A343" s="31"/>
      <c r="B343" s="16">
        <f>Products!B1712</f>
        <v>5</v>
      </c>
      <c r="C343" s="164"/>
      <c r="D343" s="192">
        <f>Products!E1712</f>
        <v>8040</v>
      </c>
      <c r="E343" s="185">
        <f>Products!G1712</f>
        <v>8590</v>
      </c>
      <c r="F343" s="185">
        <f>Products!I1712</f>
        <v>8970</v>
      </c>
      <c r="G343" s="185">
        <f>Products!K1712</f>
        <v>9400</v>
      </c>
      <c r="H343" s="224"/>
      <c r="I343" s="224"/>
      <c r="J343" s="224"/>
      <c r="K343" s="345"/>
      <c r="L343" s="342" t="str">
        <f>CONCATENATE(Products!B1725," ",Products!C1725)</f>
        <v xml:space="preserve">циліндр несиметричний </v>
      </c>
      <c r="M343" s="349">
        <f>Products!E1725</f>
        <v>380</v>
      </c>
    </row>
    <row r="344" spans="1:13">
      <c r="A344" s="31"/>
      <c r="B344" s="16">
        <f>Products!B1713</f>
        <v>6</v>
      </c>
      <c r="C344" s="164"/>
      <c r="D344" s="192">
        <f>Products!E1713</f>
        <v>8040</v>
      </c>
      <c r="E344" s="185">
        <f>Products!G1713</f>
        <v>8590</v>
      </c>
      <c r="F344" s="185">
        <f>Products!I1713</f>
        <v>8970</v>
      </c>
      <c r="G344" s="185">
        <f>Products!K1713</f>
        <v>9400</v>
      </c>
      <c r="H344" s="224"/>
      <c r="I344" s="224"/>
      <c r="J344" s="224"/>
      <c r="K344" s="345"/>
      <c r="L344" s="342" t="str">
        <f>CONCATENATE(Products!B1726," ",Products!C1726)</f>
        <v xml:space="preserve">завіса Prestige (1 шт) </v>
      </c>
      <c r="M344" s="349">
        <f>Products!E1726</f>
        <v>260</v>
      </c>
    </row>
    <row r="345" spans="1:13">
      <c r="A345" s="31"/>
      <c r="B345" s="23">
        <f>Products!B1714</f>
        <v>7</v>
      </c>
      <c r="C345" s="165"/>
      <c r="D345" s="193">
        <f>Products!E1714</f>
        <v>8040</v>
      </c>
      <c r="E345" s="187">
        <f>Products!G1714</f>
        <v>8590</v>
      </c>
      <c r="F345" s="187">
        <f>Products!I1714</f>
        <v>8970</v>
      </c>
      <c r="G345" s="187">
        <f>Products!K1714</f>
        <v>9400</v>
      </c>
      <c r="H345" s="224"/>
      <c r="I345" s="224"/>
      <c r="J345" s="224"/>
      <c r="K345" s="345"/>
      <c r="L345" s="342" t="str">
        <f>CONCATENATE(Products!B1727," ",Products!C1727)</f>
        <v xml:space="preserve">накладка на завіси (1 к-т) </v>
      </c>
      <c r="M345" s="349">
        <f>Products!E1727</f>
        <v>80</v>
      </c>
    </row>
    <row r="346" spans="1:13" ht="21">
      <c r="A346" s="31"/>
      <c r="B346" s="175"/>
      <c r="C346" s="176"/>
      <c r="D346" s="199"/>
      <c r="E346" s="199"/>
      <c r="F346" s="199"/>
      <c r="G346" s="31"/>
      <c r="H346" s="224"/>
      <c r="I346" s="224"/>
      <c r="J346" s="224"/>
      <c r="K346" s="345"/>
      <c r="L346" s="342" t="str">
        <f>CONCATENATE(Products!B1728," ",Products!C1728)</f>
        <v xml:space="preserve">дверна ручка </v>
      </c>
      <c r="M346" s="349" t="str">
        <f>Products!E1728</f>
        <v>див. Таблицю Ручки</v>
      </c>
    </row>
    <row r="347" spans="1:13">
      <c r="A347" s="31"/>
      <c r="B347" s="175"/>
      <c r="C347" s="176"/>
      <c r="D347" s="199"/>
      <c r="E347" s="199"/>
      <c r="F347" s="199"/>
      <c r="G347" s="31"/>
      <c r="H347" s="224"/>
      <c r="I347" s="224"/>
      <c r="J347" s="224"/>
      <c r="K347" s="345"/>
      <c r="L347" s="342" t="str">
        <f>CONCATENATE(Products!B1729," ",Products!C1729)</f>
        <v xml:space="preserve">ДСП трубчасте </v>
      </c>
      <c r="M347" s="349">
        <f>Products!E1729</f>
        <v>930</v>
      </c>
    </row>
    <row r="348" spans="1:13" s="31" customFormat="1" ht="12.75" customHeight="1">
      <c r="B348" s="499" t="str">
        <f>TITLE!$C$32</f>
        <v>Полотна скляні: ЕЛЕГАНТ</v>
      </c>
      <c r="C348" s="500"/>
      <c r="D348" s="500"/>
      <c r="E348" s="500"/>
      <c r="F348" s="170"/>
      <c r="G348" s="170"/>
      <c r="H348" s="170"/>
      <c r="I348" s="170"/>
      <c r="J348" s="343"/>
      <c r="K348" s="343"/>
      <c r="L348" s="355"/>
      <c r="M348" s="356"/>
    </row>
    <row r="349" spans="1:13" ht="12.75" customHeight="1">
      <c r="A349" s="31"/>
      <c r="B349" s="497" t="str">
        <f>Products!B1782</f>
        <v>модель</v>
      </c>
      <c r="C349" s="156" t="str">
        <f>Products!C1782</f>
        <v>покриття:</v>
      </c>
      <c r="D349" s="130" t="str">
        <f>Products!D1782</f>
        <v>VERTO-CELL</v>
      </c>
      <c r="E349" s="130" t="str">
        <f>Products!F1782</f>
        <v>RESIST</v>
      </c>
      <c r="F349" s="130" t="str">
        <f>Products!H1782</f>
        <v>Verto LINE-3D</v>
      </c>
      <c r="G349" s="130" t="str">
        <f>Products!J1782</f>
        <v>ЕКО Шпон</v>
      </c>
      <c r="H349" s="216"/>
      <c r="I349" s="216"/>
      <c r="J349" s="216"/>
      <c r="K349" s="357"/>
      <c r="L349" s="341" t="str">
        <f>CONCATENATE(Products!B1795," ",Products!C1795)</f>
        <v xml:space="preserve">скло Триплекс матовий / чорний </v>
      </c>
      <c r="M349" s="358">
        <f>Products!E1795</f>
        <v>1350</v>
      </c>
    </row>
    <row r="350" spans="1:13" ht="24.75" customHeight="1">
      <c r="A350" s="31"/>
      <c r="B350" s="497"/>
      <c r="C350" s="157" t="str">
        <f>Products!C1783</f>
        <v>заповнення:</v>
      </c>
      <c r="D350" s="140" t="str">
        <f>Products!D1783</f>
        <v>клеєний сосновий брус</v>
      </c>
      <c r="E350" s="140" t="str">
        <f>Products!F1783</f>
        <v>клеєний сосновий брус</v>
      </c>
      <c r="F350" s="140" t="str">
        <f>Products!H1783</f>
        <v>клеєний сосновий брус</v>
      </c>
      <c r="G350" s="140" t="str">
        <f>Products!J1783</f>
        <v>клеєний сосновий брус</v>
      </c>
      <c r="H350" s="216"/>
      <c r="I350" s="216"/>
      <c r="J350" s="216"/>
      <c r="K350" s="348"/>
      <c r="L350" s="342" t="str">
        <f>CONCATENATE(Products!B1796," ",Products!C1796)</f>
        <v xml:space="preserve">скло Графіт / Бронза </v>
      </c>
      <c r="M350" s="349">
        <f>Products!E1796</f>
        <v>920.00000000000011</v>
      </c>
    </row>
    <row r="351" spans="1:13" ht="12.75" customHeight="1">
      <c r="A351" s="31"/>
      <c r="B351" s="498"/>
      <c r="C351" s="158" t="str">
        <f>Products!C1784</f>
        <v>скління:</v>
      </c>
      <c r="D351" s="126" t="str">
        <f>Products!D1784</f>
        <v>Малюнок / Сатин (1)</v>
      </c>
      <c r="E351" s="126" t="str">
        <f>Products!F1784</f>
        <v>Малюнок / Сатин (1)</v>
      </c>
      <c r="F351" s="126" t="str">
        <f>Products!H1784</f>
        <v>Малюнок / Сатин (1)</v>
      </c>
      <c r="G351" s="126" t="str">
        <f>Products!J1784</f>
        <v>Малюнок / Сатин (1)</v>
      </c>
      <c r="H351" s="216"/>
      <c r="I351" s="216"/>
      <c r="J351" s="216"/>
      <c r="K351" s="348"/>
      <c r="L351" s="342" t="str">
        <f>CONCATENATE(Products!B1797," ",Products!C1797)</f>
        <v xml:space="preserve">замок Soft </v>
      </c>
      <c r="M351" s="349">
        <f>Products!E1797</f>
        <v>560</v>
      </c>
    </row>
    <row r="352" spans="1:13">
      <c r="A352" s="31"/>
      <c r="B352" s="13">
        <f>Products!B1785</f>
        <v>1</v>
      </c>
      <c r="C352" s="163"/>
      <c r="D352" s="184">
        <f>Products!E1785</f>
        <v>7800</v>
      </c>
      <c r="E352" s="184">
        <f>Products!G1785</f>
        <v>8720</v>
      </c>
      <c r="F352" s="184">
        <f>Products!I1785</f>
        <v>9150</v>
      </c>
      <c r="G352" s="184">
        <f>Products!K1785</f>
        <v>9590</v>
      </c>
      <c r="H352" s="224"/>
      <c r="I352" s="224"/>
      <c r="J352" s="224"/>
      <c r="K352" s="348"/>
      <c r="L352" s="342" t="str">
        <f>CONCATENATE(Products!B1798," ",Products!C1798)</f>
        <v xml:space="preserve">замок Soft чорн. </v>
      </c>
      <c r="M352" s="349">
        <f>Products!E1798</f>
        <v>680.00000000000011</v>
      </c>
    </row>
    <row r="353" spans="1:13">
      <c r="A353" s="31"/>
      <c r="B353" s="16">
        <f>Products!B1786</f>
        <v>2</v>
      </c>
      <c r="C353" s="164"/>
      <c r="D353" s="186">
        <f>Products!E1786</f>
        <v>8560</v>
      </c>
      <c r="E353" s="186">
        <f>Products!G1786</f>
        <v>9590</v>
      </c>
      <c r="F353" s="186">
        <f>Products!I1786</f>
        <v>10000</v>
      </c>
      <c r="G353" s="186">
        <f>Products!K1786</f>
        <v>10440</v>
      </c>
      <c r="H353" s="228"/>
      <c r="I353" s="228"/>
      <c r="J353" s="228"/>
      <c r="K353" s="348"/>
      <c r="L353" s="342" t="str">
        <f>CONCATENATE(Products!B1799," ",Products!C1799)</f>
        <v xml:space="preserve">замок Magnet </v>
      </c>
      <c r="M353" s="349">
        <f>Products!E1799</f>
        <v>800.00000000000011</v>
      </c>
    </row>
    <row r="354" spans="1:13">
      <c r="A354" s="31"/>
      <c r="B354" s="16">
        <f>Products!B1787</f>
        <v>3</v>
      </c>
      <c r="C354" s="164"/>
      <c r="D354" s="186">
        <f>Products!E1787</f>
        <v>8560</v>
      </c>
      <c r="E354" s="186">
        <f>Products!G1787</f>
        <v>9590</v>
      </c>
      <c r="F354" s="186">
        <f>Products!I1787</f>
        <v>10000</v>
      </c>
      <c r="G354" s="186">
        <f>Products!K1787</f>
        <v>10440</v>
      </c>
      <c r="H354" s="224"/>
      <c r="I354" s="224"/>
      <c r="J354" s="224"/>
      <c r="K354" s="348"/>
      <c r="L354" s="342" t="str">
        <f>CONCATENATE(Products!B1800," ",Products!C1800)</f>
        <v xml:space="preserve">замок Magnet чорн. </v>
      </c>
      <c r="M354" s="349">
        <f>Products!E1800</f>
        <v>1000</v>
      </c>
    </row>
    <row r="355" spans="1:13">
      <c r="A355" s="31"/>
      <c r="B355" s="16">
        <f>Products!B1788</f>
        <v>4</v>
      </c>
      <c r="C355" s="164"/>
      <c r="D355" s="186">
        <f>Products!E1788</f>
        <v>8560</v>
      </c>
      <c r="E355" s="186">
        <f>Products!G1788</f>
        <v>9590</v>
      </c>
      <c r="F355" s="186">
        <f>Products!I1788</f>
        <v>10000</v>
      </c>
      <c r="G355" s="186">
        <f>Products!K1788</f>
        <v>10440</v>
      </c>
      <c r="H355" s="224"/>
      <c r="I355" s="224"/>
      <c r="J355" s="224"/>
      <c r="K355" s="348"/>
      <c r="L355" s="342" t="str">
        <f>CONCATENATE(Products!B1801," ",Products!C1801)</f>
        <v xml:space="preserve">циліндр несиметричний </v>
      </c>
      <c r="M355" s="349">
        <f>Products!E1801</f>
        <v>390</v>
      </c>
    </row>
    <row r="356" spans="1:13">
      <c r="A356" s="31"/>
      <c r="B356" s="16">
        <f>Products!B1789</f>
        <v>5</v>
      </c>
      <c r="C356" s="164"/>
      <c r="D356" s="186">
        <f>Products!E1789</f>
        <v>8560</v>
      </c>
      <c r="E356" s="186">
        <f>Products!G1789</f>
        <v>9590</v>
      </c>
      <c r="F356" s="186">
        <f>Products!I1789</f>
        <v>10000</v>
      </c>
      <c r="G356" s="186">
        <f>Products!K1789</f>
        <v>10440</v>
      </c>
      <c r="H356" s="224"/>
      <c r="I356" s="224"/>
      <c r="J356" s="224"/>
      <c r="K356" s="348"/>
      <c r="L356" s="342" t="str">
        <f>CONCATENATE(Products!B1802," ",Products!C1802)</f>
        <v xml:space="preserve">завіса Prestige (1 шт) </v>
      </c>
      <c r="M356" s="349">
        <f>Products!E1802</f>
        <v>260</v>
      </c>
    </row>
    <row r="357" spans="1:13">
      <c r="A357" s="31"/>
      <c r="B357" s="16">
        <f>Products!B1790</f>
        <v>6</v>
      </c>
      <c r="C357" s="164"/>
      <c r="D357" s="186">
        <f>Products!E1790</f>
        <v>8560</v>
      </c>
      <c r="E357" s="186">
        <f>Products!G1790</f>
        <v>9590</v>
      </c>
      <c r="F357" s="186">
        <f>Products!I1790</f>
        <v>10000</v>
      </c>
      <c r="G357" s="186">
        <f>Products!K1790</f>
        <v>10440</v>
      </c>
      <c r="H357" s="224"/>
      <c r="I357" s="224"/>
      <c r="J357" s="224"/>
      <c r="K357" s="348"/>
      <c r="L357" s="342" t="str">
        <f>CONCATENATE(Products!B1803," ",Products!C1803)</f>
        <v xml:space="preserve">накладка на завіси (1 к-т) </v>
      </c>
      <c r="M357" s="349">
        <f>Products!E1803</f>
        <v>80</v>
      </c>
    </row>
    <row r="358" spans="1:13" ht="21">
      <c r="A358" s="31"/>
      <c r="B358" s="23">
        <f>Products!B1791</f>
        <v>7</v>
      </c>
      <c r="C358" s="165"/>
      <c r="D358" s="188">
        <f>Products!E1791</f>
        <v>8560</v>
      </c>
      <c r="E358" s="188">
        <f>Products!G1791</f>
        <v>9590</v>
      </c>
      <c r="F358" s="188">
        <f>Products!I1791</f>
        <v>10000</v>
      </c>
      <c r="G358" s="188">
        <f>Products!K1791</f>
        <v>10440</v>
      </c>
      <c r="H358" s="224"/>
      <c r="I358" s="224"/>
      <c r="J358" s="224"/>
      <c r="K358" s="348"/>
      <c r="L358" s="342" t="str">
        <f>CONCATENATE(Products!B1804," ",Products!C1804)</f>
        <v xml:space="preserve">дверна ручка </v>
      </c>
      <c r="M358" s="349" t="str">
        <f>Products!E1804</f>
        <v>див. Таблицю Ручки</v>
      </c>
    </row>
    <row r="359" spans="1:13">
      <c r="C359" s="34"/>
      <c r="D359" s="34"/>
      <c r="E359" s="10"/>
      <c r="F359" s="31"/>
      <c r="G359" s="31"/>
      <c r="J359" s="353"/>
    </row>
    <row r="360" spans="1:13" s="31" customFormat="1" ht="12.75" customHeight="1">
      <c r="B360" s="499" t="str">
        <f>TITLE!$C$33</f>
        <v>Полотна скляні: ГЛАСФОРД</v>
      </c>
      <c r="C360" s="500"/>
      <c r="D360" s="500"/>
      <c r="E360" s="500"/>
      <c r="F360" s="170"/>
      <c r="G360" s="170"/>
      <c r="H360" s="170"/>
      <c r="I360" s="170"/>
      <c r="J360" s="343"/>
      <c r="K360" s="343"/>
      <c r="L360" s="355"/>
      <c r="M360" s="356"/>
    </row>
    <row r="361" spans="1:13">
      <c r="A361" s="31"/>
      <c r="B361" s="497" t="str">
        <f>Products!B1857</f>
        <v>модель</v>
      </c>
      <c r="C361" s="156" t="str">
        <f>Products!C1857</f>
        <v>покриття:</v>
      </c>
      <c r="D361" s="130" t="str">
        <f>Products!D1857</f>
        <v>СКЛО</v>
      </c>
      <c r="E361" s="10"/>
      <c r="F361" s="31"/>
      <c r="G361" s="31"/>
      <c r="H361" s="216"/>
      <c r="I361" s="216"/>
      <c r="J361" s="216"/>
      <c r="K361" s="345"/>
      <c r="L361" s="341" t="str">
        <f>CONCATENATE(Products!B1868," ",Products!C1868)</f>
        <v xml:space="preserve">полотно розміром 100 </v>
      </c>
      <c r="M361" s="358">
        <f>Products!E1868</f>
        <v>3300</v>
      </c>
    </row>
    <row r="362" spans="1:13">
      <c r="A362" s="31"/>
      <c r="B362" s="497"/>
      <c r="C362" s="157" t="str">
        <f>Products!C1858</f>
        <v>заповнення:</v>
      </c>
      <c r="D362" s="140" t="str">
        <f>Products!D1858</f>
        <v>гартоване скло</v>
      </c>
      <c r="E362" s="10"/>
      <c r="F362" s="31"/>
      <c r="G362" s="31"/>
      <c r="H362" s="216"/>
      <c r="I362" s="216"/>
      <c r="J362" s="216"/>
      <c r="K362" s="348"/>
      <c r="L362" s="342" t="str">
        <f>CONCATENATE(Products!B1869," ",Products!C1869)</f>
        <v xml:space="preserve">скло Триплекс матовий / чорний </v>
      </c>
      <c r="M362" s="349">
        <f>Products!E1869</f>
        <v>2070</v>
      </c>
    </row>
    <row r="363" spans="1:13" ht="12.75" customHeight="1">
      <c r="A363" s="31"/>
      <c r="B363" s="498"/>
      <c r="C363" s="158" t="str">
        <f>Products!C1859</f>
        <v>скління:</v>
      </c>
      <c r="D363" s="126" t="str">
        <f>Products!D1859</f>
        <v>Малюнок / Сатин (1)</v>
      </c>
      <c r="E363" s="10"/>
      <c r="F363" s="31"/>
      <c r="G363" s="31"/>
      <c r="H363" s="216"/>
      <c r="I363" s="216"/>
      <c r="J363" s="216"/>
      <c r="K363" s="348"/>
      <c r="L363" s="342" t="str">
        <f>CONCATENATE(Products!B1870," ",Products!C1870)</f>
        <v xml:space="preserve">скло Графіт / Бронза </v>
      </c>
      <c r="M363" s="349">
        <f>Products!E1870</f>
        <v>1650</v>
      </c>
    </row>
    <row r="364" spans="1:13">
      <c r="A364" s="31"/>
      <c r="B364" s="13">
        <f>Products!B1860</f>
        <v>1</v>
      </c>
      <c r="C364" s="163"/>
      <c r="D364" s="184">
        <f>Products!E1860</f>
        <v>16500</v>
      </c>
      <c r="E364" s="10"/>
      <c r="F364" s="230"/>
      <c r="G364" s="227"/>
      <c r="H364" s="224"/>
      <c r="I364" s="224"/>
      <c r="J364" s="224"/>
      <c r="K364" s="348"/>
      <c r="L364" s="342" t="str">
        <f>CONCATENATE(Products!B1871," ",Products!C1871)</f>
        <v xml:space="preserve">скло Дзеркало </v>
      </c>
      <c r="M364" s="349">
        <f>Products!E1871</f>
        <v>5400</v>
      </c>
    </row>
    <row r="365" spans="1:13">
      <c r="A365" s="31"/>
      <c r="B365" s="16">
        <f>Products!B1861</f>
        <v>2</v>
      </c>
      <c r="C365" s="164"/>
      <c r="D365" s="186">
        <f>Products!E1861</f>
        <v>17250</v>
      </c>
      <c r="E365" s="10"/>
      <c r="F365" s="230"/>
      <c r="G365" s="227"/>
      <c r="H365" s="228"/>
      <c r="I365" s="228"/>
      <c r="J365" s="228"/>
      <c r="K365" s="348"/>
      <c r="L365" s="342" t="str">
        <f>CONCATENATE(Products!B1872," ",Products!C1872)</f>
        <v xml:space="preserve">замок Glass під ключ / циліндр </v>
      </c>
      <c r="M365" s="349">
        <f>Products!E1872</f>
        <v>1240.0000000000002</v>
      </c>
    </row>
    <row r="366" spans="1:13">
      <c r="A366" s="31"/>
      <c r="B366" s="16">
        <f>Products!B1862</f>
        <v>3</v>
      </c>
      <c r="C366" s="164"/>
      <c r="D366" s="186">
        <f>Products!E1862</f>
        <v>17250</v>
      </c>
      <c r="E366" s="10"/>
      <c r="F366" s="230"/>
      <c r="G366" s="31"/>
      <c r="H366" s="224"/>
      <c r="I366" s="224"/>
      <c r="J366" s="224"/>
      <c r="K366" s="348"/>
      <c r="L366" s="342" t="str">
        <f>CONCATENATE(Products!B1873," ",Products!C1873)</f>
        <v xml:space="preserve">замок Glass сантехнічний </v>
      </c>
      <c r="M366" s="354">
        <f>Products!E1873</f>
        <v>2940</v>
      </c>
    </row>
    <row r="367" spans="1:13">
      <c r="A367" s="31"/>
      <c r="B367" s="16">
        <f>Products!B1863</f>
        <v>4</v>
      </c>
      <c r="C367" s="164"/>
      <c r="D367" s="186">
        <f>Products!E1863</f>
        <v>17250</v>
      </c>
      <c r="E367" s="10"/>
      <c r="F367" s="230"/>
      <c r="G367" s="31"/>
      <c r="H367" s="224"/>
      <c r="I367" s="224"/>
      <c r="J367" s="224"/>
      <c r="K367" s="216"/>
      <c r="L367" s="364"/>
      <c r="M367" s="365"/>
    </row>
    <row r="368" spans="1:13">
      <c r="A368" s="31"/>
      <c r="B368" s="23">
        <f>Products!B1864</f>
        <v>5</v>
      </c>
      <c r="C368" s="165"/>
      <c r="D368" s="188">
        <f>Products!E1864</f>
        <v>17250</v>
      </c>
      <c r="E368" s="10"/>
      <c r="F368" s="230"/>
      <c r="G368" s="31"/>
      <c r="H368" s="224"/>
      <c r="I368" s="224"/>
      <c r="J368" s="224"/>
      <c r="K368" s="216"/>
      <c r="L368" s="364"/>
      <c r="M368" s="365"/>
    </row>
    <row r="369" spans="1:13">
      <c r="C369" s="34"/>
      <c r="D369" s="34"/>
      <c r="E369" s="10"/>
      <c r="F369" s="31"/>
      <c r="G369" s="31"/>
      <c r="J369" s="353"/>
      <c r="K369" s="353"/>
      <c r="L369" s="353"/>
      <c r="M369" s="353"/>
    </row>
    <row r="370" spans="1:13">
      <c r="B370" s="517" t="str">
        <f>Products!B1923</f>
        <v>Полотна: ДОБОР LADA</v>
      </c>
      <c r="C370" s="500"/>
      <c r="D370" s="500"/>
      <c r="E370" s="500"/>
      <c r="F370" s="170"/>
      <c r="G370" s="170"/>
      <c r="H370" s="170"/>
      <c r="I370" s="170"/>
      <c r="J370" s="343"/>
      <c r="K370" s="343"/>
      <c r="L370" s="355"/>
      <c r="M370" s="356"/>
    </row>
    <row r="371" spans="1:13">
      <c r="B371" s="507" t="str">
        <f>Products!B1925</f>
        <v>модель</v>
      </c>
      <c r="C371" s="156" t="str">
        <f>Products!C1925</f>
        <v>покриття:</v>
      </c>
      <c r="D371" s="128" t="str">
        <f>Products!D1925</f>
        <v>Verto-CELL</v>
      </c>
      <c r="E371" s="167" t="str">
        <f>Products!F1925</f>
        <v>UNI-MAT</v>
      </c>
      <c r="F371" s="167" t="str">
        <f>Products!H1925</f>
        <v>RESIST</v>
      </c>
      <c r="G371" s="130" t="str">
        <f>Products!J1925</f>
        <v>Verto LINE-3D</v>
      </c>
      <c r="H371" s="130" t="str">
        <f>Products!L1925</f>
        <v>ЕКО Шпон</v>
      </c>
      <c r="I371" s="216"/>
      <c r="J371" s="216"/>
      <c r="K371" s="357"/>
      <c r="L371" s="341" t="str">
        <f>Products!B1936</f>
        <v>скло Графіт / Бронза</v>
      </c>
      <c r="M371" s="358">
        <f>Products!E1936</f>
        <v>510</v>
      </c>
    </row>
    <row r="372" spans="1:13" ht="24" customHeight="1">
      <c r="B372" s="497"/>
      <c r="C372" s="157" t="str">
        <f>Products!C1926</f>
        <v>заповнення:</v>
      </c>
      <c r="D372" s="138" t="str">
        <f>Products!D1926</f>
        <v>клеєний сосновий брус</v>
      </c>
      <c r="E372" s="168" t="str">
        <f>Products!F1926</f>
        <v>клеєний сосновий брус</v>
      </c>
      <c r="F372" s="168" t="str">
        <f>Products!H1926</f>
        <v>клеєний сосновий брус</v>
      </c>
      <c r="G372" s="140" t="str">
        <f>Products!J1926</f>
        <v>клеєний сосновий брус</v>
      </c>
      <c r="H372" s="140" t="str">
        <f>Products!L1926</f>
        <v>клеєний сосновий брус</v>
      </c>
      <c r="I372" s="216"/>
      <c r="J372" s="216"/>
      <c r="K372" s="348"/>
      <c r="L372" s="342" t="str">
        <f>Products!B1937</f>
        <v>скло Lacobel чорне</v>
      </c>
      <c r="M372" s="349">
        <f>Products!E1937</f>
        <v>550</v>
      </c>
    </row>
    <row r="373" spans="1:13">
      <c r="B373" s="498"/>
      <c r="C373" s="158" t="str">
        <f>Products!C1927</f>
        <v>скління:</v>
      </c>
      <c r="D373" s="125" t="str">
        <f>Products!D1927</f>
        <v>Сатин</v>
      </c>
      <c r="E373" s="161" t="str">
        <f>Products!F1927</f>
        <v>Сатин</v>
      </c>
      <c r="F373" s="161" t="str">
        <f>Products!H1927</f>
        <v>Сатин</v>
      </c>
      <c r="G373" s="126" t="str">
        <f>Products!J1927</f>
        <v>Сатин</v>
      </c>
      <c r="H373" s="126" t="str">
        <f>Products!L1927</f>
        <v>Сатин</v>
      </c>
      <c r="I373" s="216"/>
      <c r="J373" s="216"/>
      <c r="K373" s="348"/>
      <c r="L373" s="342" t="str">
        <f>Products!B1938</f>
        <v>завіса Prestige (1 шт)</v>
      </c>
      <c r="M373" s="349">
        <f>Products!E1938</f>
        <v>260</v>
      </c>
    </row>
    <row r="374" spans="1:13">
      <c r="B374" s="13" t="str">
        <f>Products!B1928</f>
        <v>L1.0 - 1.1</v>
      </c>
      <c r="C374" s="163"/>
      <c r="D374" s="191">
        <f>Products!E1928</f>
        <v>5920.0000000000009</v>
      </c>
      <c r="E374" s="183">
        <f>Products!G1928</f>
        <v>6790.0000000000009</v>
      </c>
      <c r="F374" s="183">
        <f>Products!I1928</f>
        <v>7010</v>
      </c>
      <c r="G374" s="183">
        <f>Products!K1928</f>
        <v>7440</v>
      </c>
      <c r="H374" s="183">
        <f>Products!M1928</f>
        <v>7720</v>
      </c>
      <c r="J374" s="353"/>
      <c r="K374" s="348"/>
      <c r="L374" s="342" t="str">
        <f>Products!B1939</f>
        <v>накладка на завіси (1 к-т)</v>
      </c>
      <c r="M374" s="349">
        <f>Products!E1939</f>
        <v>80</v>
      </c>
    </row>
    <row r="375" spans="1:13">
      <c r="B375" s="114" t="str">
        <f>Products!B1929</f>
        <v>L3.0 - 3.2</v>
      </c>
      <c r="C375" s="173"/>
      <c r="D375" s="291">
        <f>Products!E1929</f>
        <v>6040.0000000000009</v>
      </c>
      <c r="E375" s="292">
        <f>Products!G1929</f>
        <v>6920</v>
      </c>
      <c r="F375" s="292">
        <f>Products!I1929</f>
        <v>7160</v>
      </c>
      <c r="G375" s="292">
        <f>Products!K1929</f>
        <v>7590</v>
      </c>
      <c r="H375" s="292">
        <f>Products!M1929</f>
        <v>8350</v>
      </c>
      <c r="J375" s="353"/>
    </row>
    <row r="376" spans="1:13">
      <c r="B376" s="114" t="str">
        <f>Products!B1930</f>
        <v>L4.0 - 4.1</v>
      </c>
      <c r="C376" s="173"/>
      <c r="D376" s="291">
        <f>Products!E1930</f>
        <v>5920.0000000000009</v>
      </c>
      <c r="E376" s="292">
        <f>Products!G1930</f>
        <v>6780</v>
      </c>
      <c r="F376" s="292">
        <f>Products!I1930</f>
        <v>7010</v>
      </c>
      <c r="G376" s="292">
        <f>Products!K1930</f>
        <v>7440</v>
      </c>
      <c r="H376" s="292">
        <f>Products!M1930</f>
        <v>7720</v>
      </c>
      <c r="J376" s="353"/>
      <c r="K376" s="216"/>
      <c r="L376" s="364"/>
      <c r="M376" s="365"/>
    </row>
    <row r="377" spans="1:13">
      <c r="B377" s="114" t="str">
        <f>Products!B1931</f>
        <v>L5.0 - 5.1</v>
      </c>
      <c r="C377" s="173"/>
      <c r="D377" s="291">
        <f>Products!E1931</f>
        <v>6130.0000000000009</v>
      </c>
      <c r="E377" s="292">
        <f>Products!G1931</f>
        <v>7050</v>
      </c>
      <c r="F377" s="292">
        <f>Products!I1931</f>
        <v>7240.0000000000009</v>
      </c>
      <c r="G377" s="292">
        <f>Products!K1931</f>
        <v>7660</v>
      </c>
      <c r="H377" s="292">
        <f>Products!M1931</f>
        <v>7910</v>
      </c>
      <c r="J377" s="353"/>
      <c r="K377" s="216"/>
      <c r="L377" s="364"/>
      <c r="M377" s="365"/>
    </row>
    <row r="378" spans="1:13">
      <c r="B378" s="23" t="str">
        <f>Products!B1932</f>
        <v>L6.0 - 6.1</v>
      </c>
      <c r="C378" s="165"/>
      <c r="D378" s="187">
        <f>Products!E1932</f>
        <v>6350</v>
      </c>
      <c r="E378" s="187">
        <f>Products!G1932</f>
        <v>7280</v>
      </c>
      <c r="F378" s="187">
        <f>Products!I1932</f>
        <v>7460</v>
      </c>
      <c r="G378" s="187">
        <f>Products!K1932</f>
        <v>7910</v>
      </c>
      <c r="H378" s="187">
        <f>Products!M1932</f>
        <v>8150</v>
      </c>
      <c r="J378" s="353"/>
      <c r="K378" s="216"/>
      <c r="L378" s="364"/>
      <c r="M378" s="365"/>
    </row>
    <row r="379" spans="1:13">
      <c r="C379" s="34"/>
      <c r="D379" s="34"/>
      <c r="E379" s="10"/>
      <c r="F379" s="31"/>
      <c r="G379" s="31"/>
      <c r="J379" s="353"/>
      <c r="K379" s="353"/>
      <c r="L379" s="353"/>
      <c r="M379" s="353"/>
    </row>
    <row r="380" spans="1:13" s="31" customFormat="1">
      <c r="B380" s="510" t="str">
        <f>Products!B1990</f>
        <v>Полотна: ДОБОРИ</v>
      </c>
      <c r="C380" s="511"/>
      <c r="D380" s="511"/>
      <c r="E380" s="511"/>
      <c r="F380" s="170"/>
      <c r="G380" s="170"/>
      <c r="H380" s="170"/>
      <c r="I380" s="170"/>
      <c r="J380" s="343"/>
      <c r="K380" s="343"/>
      <c r="L380" s="508"/>
      <c r="M380" s="509"/>
    </row>
    <row r="381" spans="1:13">
      <c r="A381" s="31"/>
      <c r="B381" s="497" t="str">
        <f>Products!B1992</f>
        <v>модель</v>
      </c>
      <c r="C381" s="166" t="str">
        <f>Products!C1992</f>
        <v>покриття:</v>
      </c>
      <c r="D381" s="162" t="str">
        <f>Products!D1992</f>
        <v>SIMPL / V-CELL</v>
      </c>
      <c r="E381" s="167" t="str">
        <f>Products!F1992</f>
        <v>UNI-MAT</v>
      </c>
      <c r="F381" s="167" t="str">
        <f>Products!H1992</f>
        <v>RESIST</v>
      </c>
      <c r="G381" s="46"/>
      <c r="H381" s="216"/>
      <c r="I381" s="216"/>
      <c r="J381" s="216"/>
      <c r="K381" s="345"/>
      <c r="L381" s="342" t="str">
        <f>CONCATENATE(Products!B2000," ",Products!C2000)</f>
        <v xml:space="preserve">третя завіса </v>
      </c>
      <c r="M381" s="358">
        <f>Products!E2000</f>
        <v>80</v>
      </c>
    </row>
    <row r="382" spans="1:13">
      <c r="A382" s="31"/>
      <c r="B382" s="497"/>
      <c r="C382" s="157" t="str">
        <f>Products!C1993</f>
        <v>заповнення:</v>
      </c>
      <c r="D382" s="139" t="str">
        <f>Products!D1993</f>
        <v>сотове заповнення</v>
      </c>
      <c r="E382" s="168" t="str">
        <f>Products!F1993</f>
        <v>сотове заповнення</v>
      </c>
      <c r="F382" s="168" t="str">
        <f>Products!H1993</f>
        <v>сотове заповнення</v>
      </c>
      <c r="G382" s="146"/>
      <c r="H382" s="216"/>
      <c r="I382" s="216"/>
      <c r="J382" s="216"/>
      <c r="K382" s="345"/>
      <c r="L382" s="342" t="str">
        <f>CONCATENATE(Products!B2001," ",Products!C2001)</f>
        <v>скло Триплекс матовий / чорний мод.Б</v>
      </c>
      <c r="M382" s="349">
        <f>Products!E2001</f>
        <v>1130</v>
      </c>
    </row>
    <row r="383" spans="1:13" ht="12.75" customHeight="1">
      <c r="A383" s="31"/>
      <c r="B383" s="498"/>
      <c r="C383" s="158" t="str">
        <f>Products!C1994</f>
        <v>скління:</v>
      </c>
      <c r="D383" s="137" t="str">
        <f>Products!D1994</f>
        <v>Сатин (Б)</v>
      </c>
      <c r="E383" s="174" t="str">
        <f>Products!F1994</f>
        <v>Сатин (Б)</v>
      </c>
      <c r="F383" s="174" t="str">
        <f>Products!H1994</f>
        <v>Сатин (Б)</v>
      </c>
      <c r="G383" s="160"/>
      <c r="H383" s="216"/>
      <c r="I383" s="216"/>
      <c r="J383" s="216"/>
      <c r="K383" s="345"/>
      <c r="L383" s="342" t="str">
        <f>CONCATENATE(Products!B2002," ",Products!C2002)</f>
        <v>скло Графіт / Бронза мод.Б</v>
      </c>
      <c r="M383" s="349">
        <f>Products!E2002</f>
        <v>740.00000000000011</v>
      </c>
    </row>
    <row r="384" spans="1:13">
      <c r="A384" s="31"/>
      <c r="B384" s="13" t="str">
        <f>Products!B1995</f>
        <v>А</v>
      </c>
      <c r="C384" s="163"/>
      <c r="D384" s="196">
        <f>Products!E1995</f>
        <v>2310</v>
      </c>
      <c r="E384" s="183">
        <f>Products!G1995</f>
        <v>2660.0000000000005</v>
      </c>
      <c r="F384" s="183">
        <f>Products!I1995</f>
        <v>2950</v>
      </c>
      <c r="G384" s="97"/>
      <c r="H384" s="224"/>
      <c r="I384" s="224"/>
      <c r="J384" s="224"/>
      <c r="K384" s="345"/>
      <c r="L384" s="342" t="str">
        <f>CONCATENATE(Products!B2003," ",Products!C2003)</f>
        <v xml:space="preserve">завіса Prestige (1 шт) </v>
      </c>
      <c r="M384" s="349">
        <f>Products!E2003</f>
        <v>260</v>
      </c>
    </row>
    <row r="385" spans="1:13">
      <c r="A385" s="31"/>
      <c r="B385" s="23" t="str">
        <f>Products!B1996</f>
        <v>Б</v>
      </c>
      <c r="C385" s="165"/>
      <c r="D385" s="193">
        <f>Products!E1996</f>
        <v>4630</v>
      </c>
      <c r="E385" s="187">
        <f>Products!G1996</f>
        <v>5150</v>
      </c>
      <c r="F385" s="187">
        <f>Products!I1996</f>
        <v>5320.0000000000009</v>
      </c>
      <c r="G385" s="97"/>
      <c r="H385" s="224"/>
      <c r="I385" s="224"/>
      <c r="J385" s="224"/>
      <c r="K385" s="345"/>
      <c r="L385" s="342" t="str">
        <f>CONCATENATE(Products!B2004," ",Products!C2004)</f>
        <v xml:space="preserve">накладка на завіси (1 к-т) </v>
      </c>
      <c r="M385" s="349">
        <f>Products!E2004</f>
        <v>80</v>
      </c>
    </row>
    <row r="386" spans="1:13">
      <c r="A386" s="31"/>
      <c r="B386" s="175"/>
      <c r="C386" s="176"/>
      <c r="D386" s="97"/>
      <c r="E386" s="97"/>
      <c r="F386" s="97"/>
      <c r="G386" s="97"/>
      <c r="H386" s="224"/>
      <c r="I386" s="224"/>
      <c r="J386" s="224"/>
      <c r="K386" s="345"/>
      <c r="L386" s="342" t="str">
        <f>CONCATENATE(Products!B2005," ",Products!C2005)</f>
        <v>ДСП трубчасте мод.A</v>
      </c>
      <c r="M386" s="349">
        <f>Products!E2005</f>
        <v>930</v>
      </c>
    </row>
    <row r="387" spans="1:13">
      <c r="C387" s="34"/>
      <c r="D387" s="34"/>
      <c r="E387" s="10"/>
      <c r="F387" s="31"/>
      <c r="G387" s="31"/>
      <c r="J387" s="353"/>
    </row>
    <row r="388" spans="1:13" s="31" customFormat="1" ht="12.75" customHeight="1">
      <c r="B388" s="517" t="str">
        <f>TITLE!$C$38</f>
        <v>Розсувна система Verto-SLIDE</v>
      </c>
      <c r="C388" s="518"/>
      <c r="D388" s="518"/>
      <c r="E388" s="518"/>
      <c r="F388" s="170"/>
      <c r="G388" s="170"/>
      <c r="H388" s="170"/>
      <c r="I388" s="170"/>
      <c r="J388" s="343"/>
      <c r="K388" s="355"/>
      <c r="L388" s="355"/>
      <c r="M388" s="356"/>
    </row>
    <row r="389" spans="1:13" ht="24.75" customHeight="1">
      <c r="A389" s="31"/>
      <c r="B389" s="521" t="str">
        <f>Products!B2058</f>
        <v>(без полотна)</v>
      </c>
      <c r="C389" s="156" t="str">
        <f>Products!C2058</f>
        <v>покриття:</v>
      </c>
      <c r="D389" s="129" t="str">
        <f>Products!D2058</f>
        <v>SIMPL / V-CELL</v>
      </c>
      <c r="E389" s="167" t="str">
        <f>Products!F2058</f>
        <v>UNI-MAT</v>
      </c>
      <c r="F389" s="167" t="str">
        <f>Products!H2058</f>
        <v>RESIST</v>
      </c>
      <c r="G389" s="167" t="str">
        <f>Products!J2058</f>
        <v>Verto LINE-3D</v>
      </c>
      <c r="H389" s="167" t="str">
        <f>Products!L2058</f>
        <v>ЕКО Шпон / ЛОФТ</v>
      </c>
      <c r="I389" s="47"/>
      <c r="J389" s="47"/>
      <c r="K389" s="345"/>
      <c r="L389" s="342" t="str">
        <f>Products!B2064</f>
        <v>відповідна планка замка</v>
      </c>
      <c r="M389" s="366">
        <f>Products!E2064</f>
        <v>110</v>
      </c>
    </row>
    <row r="390" spans="1:13" ht="12.75" customHeight="1">
      <c r="A390" s="31"/>
      <c r="B390" s="522"/>
      <c r="C390" s="158" t="str">
        <f>Products!C2059</f>
        <v>виконання:</v>
      </c>
      <c r="D390" s="137" t="str">
        <f>Products!D2059</f>
        <v>одностулкове</v>
      </c>
      <c r="E390" s="161" t="str">
        <f>Products!F2059</f>
        <v>одностулкове</v>
      </c>
      <c r="F390" s="161" t="str">
        <f>Products!H2059</f>
        <v>одностулкове</v>
      </c>
      <c r="G390" s="161" t="str">
        <f>Products!J2059</f>
        <v>одностулкове</v>
      </c>
      <c r="H390" s="161" t="str">
        <f>Products!L2059</f>
        <v>одностулкове</v>
      </c>
      <c r="I390" s="47"/>
      <c r="J390" s="47"/>
      <c r="K390" s="46"/>
      <c r="L390" s="353"/>
      <c r="M390" s="353"/>
    </row>
    <row r="391" spans="1:13">
      <c r="A391" s="31"/>
      <c r="B391" s="49" t="str">
        <f>Products!B2060</f>
        <v>Розсувна система</v>
      </c>
      <c r="C391" s="50"/>
      <c r="D391" s="197">
        <f>Products!E2060</f>
        <v>3780</v>
      </c>
      <c r="E391" s="195">
        <f>Products!G2060</f>
        <v>3920</v>
      </c>
      <c r="F391" s="195">
        <f>Products!I2060</f>
        <v>4030</v>
      </c>
      <c r="G391" s="195">
        <f>Products!K2060</f>
        <v>4370</v>
      </c>
      <c r="H391" s="195">
        <f>Products!M2060</f>
        <v>4620</v>
      </c>
      <c r="I391" s="29"/>
      <c r="J391" s="29"/>
      <c r="K391" s="46"/>
      <c r="L391" s="353"/>
      <c r="M391" s="353"/>
    </row>
    <row r="392" spans="1:13">
      <c r="C392" s="34"/>
      <c r="D392" s="34"/>
      <c r="E392" s="34"/>
      <c r="J392" s="353"/>
      <c r="K392" s="353"/>
      <c r="L392" s="353"/>
      <c r="M392" s="353"/>
    </row>
    <row r="393" spans="1:13" s="31" customFormat="1" ht="12.75" customHeight="1">
      <c r="B393" s="517" t="str">
        <f>TITLE!$C$41</f>
        <v>Дверна коробка STANDARD</v>
      </c>
      <c r="C393" s="518"/>
      <c r="D393" s="518"/>
      <c r="E393" s="518"/>
      <c r="F393" s="295" t="str">
        <f>Products!E2115</f>
        <v>Для Дверних Полотен з Фальцем</v>
      </c>
      <c r="G393" s="170"/>
      <c r="H393" s="170"/>
      <c r="I393" s="170"/>
      <c r="J393" s="343"/>
      <c r="K393" s="343"/>
      <c r="L393" s="355"/>
      <c r="M393" s="356"/>
    </row>
    <row r="394" spans="1:13" ht="26.25" customHeight="1">
      <c r="A394" s="31"/>
      <c r="B394" s="497" t="str">
        <f>Products!B2117</f>
        <v>модель</v>
      </c>
      <c r="C394" s="156" t="str">
        <f>Products!C2117</f>
        <v>покриття:</v>
      </c>
      <c r="D394" s="473" t="str">
        <f>Products!D2117</f>
        <v>SIMPLEX / VERTO-CELL</v>
      </c>
      <c r="E394" s="459"/>
      <c r="F394" s="473" t="str">
        <f>Products!H2117</f>
        <v>UNI-MAT</v>
      </c>
      <c r="G394" s="459"/>
      <c r="H394" s="473" t="str">
        <f>Products!L2117</f>
        <v>RESIST</v>
      </c>
      <c r="I394" s="459"/>
      <c r="J394" s="473" t="str">
        <f>Products!P2117</f>
        <v>Verto LINE-3D</v>
      </c>
      <c r="K394" s="459"/>
      <c r="L394" s="473" t="str">
        <f>Products!T2117</f>
        <v>ЕКО Шпон / LOFT</v>
      </c>
      <c r="M394" s="459"/>
    </row>
    <row r="395" spans="1:13" ht="12.75" customHeight="1">
      <c r="A395" s="31"/>
      <c r="B395" s="497"/>
      <c r="C395" s="158" t="str">
        <f>Products!C2118</f>
        <v>виконання:</v>
      </c>
      <c r="D395" s="255" t="str">
        <f>Products!D2118</f>
        <v>одностулкове</v>
      </c>
      <c r="E395" s="263" t="str">
        <f>Products!F2118</f>
        <v>двостулкові</v>
      </c>
      <c r="F395" s="255" t="str">
        <f>Products!H2118</f>
        <v>одностулкове</v>
      </c>
      <c r="G395" s="263" t="str">
        <f>Products!J2118</f>
        <v>двостулкові</v>
      </c>
      <c r="H395" s="255" t="str">
        <f>Products!L2118</f>
        <v>одностулкове</v>
      </c>
      <c r="I395" s="263" t="str">
        <f>Products!N2118</f>
        <v>двостулкові</v>
      </c>
      <c r="J395" s="255" t="str">
        <f>Products!P2118</f>
        <v>одностулкове</v>
      </c>
      <c r="K395" s="263" t="str">
        <f>Products!R2118</f>
        <v>двостулкові</v>
      </c>
      <c r="L395" s="255" t="str">
        <f>Products!T2118</f>
        <v>одностулкове</v>
      </c>
      <c r="M395" s="263" t="str">
        <f>Products!V2118</f>
        <v>двостулкові</v>
      </c>
    </row>
    <row r="396" spans="1:13">
      <c r="A396" s="31"/>
      <c r="B396" s="13" t="str">
        <f>Products!B2119</f>
        <v>Коробка МДФ 80 мм</v>
      </c>
      <c r="C396" s="179"/>
      <c r="D396" s="256">
        <f>Products!E2119</f>
        <v>1830</v>
      </c>
      <c r="E396" s="257">
        <f>Products!G2119</f>
        <v>2560</v>
      </c>
      <c r="F396" s="256">
        <f>Products!I2119</f>
        <v>2070</v>
      </c>
      <c r="G396" s="257">
        <f>Products!K2119</f>
        <v>2890</v>
      </c>
      <c r="H396" s="256">
        <f>Products!M2119</f>
        <v>2150</v>
      </c>
      <c r="I396" s="256">
        <f>Products!O2119</f>
        <v>3010</v>
      </c>
      <c r="J396" s="367">
        <f>Products!Q2119</f>
        <v>2370</v>
      </c>
      <c r="K396" s="368">
        <f>Products!S2119</f>
        <v>3320.0000000000005</v>
      </c>
      <c r="L396" s="367">
        <f>Products!U2119</f>
        <v>2550</v>
      </c>
      <c r="M396" s="368">
        <f>Products!W2119</f>
        <v>3570</v>
      </c>
    </row>
    <row r="397" spans="1:13">
      <c r="A397" s="31"/>
      <c r="B397" s="23" t="str">
        <f>Products!B2120</f>
        <v>Коробка Дерев'яна 80 мм</v>
      </c>
      <c r="C397" s="285"/>
      <c r="D397" s="260">
        <f>Products!E2120</f>
        <v>2220</v>
      </c>
      <c r="E397" s="261">
        <f>Products!G2120</f>
        <v>3080.0000000000005</v>
      </c>
      <c r="F397" s="260">
        <f>Products!I2120</f>
        <v>2520</v>
      </c>
      <c r="G397" s="261">
        <f>Products!K2120</f>
        <v>3530.0000000000005</v>
      </c>
      <c r="H397" s="260">
        <f>Products!M2120</f>
        <v>2680</v>
      </c>
      <c r="I397" s="260">
        <f>Products!O2120</f>
        <v>3750</v>
      </c>
      <c r="J397" s="369">
        <f>Products!Q2120</f>
        <v>2940</v>
      </c>
      <c r="K397" s="370">
        <f>Products!S2120</f>
        <v>4110</v>
      </c>
      <c r="L397" s="369">
        <f>Products!U2120</f>
        <v>3240</v>
      </c>
      <c r="M397" s="370">
        <f>Products!W2120</f>
        <v>4530</v>
      </c>
    </row>
    <row r="398" spans="1:13" s="145" customFormat="1">
      <c r="B398" s="54" t="str">
        <f>Products!B2121</f>
        <v>ЛИШТВА</v>
      </c>
      <c r="C398" s="55"/>
      <c r="D398" s="199"/>
      <c r="E398" s="199"/>
      <c r="F398" s="199"/>
      <c r="G398" s="199"/>
      <c r="H398" s="200"/>
      <c r="I398" s="200"/>
      <c r="J398" s="200"/>
      <c r="K398" s="200"/>
      <c r="L398" s="200"/>
      <c r="M398" s="200"/>
    </row>
    <row r="399" spans="1:13">
      <c r="A399" s="31"/>
      <c r="B399" s="13" t="str">
        <f>Products!B2122</f>
        <v>Прямокутна (1 к-т) 60 мм</v>
      </c>
      <c r="C399" s="177"/>
      <c r="D399" s="256">
        <f>Products!E2122</f>
        <v>510</v>
      </c>
      <c r="E399" s="257">
        <f>Products!G2122</f>
        <v>660</v>
      </c>
      <c r="F399" s="256">
        <f>Products!I2122</f>
        <v>590</v>
      </c>
      <c r="G399" s="301">
        <f>Products!K2122</f>
        <v>760</v>
      </c>
      <c r="H399" s="256">
        <f>Products!M2122</f>
        <v>690</v>
      </c>
      <c r="I399" s="256">
        <f>Products!O2122</f>
        <v>890.00000000000011</v>
      </c>
      <c r="J399" s="367">
        <f>Products!Q2122</f>
        <v>790</v>
      </c>
      <c r="K399" s="368">
        <f>Products!S2122</f>
        <v>1030</v>
      </c>
      <c r="L399" s="367">
        <f>Products!U2122</f>
        <v>860.00000000000011</v>
      </c>
      <c r="M399" s="368">
        <f>Products!W2122</f>
        <v>1120</v>
      </c>
    </row>
    <row r="400" spans="1:13">
      <c r="A400" s="31"/>
      <c r="B400" s="23" t="str">
        <f>Products!B2123</f>
        <v>Прямокутна (1 к-т) 80 мм</v>
      </c>
      <c r="C400" s="178"/>
      <c r="D400" s="266">
        <f>Products!E2123</f>
        <v>600</v>
      </c>
      <c r="E400" s="188">
        <f>Products!G2123</f>
        <v>770.00000000000011</v>
      </c>
      <c r="F400" s="330">
        <f>Products!I2123</f>
        <v>700</v>
      </c>
      <c r="G400" s="261">
        <f>Products!K2123</f>
        <v>900</v>
      </c>
      <c r="H400" s="331">
        <f>Products!M2123</f>
        <v>850</v>
      </c>
      <c r="I400" s="331">
        <f>Products!O2123</f>
        <v>1100</v>
      </c>
      <c r="J400" s="371">
        <f>Products!Q2123</f>
        <v>970</v>
      </c>
      <c r="K400" s="372">
        <f>Products!S2123</f>
        <v>1250</v>
      </c>
      <c r="L400" s="371">
        <f>Products!U2123</f>
        <v>1040</v>
      </c>
      <c r="M400" s="372">
        <f>Products!W2123</f>
        <v>1350</v>
      </c>
    </row>
    <row r="401" spans="1:13" s="145" customFormat="1">
      <c r="B401" s="54" t="str">
        <f>Products!B2124</f>
        <v>ДОБІРНІ ПЛАНКИ</v>
      </c>
      <c r="C401" s="55"/>
      <c r="D401" s="199"/>
      <c r="E401" s="199"/>
      <c r="F401" s="199"/>
      <c r="G401" s="199"/>
      <c r="H401" s="200"/>
      <c r="I401" s="200"/>
      <c r="J401" s="200"/>
      <c r="K401" s="200"/>
      <c r="L401" s="200"/>
      <c r="M401" s="200"/>
    </row>
    <row r="402" spans="1:13">
      <c r="A402" s="31"/>
      <c r="B402" s="13" t="str">
        <f>Products!B2125</f>
        <v>Планка (1 к-т) 60 мм</v>
      </c>
      <c r="C402" s="177"/>
      <c r="D402" s="256">
        <f>Products!E2125</f>
        <v>510</v>
      </c>
      <c r="E402" s="257">
        <f>Products!G2125</f>
        <v>660</v>
      </c>
      <c r="F402" s="256">
        <f>Products!I2125</f>
        <v>590</v>
      </c>
      <c r="G402" s="301">
        <f>Products!K2125</f>
        <v>760</v>
      </c>
      <c r="H402" s="256">
        <f>Products!M2125</f>
        <v>690</v>
      </c>
      <c r="I402" s="256">
        <f>Products!O2125</f>
        <v>890.00000000000011</v>
      </c>
      <c r="J402" s="367">
        <f>Products!Q2125</f>
        <v>790</v>
      </c>
      <c r="K402" s="368">
        <f>Products!S2125</f>
        <v>1030</v>
      </c>
      <c r="L402" s="367">
        <f>Products!U2125</f>
        <v>860.00000000000011</v>
      </c>
      <c r="M402" s="368">
        <f>Products!W2125</f>
        <v>1120</v>
      </c>
    </row>
    <row r="403" spans="1:13">
      <c r="A403" s="31"/>
      <c r="B403" s="16" t="str">
        <f>Products!B2126</f>
        <v>Планка (1 к-т) 110 мм</v>
      </c>
      <c r="C403" s="180"/>
      <c r="D403" s="265">
        <f>Products!E2126</f>
        <v>790</v>
      </c>
      <c r="E403" s="186">
        <f>Products!G2126</f>
        <v>1030</v>
      </c>
      <c r="F403" s="300">
        <f>Products!I2126</f>
        <v>920.00000000000011</v>
      </c>
      <c r="G403" s="259">
        <f>Products!K2126</f>
        <v>1150</v>
      </c>
      <c r="H403" s="303">
        <f>Products!M2126</f>
        <v>1040</v>
      </c>
      <c r="I403" s="303">
        <f>Products!O2126</f>
        <v>1360.0000000000002</v>
      </c>
      <c r="J403" s="373">
        <f>Products!Q2126</f>
        <v>1220</v>
      </c>
      <c r="K403" s="374">
        <f>Products!S2126</f>
        <v>1590</v>
      </c>
      <c r="L403" s="373">
        <f>Products!U2126</f>
        <v>1310</v>
      </c>
      <c r="M403" s="374">
        <f>Products!W2126</f>
        <v>1710</v>
      </c>
    </row>
    <row r="404" spans="1:13">
      <c r="A404" s="31"/>
      <c r="B404" s="23" t="str">
        <f>Products!B2127</f>
        <v>Планка (1 к-т) 200 мм</v>
      </c>
      <c r="C404" s="285"/>
      <c r="D404" s="260">
        <f>Products!E2127</f>
        <v>1540.0000000000002</v>
      </c>
      <c r="E404" s="261">
        <f>Products!G2127</f>
        <v>2000</v>
      </c>
      <c r="F404" s="260">
        <f>Products!I2127</f>
        <v>1770</v>
      </c>
      <c r="G404" s="302">
        <f>Products!K2127</f>
        <v>2320</v>
      </c>
      <c r="H404" s="260">
        <f>Products!M2127</f>
        <v>2100</v>
      </c>
      <c r="I404" s="260">
        <f>Products!O2127</f>
        <v>2740</v>
      </c>
      <c r="J404" s="369">
        <f>Products!Q2127</f>
        <v>2420</v>
      </c>
      <c r="K404" s="370">
        <f>Products!S2127</f>
        <v>3150</v>
      </c>
      <c r="L404" s="369">
        <f>Products!U2127</f>
        <v>2590</v>
      </c>
      <c r="M404" s="370">
        <f>Products!W2127</f>
        <v>3360</v>
      </c>
    </row>
    <row r="405" spans="1:13">
      <c r="C405" s="34"/>
      <c r="D405" s="34"/>
      <c r="E405" s="10"/>
      <c r="F405" s="31"/>
      <c r="G405" s="31"/>
      <c r="H405" s="145"/>
      <c r="I405" s="145"/>
      <c r="J405" s="375"/>
      <c r="K405" s="375"/>
      <c r="L405" s="353"/>
      <c r="M405" s="353"/>
    </row>
    <row r="406" spans="1:13">
      <c r="B406" s="226"/>
      <c r="C406" s="231" t="str">
        <f>Products!B2131</f>
        <v>третя завіса</v>
      </c>
      <c r="D406" s="183">
        <f>Products!E2131</f>
        <v>80</v>
      </c>
      <c r="E406" s="10"/>
      <c r="F406" s="31"/>
      <c r="G406" s="31"/>
      <c r="H406" s="145"/>
      <c r="I406" s="145"/>
      <c r="J406" s="375"/>
      <c r="K406" s="375"/>
      <c r="L406" s="353"/>
      <c r="M406" s="353"/>
    </row>
    <row r="407" spans="1:13">
      <c r="B407" s="226"/>
      <c r="C407" s="231" t="str">
        <f>Products!B2132</f>
        <v>поріг сосновий</v>
      </c>
      <c r="D407" s="187">
        <f>Products!E2132</f>
        <v>550</v>
      </c>
      <c r="E407" s="10"/>
      <c r="F407" s="31"/>
      <c r="G407" s="31"/>
      <c r="H407" s="145"/>
      <c r="I407" s="145"/>
      <c r="J407" s="375"/>
      <c r="K407" s="375"/>
      <c r="L407" s="353"/>
      <c r="M407" s="353"/>
    </row>
    <row r="408" spans="1:13">
      <c r="C408" s="34"/>
      <c r="D408" s="34"/>
      <c r="E408" s="10"/>
      <c r="F408" s="31"/>
      <c r="G408" s="31"/>
      <c r="H408" s="145"/>
      <c r="I408" s="145"/>
      <c r="J408" s="375"/>
      <c r="K408" s="375"/>
      <c r="L408" s="353"/>
      <c r="M408" s="353"/>
    </row>
    <row r="409" spans="1:13" s="31" customFormat="1">
      <c r="B409" s="517" t="str">
        <f>TITLE!$C$42</f>
        <v>Дверна коробка Verto-FIT</v>
      </c>
      <c r="C409" s="518"/>
      <c r="D409" s="518"/>
      <c r="E409" s="518"/>
      <c r="F409" s="295" t="str">
        <f>Products!E2183</f>
        <v>Для Дверних Полотен с Фальцем</v>
      </c>
      <c r="G409" s="170"/>
      <c r="H409" s="170"/>
      <c r="I409" s="170"/>
      <c r="J409" s="343"/>
      <c r="K409" s="343"/>
      <c r="L409" s="355"/>
      <c r="M409" s="356"/>
    </row>
    <row r="410" spans="1:13" ht="26.25" customHeight="1">
      <c r="A410" s="31"/>
      <c r="B410" s="497" t="str">
        <f>Products!B2185</f>
        <v>модель</v>
      </c>
      <c r="C410" s="156" t="str">
        <f>Products!C2185</f>
        <v>покриття:</v>
      </c>
      <c r="D410" s="473" t="str">
        <f>Products!D2185</f>
        <v xml:space="preserve">SIMPLEX / VERTO-CELL </v>
      </c>
      <c r="E410" s="459"/>
      <c r="F410" s="473" t="str">
        <f>Products!H2185</f>
        <v>UNI-MAT</v>
      </c>
      <c r="G410" s="459"/>
      <c r="H410" s="473" t="str">
        <f>Products!L2185</f>
        <v>RESIST</v>
      </c>
      <c r="I410" s="459"/>
      <c r="J410" s="473" t="str">
        <f>Products!P2185</f>
        <v>Verto LINE-3D</v>
      </c>
      <c r="K410" s="459"/>
      <c r="L410" s="473" t="str">
        <f>Products!T2185</f>
        <v>ЕКО Шпон / LOFT</v>
      </c>
      <c r="M410" s="459"/>
    </row>
    <row r="411" spans="1:13" ht="12.75" customHeight="1">
      <c r="A411" s="31"/>
      <c r="B411" s="498"/>
      <c r="C411" s="158" t="str">
        <f>Products!C2186</f>
        <v>виконання:</v>
      </c>
      <c r="D411" s="255" t="str">
        <f>Products!D2186</f>
        <v>одностулкове</v>
      </c>
      <c r="E411" s="263" t="str">
        <f>Products!F2186</f>
        <v>двостулкові</v>
      </c>
      <c r="F411" s="255" t="str">
        <f>Products!H2186</f>
        <v>одностулкове</v>
      </c>
      <c r="G411" s="263" t="str">
        <f>Products!J2186</f>
        <v>двостулкові</v>
      </c>
      <c r="H411" s="255" t="str">
        <f>Products!L2186</f>
        <v>одностулкове</v>
      </c>
      <c r="I411" s="255" t="str">
        <f>Products!N2186</f>
        <v>двостулкові</v>
      </c>
      <c r="J411" s="255" t="str">
        <f>Products!P2186</f>
        <v>одностулкове</v>
      </c>
      <c r="K411" s="263" t="str">
        <f>Products!R2186</f>
        <v>двостулкові</v>
      </c>
      <c r="L411" s="255" t="str">
        <f>Products!T2186</f>
        <v>одностулкове</v>
      </c>
      <c r="M411" s="263" t="str">
        <f>Products!V2186</f>
        <v>двостулкові</v>
      </c>
    </row>
    <row r="412" spans="1:13">
      <c r="A412" s="31"/>
      <c r="B412" s="13" t="str">
        <f>Products!B2187</f>
        <v>A (75 - 95 мм)</v>
      </c>
      <c r="C412" s="179"/>
      <c r="D412" s="256">
        <f>Products!E2187</f>
        <v>2980</v>
      </c>
      <c r="E412" s="257">
        <f>Products!G2187</f>
        <v>4170</v>
      </c>
      <c r="F412" s="256">
        <f>Products!I2187</f>
        <v>3440.0000000000005</v>
      </c>
      <c r="G412" s="257">
        <f>Products!K2187</f>
        <v>4820</v>
      </c>
      <c r="H412" s="256">
        <f>Products!M2187</f>
        <v>3570</v>
      </c>
      <c r="I412" s="256">
        <f>Products!O2187</f>
        <v>4990.0000000000009</v>
      </c>
      <c r="J412" s="367">
        <f>Products!Q2187</f>
        <v>3800</v>
      </c>
      <c r="K412" s="368">
        <f>Products!S2187</f>
        <v>5320.0000000000009</v>
      </c>
      <c r="L412" s="367">
        <f>Products!U2187</f>
        <v>4060</v>
      </c>
      <c r="M412" s="368">
        <f>Products!W2187</f>
        <v>5980.0000000000009</v>
      </c>
    </row>
    <row r="413" spans="1:13">
      <c r="A413" s="31"/>
      <c r="B413" s="16" t="str">
        <f>Products!B2188</f>
        <v>B (95 - 115 мм)</v>
      </c>
      <c r="C413" s="180"/>
      <c r="D413" s="258">
        <f>Products!E2188</f>
        <v>3160</v>
      </c>
      <c r="E413" s="259">
        <f>Products!G2188</f>
        <v>4420</v>
      </c>
      <c r="F413" s="258">
        <f>Products!I2188</f>
        <v>3640</v>
      </c>
      <c r="G413" s="259">
        <f>Products!K2188</f>
        <v>5100</v>
      </c>
      <c r="H413" s="258">
        <f>Products!M2188</f>
        <v>3800</v>
      </c>
      <c r="I413" s="258">
        <f>Products!O2188</f>
        <v>5310</v>
      </c>
      <c r="J413" s="376">
        <f>Products!Q2188</f>
        <v>4020</v>
      </c>
      <c r="K413" s="377">
        <f>Products!S2188</f>
        <v>5620.0000000000009</v>
      </c>
      <c r="L413" s="376">
        <f>Products!U2188</f>
        <v>4300</v>
      </c>
      <c r="M413" s="377">
        <f>Products!W2188</f>
        <v>6020</v>
      </c>
    </row>
    <row r="414" spans="1:13">
      <c r="A414" s="31"/>
      <c r="B414" s="16" t="str">
        <f>Products!B2189</f>
        <v>B+ (100 - 120 мм)</v>
      </c>
      <c r="C414" s="180"/>
      <c r="D414" s="258">
        <f>Products!E2189</f>
        <v>3280</v>
      </c>
      <c r="E414" s="259">
        <f>Products!G2189</f>
        <v>4590</v>
      </c>
      <c r="F414" s="258">
        <f>Products!I2189</f>
        <v>3760</v>
      </c>
      <c r="G414" s="259">
        <f>Products!K2189</f>
        <v>5270</v>
      </c>
      <c r="H414" s="258">
        <f>Products!M2189</f>
        <v>3910</v>
      </c>
      <c r="I414" s="258">
        <f>Products!O2189</f>
        <v>5470.0000000000009</v>
      </c>
      <c r="J414" s="376">
        <f>Products!Q2189</f>
        <v>4140</v>
      </c>
      <c r="K414" s="377">
        <f>Products!S2189</f>
        <v>5790</v>
      </c>
      <c r="L414" s="376">
        <f>Products!U2189</f>
        <v>4420</v>
      </c>
      <c r="M414" s="377">
        <f>Products!W2189</f>
        <v>6180</v>
      </c>
    </row>
    <row r="415" spans="1:13">
      <c r="A415" s="31"/>
      <c r="B415" s="16" t="str">
        <f>Products!B2190</f>
        <v>C (120 - 140 мм)</v>
      </c>
      <c r="C415" s="180"/>
      <c r="D415" s="258">
        <f>Products!E2190</f>
        <v>3370</v>
      </c>
      <c r="E415" s="259">
        <f>Products!G2190</f>
        <v>4720</v>
      </c>
      <c r="F415" s="258">
        <f>Products!I2190</f>
        <v>3880</v>
      </c>
      <c r="G415" s="259">
        <f>Products!K2190</f>
        <v>5430</v>
      </c>
      <c r="H415" s="258">
        <f>Products!M2190</f>
        <v>4000</v>
      </c>
      <c r="I415" s="258">
        <f>Products!O2190</f>
        <v>5610</v>
      </c>
      <c r="J415" s="376">
        <f>Products!Q2190</f>
        <v>4250</v>
      </c>
      <c r="K415" s="377">
        <f>Products!S2190</f>
        <v>5950.0000000000009</v>
      </c>
      <c r="L415" s="376">
        <f>Products!U2190</f>
        <v>4550</v>
      </c>
      <c r="M415" s="377">
        <f>Products!W2190</f>
        <v>6360</v>
      </c>
    </row>
    <row r="416" spans="1:13">
      <c r="A416" s="31"/>
      <c r="B416" s="16" t="str">
        <f>Products!B2191</f>
        <v>D (140 - 160 мм)</v>
      </c>
      <c r="C416" s="180"/>
      <c r="D416" s="258">
        <f>Products!E2191</f>
        <v>3550</v>
      </c>
      <c r="E416" s="259">
        <f>Products!G2191</f>
        <v>4970</v>
      </c>
      <c r="F416" s="258">
        <f>Products!I2191</f>
        <v>4080</v>
      </c>
      <c r="G416" s="259">
        <f>Products!K2191</f>
        <v>5710.0000000000009</v>
      </c>
      <c r="H416" s="258">
        <f>Products!M2191</f>
        <v>4230</v>
      </c>
      <c r="I416" s="258">
        <f>Products!O2191</f>
        <v>5920.0000000000009</v>
      </c>
      <c r="J416" s="376">
        <f>Products!Q2191</f>
        <v>4490</v>
      </c>
      <c r="K416" s="377">
        <f>Products!S2191</f>
        <v>6290</v>
      </c>
      <c r="L416" s="376">
        <f>Products!U2191</f>
        <v>4780</v>
      </c>
      <c r="M416" s="377">
        <f>Products!W2191</f>
        <v>6690</v>
      </c>
    </row>
    <row r="417" spans="1:13">
      <c r="A417" s="31"/>
      <c r="B417" s="16" t="str">
        <f>Products!B2192</f>
        <v>E (160 - 180 мм)</v>
      </c>
      <c r="C417" s="180"/>
      <c r="D417" s="258">
        <f>Products!E2192</f>
        <v>3730</v>
      </c>
      <c r="E417" s="259">
        <f>Products!G2192</f>
        <v>5220</v>
      </c>
      <c r="F417" s="258">
        <f>Products!I2192</f>
        <v>4300</v>
      </c>
      <c r="G417" s="259">
        <f>Products!K2192</f>
        <v>6020</v>
      </c>
      <c r="H417" s="258">
        <f>Products!M2192</f>
        <v>4430</v>
      </c>
      <c r="I417" s="258">
        <f>Products!O2192</f>
        <v>6210</v>
      </c>
      <c r="J417" s="376">
        <f>Products!Q2192</f>
        <v>4720</v>
      </c>
      <c r="K417" s="377">
        <f>Products!S2192</f>
        <v>6610.0000000000009</v>
      </c>
      <c r="L417" s="376">
        <f>Products!U2192</f>
        <v>5030</v>
      </c>
      <c r="M417" s="377">
        <f>Products!W2192</f>
        <v>7040</v>
      </c>
    </row>
    <row r="418" spans="1:13">
      <c r="A418" s="31"/>
      <c r="B418" s="16" t="str">
        <f>Products!B2193</f>
        <v>F (180 - 200 мм)</v>
      </c>
      <c r="C418" s="180"/>
      <c r="D418" s="258">
        <f>Products!E2193</f>
        <v>3920</v>
      </c>
      <c r="E418" s="259">
        <f>Products!G2193</f>
        <v>5490</v>
      </c>
      <c r="F418" s="258">
        <f>Products!I2193</f>
        <v>4510</v>
      </c>
      <c r="G418" s="259">
        <f>Products!K2193</f>
        <v>6300</v>
      </c>
      <c r="H418" s="258">
        <f>Products!M2193</f>
        <v>4660</v>
      </c>
      <c r="I418" s="258">
        <f>Products!O2193</f>
        <v>6520.0000000000009</v>
      </c>
      <c r="J418" s="376">
        <f>Products!Q2193</f>
        <v>4940</v>
      </c>
      <c r="K418" s="377">
        <f>Products!S2193</f>
        <v>6920</v>
      </c>
      <c r="L418" s="376">
        <f>Products!U2193</f>
        <v>5280</v>
      </c>
      <c r="M418" s="377">
        <f>Products!W2193</f>
        <v>7390</v>
      </c>
    </row>
    <row r="419" spans="1:13">
      <c r="A419" s="31"/>
      <c r="B419" s="16" t="str">
        <f>Products!B2194</f>
        <v>G (200 - 220 мм)</v>
      </c>
      <c r="C419" s="180"/>
      <c r="D419" s="258">
        <f>Products!E2194</f>
        <v>4100</v>
      </c>
      <c r="E419" s="259">
        <f>Products!G2194</f>
        <v>5740.0000000000009</v>
      </c>
      <c r="F419" s="258">
        <f>Products!I2194</f>
        <v>4730</v>
      </c>
      <c r="G419" s="259">
        <f>Products!K2194</f>
        <v>6610.0000000000009</v>
      </c>
      <c r="H419" s="258">
        <f>Products!M2194</f>
        <v>4890</v>
      </c>
      <c r="I419" s="258">
        <f>Products!O2194</f>
        <v>6840</v>
      </c>
      <c r="J419" s="376">
        <f>Products!Q2194</f>
        <v>5180</v>
      </c>
      <c r="K419" s="377">
        <f>Products!S2194</f>
        <v>7250</v>
      </c>
      <c r="L419" s="376">
        <f>Products!U2194</f>
        <v>5520</v>
      </c>
      <c r="M419" s="377">
        <f>Products!W2194</f>
        <v>7720</v>
      </c>
    </row>
    <row r="420" spans="1:13">
      <c r="A420" s="31"/>
      <c r="B420" s="16" t="str">
        <f>Products!B2195</f>
        <v>H (220 - 240 мм)</v>
      </c>
      <c r="C420" s="180"/>
      <c r="D420" s="258">
        <f>Products!E2195</f>
        <v>4290</v>
      </c>
      <c r="E420" s="259">
        <f>Products!G2195</f>
        <v>6000</v>
      </c>
      <c r="F420" s="258">
        <f>Products!I2195</f>
        <v>4940</v>
      </c>
      <c r="G420" s="259">
        <f>Products!K2195</f>
        <v>6920</v>
      </c>
      <c r="H420" s="258">
        <f>Products!M2195</f>
        <v>5090</v>
      </c>
      <c r="I420" s="258">
        <f>Products!O2195</f>
        <v>7120.0000000000009</v>
      </c>
      <c r="J420" s="376">
        <f>Products!Q2195</f>
        <v>5420</v>
      </c>
      <c r="K420" s="377">
        <f>Products!S2195</f>
        <v>7570</v>
      </c>
      <c r="L420" s="376">
        <f>Products!U2195</f>
        <v>5770.0000000000009</v>
      </c>
      <c r="M420" s="377">
        <f>Products!W2195</f>
        <v>8070</v>
      </c>
    </row>
    <row r="421" spans="1:13" s="145" customFormat="1">
      <c r="A421" s="31"/>
      <c r="B421" s="23" t="str">
        <f>Products!B2196</f>
        <v>I (240 - 260 мм)</v>
      </c>
      <c r="C421" s="178"/>
      <c r="D421" s="260">
        <f>Products!E2196</f>
        <v>4490</v>
      </c>
      <c r="E421" s="261">
        <f>Products!G2196</f>
        <v>6290</v>
      </c>
      <c r="F421" s="260">
        <f>Products!I2196</f>
        <v>5170.0000000000009</v>
      </c>
      <c r="G421" s="261">
        <f>Products!K2196</f>
        <v>7240.0000000000009</v>
      </c>
      <c r="H421" s="260">
        <f>Products!M2196</f>
        <v>5300</v>
      </c>
      <c r="I421" s="260">
        <f>Products!O2196</f>
        <v>7430</v>
      </c>
      <c r="J421" s="369">
        <f>Products!Q2196</f>
        <v>5640</v>
      </c>
      <c r="K421" s="370">
        <f>Products!S2196</f>
        <v>7900</v>
      </c>
      <c r="L421" s="369">
        <f>Products!U2196</f>
        <v>6020</v>
      </c>
      <c r="M421" s="370">
        <f>Products!W2196</f>
        <v>8420</v>
      </c>
    </row>
    <row r="422" spans="1:13">
      <c r="A422" s="145"/>
      <c r="B422" s="54" t="str">
        <f>Products!B2197</f>
        <v>ПЛАНКИ РЕГУЛЮВАЛЬНІ</v>
      </c>
      <c r="C422" s="55"/>
      <c r="D422" s="519" t="str">
        <f>Products!E2197</f>
        <v>Для Дверних Коробок Verto-FIT, Verto-FIT  Plus</v>
      </c>
      <c r="E422" s="519"/>
      <c r="F422" s="519"/>
      <c r="G422" s="519"/>
      <c r="H422" s="200"/>
      <c r="I422" s="200"/>
      <c r="J422" s="200"/>
      <c r="K422" s="200"/>
      <c r="L422" s="378"/>
      <c r="M422" s="378"/>
    </row>
    <row r="423" spans="1:13">
      <c r="A423" s="31"/>
      <c r="B423" s="13" t="str">
        <f>Products!B2198</f>
        <v>Планка (1 к-т) 80 мм</v>
      </c>
      <c r="C423" s="177"/>
      <c r="D423" s="256">
        <f>Products!E2198</f>
        <v>1060</v>
      </c>
      <c r="E423" s="257">
        <f>Products!G2198</f>
        <v>1380</v>
      </c>
      <c r="F423" s="256">
        <f>Products!I2198</f>
        <v>1230</v>
      </c>
      <c r="G423" s="301">
        <f>Products!K2198</f>
        <v>1610</v>
      </c>
      <c r="H423" s="256">
        <f>Products!M2198</f>
        <v>1290</v>
      </c>
      <c r="I423" s="256">
        <f>Products!O2198</f>
        <v>1690.0000000000002</v>
      </c>
      <c r="J423" s="367">
        <f>Products!Q2198</f>
        <v>1400</v>
      </c>
      <c r="K423" s="368">
        <f>Products!S2198</f>
        <v>1820</v>
      </c>
      <c r="L423" s="367">
        <f>Products!U2198</f>
        <v>1470</v>
      </c>
      <c r="M423" s="368">
        <f>Products!W2198</f>
        <v>1910</v>
      </c>
    </row>
    <row r="424" spans="1:13">
      <c r="A424" s="31"/>
      <c r="B424" s="16" t="str">
        <f>Products!B2199</f>
        <v>Планка (1 к-т) 160 мм</v>
      </c>
      <c r="C424" s="180"/>
      <c r="D424" s="265">
        <f>Products!E2199</f>
        <v>1810.0000000000002</v>
      </c>
      <c r="E424" s="186">
        <f>Products!G2199</f>
        <v>2350</v>
      </c>
      <c r="F424" s="300">
        <f>Products!I2199</f>
        <v>2090</v>
      </c>
      <c r="G424" s="259">
        <f>Products!K2199</f>
        <v>2730</v>
      </c>
      <c r="H424" s="303">
        <f>Products!M2199</f>
        <v>2230</v>
      </c>
      <c r="I424" s="303">
        <f>Products!O2199</f>
        <v>2890</v>
      </c>
      <c r="J424" s="373">
        <f>Products!Q2199</f>
        <v>2360</v>
      </c>
      <c r="K424" s="374">
        <f>Products!S2199</f>
        <v>3090</v>
      </c>
      <c r="L424" s="373">
        <f>Products!U2199</f>
        <v>2560</v>
      </c>
      <c r="M424" s="374">
        <f>Products!W2199</f>
        <v>3310</v>
      </c>
    </row>
    <row r="425" spans="1:13">
      <c r="A425" s="31"/>
      <c r="B425" s="23" t="str">
        <f>Products!B2200</f>
        <v>Планка (1 к-т) 200 мм</v>
      </c>
      <c r="C425" s="285"/>
      <c r="D425" s="260">
        <f>Products!E2200</f>
        <v>2200</v>
      </c>
      <c r="E425" s="261">
        <f>Products!G2200</f>
        <v>2860</v>
      </c>
      <c r="F425" s="260">
        <f>Products!I2200</f>
        <v>2540.0000000000005</v>
      </c>
      <c r="G425" s="302">
        <f>Products!K2200</f>
        <v>3300</v>
      </c>
      <c r="H425" s="260">
        <f>Products!M2200</f>
        <v>2730</v>
      </c>
      <c r="I425" s="260">
        <f>Products!O2200</f>
        <v>3540</v>
      </c>
      <c r="J425" s="369">
        <f>Products!Q2200</f>
        <v>2870.0000000000005</v>
      </c>
      <c r="K425" s="370">
        <f>Products!S2200</f>
        <v>3730</v>
      </c>
      <c r="L425" s="369">
        <f>Products!U2200</f>
        <v>3120</v>
      </c>
      <c r="M425" s="370">
        <f>Products!W2200</f>
        <v>4060</v>
      </c>
    </row>
    <row r="426" spans="1:13">
      <c r="C426" s="34"/>
      <c r="D426" s="232"/>
      <c r="E426" s="232"/>
      <c r="F426" s="233"/>
      <c r="G426" s="233"/>
      <c r="H426" s="234"/>
      <c r="I426" s="234"/>
      <c r="J426" s="379"/>
      <c r="K426" s="379"/>
      <c r="L426" s="380"/>
      <c r="M426" s="380"/>
    </row>
    <row r="427" spans="1:13">
      <c r="B427" s="226"/>
      <c r="C427" s="231" t="str">
        <f>Products!B2204</f>
        <v>третя завіса</v>
      </c>
      <c r="D427" s="195">
        <f>Products!E2204</f>
        <v>80</v>
      </c>
      <c r="E427" s="34"/>
      <c r="H427" s="145"/>
      <c r="I427" s="145"/>
      <c r="J427" s="375"/>
      <c r="K427" s="375"/>
      <c r="L427" s="353"/>
      <c r="M427" s="353"/>
    </row>
    <row r="428" spans="1:13" s="31" customFormat="1">
      <c r="A428" s="33"/>
      <c r="B428" s="33"/>
      <c r="C428" s="34"/>
      <c r="D428" s="34"/>
      <c r="E428" s="34"/>
      <c r="F428" s="33"/>
      <c r="G428" s="33"/>
      <c r="H428" s="145"/>
      <c r="I428" s="145"/>
      <c r="J428" s="375"/>
      <c r="K428" s="375"/>
      <c r="L428" s="353"/>
      <c r="M428" s="353"/>
    </row>
    <row r="429" spans="1:13">
      <c r="A429" s="31"/>
      <c r="B429" s="517" t="str">
        <f>TITLE!$C$43</f>
        <v>Дверна коробка Verto-FIT Plus</v>
      </c>
      <c r="C429" s="518"/>
      <c r="D429" s="518"/>
      <c r="E429" s="518"/>
      <c r="F429" s="295" t="str">
        <f>Products!E2255</f>
        <v>Для Дверних Полотен с Фальцем</v>
      </c>
      <c r="G429" s="170"/>
      <c r="H429" s="170"/>
      <c r="I429" s="170"/>
      <c r="J429" s="343"/>
      <c r="K429" s="343"/>
      <c r="L429" s="355"/>
      <c r="M429" s="356"/>
    </row>
    <row r="430" spans="1:13" ht="27" customHeight="1">
      <c r="A430" s="31"/>
      <c r="B430" s="497" t="str">
        <f>Products!B2257</f>
        <v>модель</v>
      </c>
      <c r="C430" s="156" t="str">
        <f>Products!C2257</f>
        <v>покриття:</v>
      </c>
      <c r="D430" s="473" t="str">
        <f>Products!D2257</f>
        <v>SIMPLEX / VERTO-CELL</v>
      </c>
      <c r="E430" s="459"/>
      <c r="F430" s="473" t="str">
        <f>Products!H2257</f>
        <v>UNI-MAT</v>
      </c>
      <c r="G430" s="459"/>
      <c r="H430" s="473" t="str">
        <f>Products!L2257</f>
        <v>RESIST</v>
      </c>
      <c r="I430" s="459"/>
      <c r="J430" s="473" t="str">
        <f>Products!P2257</f>
        <v>Verto LINE-3D</v>
      </c>
      <c r="K430" s="459"/>
      <c r="L430" s="473" t="str">
        <f>Products!T2257</f>
        <v>ЕКО Шпон / LOFT</v>
      </c>
      <c r="M430" s="459"/>
    </row>
    <row r="431" spans="1:13">
      <c r="A431" s="31"/>
      <c r="B431" s="498"/>
      <c r="C431" s="158" t="str">
        <f>Products!C2258</f>
        <v>виконання:</v>
      </c>
      <c r="D431" s="255" t="str">
        <f>Products!D2258</f>
        <v>одностулкове</v>
      </c>
      <c r="E431" s="263" t="str">
        <f>Products!F2258</f>
        <v>двостулкові</v>
      </c>
      <c r="F431" s="255" t="str">
        <f>Products!H2258</f>
        <v>одностулкове</v>
      </c>
      <c r="G431" s="263" t="str">
        <f>Products!J2258</f>
        <v>двостулкові</v>
      </c>
      <c r="H431" s="255" t="str">
        <f>Products!L2258</f>
        <v>одностулкове</v>
      </c>
      <c r="I431" s="255" t="str">
        <f>Products!N2258</f>
        <v>двостулкові</v>
      </c>
      <c r="J431" s="255" t="str">
        <f>Products!P2258</f>
        <v>одностулкове</v>
      </c>
      <c r="K431" s="263" t="str">
        <f>Products!R2258</f>
        <v>двостулкові</v>
      </c>
      <c r="L431" s="255" t="str">
        <f>Products!T2258</f>
        <v>одностулкове</v>
      </c>
      <c r="M431" s="263" t="str">
        <f>Products!V2258</f>
        <v>двостулкові</v>
      </c>
    </row>
    <row r="432" spans="1:13">
      <c r="A432" s="31"/>
      <c r="B432" s="13" t="str">
        <f>Products!B2259</f>
        <v>A (75 - 95 мм)</v>
      </c>
      <c r="C432" s="179"/>
      <c r="D432" s="256">
        <f>Products!E2259</f>
        <v>3320.0000000000005</v>
      </c>
      <c r="E432" s="257">
        <f>Products!G2259</f>
        <v>4660</v>
      </c>
      <c r="F432" s="256">
        <f>Products!I2259</f>
        <v>3820</v>
      </c>
      <c r="G432" s="257">
        <f>Products!K2259</f>
        <v>5350.0000000000009</v>
      </c>
      <c r="H432" s="256">
        <f>Products!M2259</f>
        <v>4060</v>
      </c>
      <c r="I432" s="256">
        <f>Products!O2259</f>
        <v>5690</v>
      </c>
      <c r="J432" s="367">
        <f>Products!Q2259</f>
        <v>4340</v>
      </c>
      <c r="K432" s="368">
        <f>Products!S2259</f>
        <v>6080</v>
      </c>
      <c r="L432" s="367">
        <f>Products!U2259</f>
        <v>4660</v>
      </c>
      <c r="M432" s="368">
        <f>Products!W2259</f>
        <v>6520.0000000000009</v>
      </c>
    </row>
    <row r="433" spans="1:13">
      <c r="A433" s="31"/>
      <c r="B433" s="16" t="str">
        <f>Products!B2260</f>
        <v>B (95 - 115 мм)</v>
      </c>
      <c r="C433" s="180"/>
      <c r="D433" s="258">
        <f>Products!E2260</f>
        <v>3500.0000000000005</v>
      </c>
      <c r="E433" s="259">
        <f>Products!G2260</f>
        <v>4900</v>
      </c>
      <c r="F433" s="258">
        <f>Products!I2260</f>
        <v>4040</v>
      </c>
      <c r="G433" s="259">
        <f>Products!K2260</f>
        <v>5650.0000000000009</v>
      </c>
      <c r="H433" s="258">
        <f>Products!M2260</f>
        <v>4270</v>
      </c>
      <c r="I433" s="258">
        <f>Products!O2260</f>
        <v>5980.0000000000009</v>
      </c>
      <c r="J433" s="376">
        <f>Products!Q2260</f>
        <v>4580</v>
      </c>
      <c r="K433" s="377">
        <f>Products!S2260</f>
        <v>6410</v>
      </c>
      <c r="L433" s="376">
        <f>Products!U2260</f>
        <v>4890</v>
      </c>
      <c r="M433" s="377">
        <f>Products!W2260</f>
        <v>6850.0000000000009</v>
      </c>
    </row>
    <row r="434" spans="1:13">
      <c r="A434" s="31"/>
      <c r="B434" s="16" t="str">
        <f>Products!B2261</f>
        <v>B+ (100 - 120 мм)</v>
      </c>
      <c r="C434" s="180"/>
      <c r="D434" s="258">
        <f>Products!E2261</f>
        <v>3600</v>
      </c>
      <c r="E434" s="259">
        <f>Products!G2261</f>
        <v>5050.0000000000009</v>
      </c>
      <c r="F434" s="258">
        <f>Products!I2261</f>
        <v>4150</v>
      </c>
      <c r="G434" s="259">
        <f>Products!K2261</f>
        <v>5810</v>
      </c>
      <c r="H434" s="258">
        <f>Products!M2261</f>
        <v>4390</v>
      </c>
      <c r="I434" s="258">
        <f>Products!O2261</f>
        <v>6140</v>
      </c>
      <c r="J434" s="376">
        <f>Products!Q2261</f>
        <v>4680</v>
      </c>
      <c r="K434" s="377">
        <f>Products!S2261</f>
        <v>6540</v>
      </c>
      <c r="L434" s="376">
        <f>Products!U2261</f>
        <v>5020.0000000000009</v>
      </c>
      <c r="M434" s="377">
        <f>Products!W2261</f>
        <v>7030.0000000000009</v>
      </c>
    </row>
    <row r="435" spans="1:13">
      <c r="A435" s="31"/>
      <c r="B435" s="16" t="str">
        <f>Products!B2262</f>
        <v>C (120 - 140 мм)</v>
      </c>
      <c r="C435" s="180"/>
      <c r="D435" s="258">
        <f>Products!E2262</f>
        <v>3690</v>
      </c>
      <c r="E435" s="259">
        <f>Products!G2262</f>
        <v>5150</v>
      </c>
      <c r="F435" s="258">
        <f>Products!I2262</f>
        <v>4240</v>
      </c>
      <c r="G435" s="259">
        <f>Products!K2262</f>
        <v>5940</v>
      </c>
      <c r="H435" s="258">
        <f>Products!M2262</f>
        <v>4490</v>
      </c>
      <c r="I435" s="258">
        <f>Products!O2262</f>
        <v>6290</v>
      </c>
      <c r="J435" s="376">
        <f>Products!Q2262</f>
        <v>4800</v>
      </c>
      <c r="K435" s="377">
        <f>Products!S2262</f>
        <v>6720</v>
      </c>
      <c r="L435" s="376">
        <f>Products!U2262</f>
        <v>5150</v>
      </c>
      <c r="M435" s="377">
        <f>Products!W2262</f>
        <v>7210.0000000000009</v>
      </c>
    </row>
    <row r="436" spans="1:13">
      <c r="A436" s="31"/>
      <c r="B436" s="16" t="str">
        <f>Products!B2263</f>
        <v>D (140 - 160 мм)</v>
      </c>
      <c r="C436" s="180"/>
      <c r="D436" s="258">
        <f>Products!E2263</f>
        <v>3890</v>
      </c>
      <c r="E436" s="259">
        <f>Products!G2263</f>
        <v>5450</v>
      </c>
      <c r="F436" s="258">
        <f>Products!I2263</f>
        <v>4480</v>
      </c>
      <c r="G436" s="259">
        <f>Products!K2263</f>
        <v>6260</v>
      </c>
      <c r="H436" s="258">
        <f>Products!M2263</f>
        <v>4690</v>
      </c>
      <c r="I436" s="258">
        <f>Products!O2263</f>
        <v>6670.0000000000009</v>
      </c>
      <c r="J436" s="376">
        <f>Products!Q2263</f>
        <v>5020.0000000000009</v>
      </c>
      <c r="K436" s="377">
        <f>Products!S2263</f>
        <v>7030.0000000000009</v>
      </c>
      <c r="L436" s="376">
        <f>Products!U2263</f>
        <v>5400</v>
      </c>
      <c r="M436" s="377">
        <f>Products!W2263</f>
        <v>7560</v>
      </c>
    </row>
    <row r="437" spans="1:13">
      <c r="A437" s="31"/>
      <c r="B437" s="16" t="str">
        <f>Products!B2264</f>
        <v>E (160 - 180 мм)</v>
      </c>
      <c r="C437" s="180"/>
      <c r="D437" s="258">
        <f>Products!E2264</f>
        <v>4060</v>
      </c>
      <c r="E437" s="259">
        <f>Products!G2264</f>
        <v>5670</v>
      </c>
      <c r="F437" s="258">
        <f>Products!I2264</f>
        <v>4670</v>
      </c>
      <c r="G437" s="259">
        <f>Products!K2264</f>
        <v>6530</v>
      </c>
      <c r="H437" s="258">
        <f>Products!M2264</f>
        <v>4900</v>
      </c>
      <c r="I437" s="258">
        <f>Products!O2264</f>
        <v>6870</v>
      </c>
      <c r="J437" s="376">
        <f>Products!Q2264</f>
        <v>5240</v>
      </c>
      <c r="K437" s="377">
        <f>Products!S2264</f>
        <v>7330.0000000000009</v>
      </c>
      <c r="L437" s="376">
        <f>Products!U2264</f>
        <v>5660</v>
      </c>
      <c r="M437" s="377">
        <f>Products!W2264</f>
        <v>7921</v>
      </c>
    </row>
    <row r="438" spans="1:13">
      <c r="A438" s="31"/>
      <c r="B438" s="16" t="str">
        <f>Products!B2265</f>
        <v>F (180 - 200 мм)</v>
      </c>
      <c r="C438" s="180"/>
      <c r="D438" s="258">
        <f>Products!E2265</f>
        <v>4260</v>
      </c>
      <c r="E438" s="259">
        <f>Products!G2265</f>
        <v>5950.0000000000009</v>
      </c>
      <c r="F438" s="258">
        <f>Products!I2265</f>
        <v>4890</v>
      </c>
      <c r="G438" s="259">
        <f>Products!K2265</f>
        <v>6840</v>
      </c>
      <c r="H438" s="258">
        <f>Products!M2265</f>
        <v>5130</v>
      </c>
      <c r="I438" s="258">
        <f>Products!O2265</f>
        <v>7190</v>
      </c>
      <c r="J438" s="376">
        <f>Products!Q2265</f>
        <v>5480</v>
      </c>
      <c r="K438" s="377">
        <f>Products!S2265</f>
        <v>7670</v>
      </c>
      <c r="L438" s="376">
        <f>Products!U2265</f>
        <v>5910</v>
      </c>
      <c r="M438" s="377">
        <f>Products!W2265</f>
        <v>8270</v>
      </c>
    </row>
    <row r="439" spans="1:13">
      <c r="A439" s="31"/>
      <c r="B439" s="16" t="str">
        <f>Products!B2266</f>
        <v>G (200 - 220 мм)</v>
      </c>
      <c r="C439" s="180"/>
      <c r="D439" s="258">
        <f>Products!E2266</f>
        <v>4430</v>
      </c>
      <c r="E439" s="259">
        <f>Products!G2266</f>
        <v>6200</v>
      </c>
      <c r="F439" s="258">
        <f>Products!I2266</f>
        <v>5100</v>
      </c>
      <c r="G439" s="259">
        <f>Products!K2266</f>
        <v>7130</v>
      </c>
      <c r="H439" s="258">
        <f>Products!M2266</f>
        <v>5340</v>
      </c>
      <c r="I439" s="258">
        <f>Products!O2266</f>
        <v>7470</v>
      </c>
      <c r="J439" s="376">
        <f>Products!Q2266</f>
        <v>5710.0000000000009</v>
      </c>
      <c r="K439" s="377">
        <f>Products!S2266</f>
        <v>7990</v>
      </c>
      <c r="L439" s="376">
        <f>Products!U2266</f>
        <v>6170</v>
      </c>
      <c r="M439" s="377">
        <f>Products!W2266</f>
        <v>8630</v>
      </c>
    </row>
    <row r="440" spans="1:13">
      <c r="A440" s="31"/>
      <c r="B440" s="16" t="str">
        <f>Products!B2267</f>
        <v>H (220 - 240 мм)</v>
      </c>
      <c r="C440" s="180"/>
      <c r="D440" s="258">
        <f>Products!E2267</f>
        <v>4610</v>
      </c>
      <c r="E440" s="259">
        <f>Products!G2267</f>
        <v>6450</v>
      </c>
      <c r="F440" s="258">
        <f>Products!I2267</f>
        <v>5300</v>
      </c>
      <c r="G440" s="259">
        <f>Products!K2267</f>
        <v>7430</v>
      </c>
      <c r="H440" s="258">
        <f>Products!M2267</f>
        <v>5550</v>
      </c>
      <c r="I440" s="258">
        <f>Products!O2267</f>
        <v>7770</v>
      </c>
      <c r="J440" s="376">
        <f>Products!Q2267</f>
        <v>5920.0000000000009</v>
      </c>
      <c r="K440" s="377">
        <f>Products!S2267</f>
        <v>8290</v>
      </c>
      <c r="L440" s="376">
        <f>Products!U2267</f>
        <v>6420</v>
      </c>
      <c r="M440" s="377">
        <f>Products!W2267</f>
        <v>8980</v>
      </c>
    </row>
    <row r="441" spans="1:13">
      <c r="A441" s="31"/>
      <c r="B441" s="23" t="str">
        <f>Products!B2268</f>
        <v>I (240 - 260 мм)</v>
      </c>
      <c r="C441" s="178"/>
      <c r="D441" s="260">
        <f>Products!E2268</f>
        <v>4800</v>
      </c>
      <c r="E441" s="261">
        <f>Products!G2268</f>
        <v>6730.0000000000009</v>
      </c>
      <c r="F441" s="260">
        <f>Products!I2268</f>
        <v>5530.0000000000009</v>
      </c>
      <c r="G441" s="261">
        <f>Products!K2268</f>
        <v>7740</v>
      </c>
      <c r="H441" s="260">
        <f>Products!M2268</f>
        <v>5750</v>
      </c>
      <c r="I441" s="260">
        <f>Products!O2268</f>
        <v>8060</v>
      </c>
      <c r="J441" s="369">
        <f>Products!Q2268</f>
        <v>6160.0000000000009</v>
      </c>
      <c r="K441" s="370">
        <f>Products!S2268</f>
        <v>8620</v>
      </c>
      <c r="L441" s="369">
        <f>Products!U2268</f>
        <v>6680</v>
      </c>
      <c r="M441" s="370">
        <f>Products!W2268</f>
        <v>9350</v>
      </c>
    </row>
    <row r="442" spans="1:13">
      <c r="C442" s="34"/>
      <c r="D442" s="232"/>
      <c r="E442" s="232"/>
      <c r="F442" s="233"/>
      <c r="G442" s="233"/>
      <c r="H442" s="234"/>
      <c r="I442" s="234"/>
      <c r="J442" s="379"/>
      <c r="K442" s="379"/>
      <c r="L442" s="380"/>
      <c r="M442" s="380"/>
    </row>
    <row r="443" spans="1:13" s="31" customFormat="1">
      <c r="A443" s="33"/>
      <c r="B443" s="226"/>
      <c r="C443" s="231" t="str">
        <f>Products!B2272</f>
        <v>третя завіса</v>
      </c>
      <c r="D443" s="195">
        <f>Products!E2272</f>
        <v>80</v>
      </c>
      <c r="E443" s="34"/>
      <c r="F443" s="33"/>
      <c r="G443" s="33"/>
      <c r="H443" s="145"/>
      <c r="I443" s="145"/>
      <c r="J443" s="375"/>
      <c r="K443" s="375"/>
      <c r="L443" s="353"/>
      <c r="M443" s="353"/>
    </row>
    <row r="444" spans="1:13">
      <c r="C444" s="34"/>
      <c r="D444" s="34"/>
      <c r="E444" s="34"/>
      <c r="H444" s="145"/>
      <c r="I444" s="145"/>
      <c r="J444" s="375"/>
      <c r="K444" s="375"/>
      <c r="L444" s="353"/>
      <c r="M444" s="353"/>
    </row>
    <row r="445" spans="1:13" ht="12.75" customHeight="1">
      <c r="A445" s="31"/>
      <c r="B445" s="517" t="str">
        <f>TITLE!$C$44</f>
        <v>Дверна коробка Verto-FIT Comfort</v>
      </c>
      <c r="C445" s="518"/>
      <c r="D445" s="518"/>
      <c r="E445" s="518"/>
      <c r="F445" s="295" t="str">
        <f>Products!E2323</f>
        <v>Для Дверних Полотен без Фальця</v>
      </c>
      <c r="G445" s="170"/>
      <c r="H445" s="170"/>
      <c r="I445" s="170"/>
      <c r="J445" s="343"/>
      <c r="K445" s="343"/>
      <c r="L445" s="355"/>
      <c r="M445" s="356"/>
    </row>
    <row r="446" spans="1:13" ht="24.75" customHeight="1">
      <c r="A446" s="31"/>
      <c r="B446" s="497" t="str">
        <f>Products!B2325</f>
        <v>модель</v>
      </c>
      <c r="C446" s="156" t="str">
        <f>Products!C2325</f>
        <v>покриття:</v>
      </c>
      <c r="D446" s="473" t="str">
        <f>Products!D2325</f>
        <v xml:space="preserve">SIMPLEX / VERTO-CELL </v>
      </c>
      <c r="E446" s="459"/>
      <c r="F446" s="473" t="str">
        <f>Products!H2325</f>
        <v>UNI-MAT</v>
      </c>
      <c r="G446" s="459"/>
      <c r="H446" s="473" t="str">
        <f>Products!L2325</f>
        <v>RESIST</v>
      </c>
      <c r="I446" s="459"/>
      <c r="J446" s="473" t="str">
        <f>Products!P2325</f>
        <v>Verto LINE-3D</v>
      </c>
      <c r="K446" s="459"/>
      <c r="L446" s="473" t="str">
        <f>Products!T2325</f>
        <v>ЕКО Шпон / LOFT</v>
      </c>
      <c r="M446" s="459"/>
    </row>
    <row r="447" spans="1:13">
      <c r="A447" s="31"/>
      <c r="B447" s="498"/>
      <c r="C447" s="158" t="str">
        <f>Products!C2326</f>
        <v>виконання:</v>
      </c>
      <c r="D447" s="255" t="str">
        <f>Products!D2326</f>
        <v>одностулкове</v>
      </c>
      <c r="E447" s="263"/>
      <c r="F447" s="255" t="str">
        <f>Products!H2326</f>
        <v>одностулкове</v>
      </c>
      <c r="G447" s="263"/>
      <c r="H447" s="255" t="str">
        <f>Products!L2326</f>
        <v>одностулкове</v>
      </c>
      <c r="I447" s="255"/>
      <c r="J447" s="255" t="str">
        <f>Products!P2326</f>
        <v>одностулкове</v>
      </c>
      <c r="K447" s="263"/>
      <c r="L447" s="255" t="str">
        <f>Products!T2326</f>
        <v>одностулкове</v>
      </c>
      <c r="M447" s="263"/>
    </row>
    <row r="448" spans="1:13">
      <c r="A448" s="31"/>
      <c r="B448" s="13" t="str">
        <f>Products!B2327</f>
        <v>A (75 - 95 мм)</v>
      </c>
      <c r="C448" s="179"/>
      <c r="D448" s="256">
        <f>Products!E2327</f>
        <v>3570</v>
      </c>
      <c r="E448" s="257"/>
      <c r="F448" s="256">
        <f>Products!I2327</f>
        <v>4101</v>
      </c>
      <c r="G448" s="257"/>
      <c r="H448" s="256">
        <f>Products!M2327</f>
        <v>4320</v>
      </c>
      <c r="I448" s="256"/>
      <c r="J448" s="367">
        <f>Products!Q2327</f>
        <v>4610</v>
      </c>
      <c r="K448" s="368"/>
      <c r="L448" s="367">
        <f>Products!U2327</f>
        <v>4930.0000000000009</v>
      </c>
      <c r="M448" s="368"/>
    </row>
    <row r="449" spans="1:13">
      <c r="A449" s="31"/>
      <c r="B449" s="16" t="str">
        <f>Products!B2328</f>
        <v>B (95 - 115 мм)</v>
      </c>
      <c r="C449" s="180"/>
      <c r="D449" s="258">
        <f>Products!E2328</f>
        <v>3740</v>
      </c>
      <c r="E449" s="259"/>
      <c r="F449" s="258">
        <f>Products!I2328</f>
        <v>4310</v>
      </c>
      <c r="G449" s="259"/>
      <c r="H449" s="258">
        <f>Products!M2328</f>
        <v>4520</v>
      </c>
      <c r="I449" s="258"/>
      <c r="J449" s="376">
        <f>Products!Q2328</f>
        <v>4840</v>
      </c>
      <c r="K449" s="377"/>
      <c r="L449" s="376">
        <f>Products!U2328</f>
        <v>5170.0000000000009</v>
      </c>
      <c r="M449" s="377"/>
    </row>
    <row r="450" spans="1:13">
      <c r="A450" s="31"/>
      <c r="B450" s="16" t="str">
        <f>Products!B2329</f>
        <v>B+ (115 - 135 мм)</v>
      </c>
      <c r="C450" s="180"/>
      <c r="D450" s="258">
        <f>Products!E2329</f>
        <v>3820</v>
      </c>
      <c r="E450" s="259"/>
      <c r="F450" s="258">
        <f>Products!I2329</f>
        <v>4400</v>
      </c>
      <c r="G450" s="259"/>
      <c r="H450" s="258">
        <f>Products!M2329</f>
        <v>4630</v>
      </c>
      <c r="I450" s="258"/>
      <c r="J450" s="376">
        <f>Products!Q2329</f>
        <v>4950</v>
      </c>
      <c r="K450" s="377"/>
      <c r="L450" s="376">
        <f>Products!U2329</f>
        <v>5280</v>
      </c>
      <c r="M450" s="377"/>
    </row>
    <row r="451" spans="1:13">
      <c r="A451" s="31"/>
      <c r="B451" s="16" t="str">
        <f>Products!B2330</f>
        <v>C (120 - 140 мм)</v>
      </c>
      <c r="C451" s="180"/>
      <c r="D451" s="258">
        <f>Products!E2330</f>
        <v>3910</v>
      </c>
      <c r="E451" s="259"/>
      <c r="F451" s="258">
        <f>Products!I2330</f>
        <v>4500</v>
      </c>
      <c r="G451" s="259"/>
      <c r="H451" s="258">
        <f>Products!M2330</f>
        <v>4710</v>
      </c>
      <c r="I451" s="258"/>
      <c r="J451" s="376">
        <f>Products!Q2330</f>
        <v>5060</v>
      </c>
      <c r="K451" s="377"/>
      <c r="L451" s="376">
        <f>Products!U2330</f>
        <v>5400</v>
      </c>
      <c r="M451" s="377"/>
    </row>
    <row r="452" spans="1:13">
      <c r="A452" s="31"/>
      <c r="B452" s="16" t="str">
        <f>Products!B2331</f>
        <v>D (140 - 160 мм)</v>
      </c>
      <c r="C452" s="180"/>
      <c r="D452" s="258">
        <f>Products!E2331</f>
        <v>4080</v>
      </c>
      <c r="E452" s="259"/>
      <c r="F452" s="258">
        <f>Products!I2331</f>
        <v>4690</v>
      </c>
      <c r="G452" s="259"/>
      <c r="H452" s="258">
        <f>Products!M2331</f>
        <v>4930.0000000000009</v>
      </c>
      <c r="I452" s="258"/>
      <c r="J452" s="376">
        <f>Products!Q2331</f>
        <v>5290.0000000000009</v>
      </c>
      <c r="K452" s="377"/>
      <c r="L452" s="376">
        <f>Products!U2331</f>
        <v>5650.0000000000009</v>
      </c>
      <c r="M452" s="377"/>
    </row>
    <row r="453" spans="1:13">
      <c r="A453" s="31"/>
      <c r="B453" s="16" t="str">
        <f>Products!B2332</f>
        <v>E (160 - 180 мм)</v>
      </c>
      <c r="C453" s="180"/>
      <c r="D453" s="258">
        <f>Products!E2332</f>
        <v>4250</v>
      </c>
      <c r="E453" s="259"/>
      <c r="F453" s="258">
        <f>Products!I2332</f>
        <v>4880</v>
      </c>
      <c r="G453" s="259"/>
      <c r="H453" s="258">
        <f>Products!M2332</f>
        <v>5140.0000000000009</v>
      </c>
      <c r="I453" s="258"/>
      <c r="J453" s="376">
        <f>Products!Q2332</f>
        <v>5520</v>
      </c>
      <c r="K453" s="377"/>
      <c r="L453" s="376">
        <f>Products!U2332</f>
        <v>5890.0000000000009</v>
      </c>
      <c r="M453" s="377"/>
    </row>
    <row r="454" spans="1:13">
      <c r="A454" s="31"/>
      <c r="B454" s="16" t="str">
        <f>Products!B2333</f>
        <v>F (180 - 200 мм)</v>
      </c>
      <c r="C454" s="180"/>
      <c r="D454" s="258">
        <f>Products!E2333</f>
        <v>4420</v>
      </c>
      <c r="E454" s="259"/>
      <c r="F454" s="258">
        <f>Products!I2333</f>
        <v>5090</v>
      </c>
      <c r="G454" s="259"/>
      <c r="H454" s="258">
        <f>Products!M2333</f>
        <v>5350.0000000000009</v>
      </c>
      <c r="I454" s="258"/>
      <c r="J454" s="376">
        <f>Products!Q2333</f>
        <v>5740.0000000000009</v>
      </c>
      <c r="K454" s="377"/>
      <c r="L454" s="376">
        <f>Products!U2333</f>
        <v>6140</v>
      </c>
      <c r="M454" s="377"/>
    </row>
    <row r="455" spans="1:13">
      <c r="A455" s="31"/>
      <c r="B455" s="16" t="str">
        <f>Products!B2334</f>
        <v>G (200 - 220 мм)</v>
      </c>
      <c r="C455" s="180"/>
      <c r="D455" s="258">
        <f>Products!E2334</f>
        <v>4590</v>
      </c>
      <c r="E455" s="259"/>
      <c r="F455" s="258">
        <f>Products!I2334</f>
        <v>5280</v>
      </c>
      <c r="G455" s="259"/>
      <c r="H455" s="258">
        <f>Products!M2334</f>
        <v>5560.0000000000009</v>
      </c>
      <c r="I455" s="258"/>
      <c r="J455" s="376">
        <f>Products!Q2334</f>
        <v>5970</v>
      </c>
      <c r="K455" s="377"/>
      <c r="L455" s="376">
        <f>Products!U2334</f>
        <v>6370.0000000000009</v>
      </c>
      <c r="M455" s="377"/>
    </row>
    <row r="456" spans="1:13">
      <c r="A456" s="31"/>
      <c r="B456" s="16" t="str">
        <f>Products!B2335</f>
        <v>H (220 - 240 мм)</v>
      </c>
      <c r="C456" s="180"/>
      <c r="D456" s="258">
        <f>Products!E2335</f>
        <v>4760</v>
      </c>
      <c r="E456" s="259"/>
      <c r="F456" s="258">
        <f>Products!I2335</f>
        <v>5470.0000000000009</v>
      </c>
      <c r="G456" s="259"/>
      <c r="H456" s="258">
        <f>Products!M2335</f>
        <v>5760</v>
      </c>
      <c r="I456" s="258"/>
      <c r="J456" s="376">
        <f>Products!Q2335</f>
        <v>6190.0000000000009</v>
      </c>
      <c r="K456" s="377"/>
      <c r="L456" s="376">
        <f>Products!U2335</f>
        <v>6600</v>
      </c>
      <c r="M456" s="377"/>
    </row>
    <row r="457" spans="1:13">
      <c r="A457" s="31"/>
      <c r="B457" s="23" t="str">
        <f>Products!B2336</f>
        <v>I (240 - 260 мм)</v>
      </c>
      <c r="C457" s="178"/>
      <c r="D457" s="260">
        <f>Products!E2336</f>
        <v>4930.0000000000009</v>
      </c>
      <c r="E457" s="261"/>
      <c r="F457" s="260">
        <f>Products!I2336</f>
        <v>5660</v>
      </c>
      <c r="G457" s="261"/>
      <c r="H457" s="260">
        <f>Products!M2336</f>
        <v>5990</v>
      </c>
      <c r="I457" s="260"/>
      <c r="J457" s="369">
        <f>Products!Q2336</f>
        <v>6420</v>
      </c>
      <c r="K457" s="370"/>
      <c r="L457" s="369">
        <f>Products!U2336</f>
        <v>6850.0000000000009</v>
      </c>
      <c r="M457" s="370"/>
    </row>
    <row r="458" spans="1:13">
      <c r="A458" s="145"/>
      <c r="B458" s="54" t="str">
        <f>Products!B2337</f>
        <v>ПЛАНКИ РЕГУЛЮВАЛЬНІ</v>
      </c>
      <c r="C458" s="55"/>
      <c r="D458" s="519" t="str">
        <f>Products!E2337</f>
        <v>Для Дверних Коробок Verto-FIT  Comfort</v>
      </c>
      <c r="E458" s="519"/>
      <c r="F458" s="519"/>
      <c r="G458" s="519"/>
      <c r="H458" s="200"/>
      <c r="I458" s="200"/>
      <c r="J458" s="200"/>
      <c r="K458" s="200"/>
      <c r="L458" s="378"/>
      <c r="M458" s="378"/>
    </row>
    <row r="459" spans="1:13">
      <c r="A459" s="31"/>
      <c r="B459" s="13" t="str">
        <f>Products!B2338</f>
        <v>Планка (1 к-т) 80 мм</v>
      </c>
      <c r="C459" s="177"/>
      <c r="D459" s="256">
        <f>Products!E2338</f>
        <v>1190</v>
      </c>
      <c r="E459" s="257"/>
      <c r="F459" s="256">
        <f>Products!I2338</f>
        <v>1310</v>
      </c>
      <c r="G459" s="301"/>
      <c r="H459" s="256">
        <f>Products!M2338</f>
        <v>1390.0000000000002</v>
      </c>
      <c r="I459" s="256"/>
      <c r="J459" s="367">
        <f>Products!Q2338</f>
        <v>1470</v>
      </c>
      <c r="K459" s="368"/>
      <c r="L459" s="367">
        <f>Products!U2338</f>
        <v>1550</v>
      </c>
      <c r="M459" s="368"/>
    </row>
    <row r="460" spans="1:13">
      <c r="A460" s="31"/>
      <c r="B460" s="16" t="str">
        <f>Products!B2339</f>
        <v>Планка (1 к-т) 160 мм</v>
      </c>
      <c r="C460" s="180"/>
      <c r="D460" s="265">
        <f>Products!E2339</f>
        <v>1980</v>
      </c>
      <c r="E460" s="186"/>
      <c r="F460" s="300">
        <f>Products!I2339</f>
        <v>2250</v>
      </c>
      <c r="G460" s="259"/>
      <c r="H460" s="303">
        <f>Products!M2339</f>
        <v>2390</v>
      </c>
      <c r="I460" s="303"/>
      <c r="J460" s="373">
        <f>Products!Q2339</f>
        <v>2540.0000000000005</v>
      </c>
      <c r="K460" s="374"/>
      <c r="L460" s="373">
        <f>Products!U2339</f>
        <v>2690.0000000000005</v>
      </c>
      <c r="M460" s="374"/>
    </row>
    <row r="461" spans="1:13">
      <c r="A461" s="31"/>
      <c r="B461" s="23" t="str">
        <f>Products!B2340</f>
        <v>Планка (1 к-т) 200 мм</v>
      </c>
      <c r="C461" s="285"/>
      <c r="D461" s="260">
        <f>Products!E2340</f>
        <v>2360</v>
      </c>
      <c r="E461" s="261"/>
      <c r="F461" s="260">
        <f>Products!I2340</f>
        <v>2690.0000000000005</v>
      </c>
      <c r="G461" s="302"/>
      <c r="H461" s="260">
        <f>Products!M2340</f>
        <v>2870.0000000000005</v>
      </c>
      <c r="I461" s="260"/>
      <c r="J461" s="369">
        <f>Products!Q2340</f>
        <v>3030</v>
      </c>
      <c r="K461" s="370"/>
      <c r="L461" s="369">
        <f>Products!U2340</f>
        <v>3210</v>
      </c>
      <c r="M461" s="370"/>
    </row>
    <row r="462" spans="1:13">
      <c r="C462" s="34"/>
      <c r="D462" s="232"/>
      <c r="E462" s="232"/>
      <c r="F462" s="233"/>
      <c r="G462" s="233"/>
      <c r="H462" s="234"/>
      <c r="I462" s="234"/>
      <c r="J462" s="379"/>
      <c r="K462" s="379"/>
      <c r="L462" s="380"/>
      <c r="M462" s="380"/>
    </row>
    <row r="463" spans="1:13" s="31" customFormat="1">
      <c r="A463" s="33"/>
      <c r="B463" s="226"/>
      <c r="C463" s="231" t="str">
        <f>Products!B2344</f>
        <v>прихована 3D завіса OTLAV хром/чорн.</v>
      </c>
      <c r="D463" s="195">
        <f>Products!E2344</f>
        <v>890.00000000000011</v>
      </c>
      <c r="E463" s="34"/>
      <c r="F463" s="33"/>
      <c r="G463" s="33"/>
      <c r="H463" s="145"/>
      <c r="I463" s="145"/>
      <c r="J463" s="375"/>
      <c r="K463" s="375"/>
      <c r="L463" s="353"/>
      <c r="M463" s="353"/>
    </row>
    <row r="464" spans="1:13" ht="12.75" customHeight="1">
      <c r="C464" s="34"/>
      <c r="D464" s="34"/>
      <c r="E464" s="34"/>
      <c r="H464" s="145"/>
      <c r="I464" s="145"/>
      <c r="J464" s="375"/>
      <c r="K464" s="375"/>
      <c r="L464" s="353"/>
      <c r="M464" s="353"/>
    </row>
    <row r="465" spans="1:13" s="31" customFormat="1">
      <c r="B465" s="517" t="str">
        <f>Products!B2395</f>
        <v>Плінтуси</v>
      </c>
      <c r="C465" s="518"/>
      <c r="D465" s="518"/>
      <c r="E465" s="518"/>
      <c r="F465" s="170"/>
      <c r="G465" s="170"/>
      <c r="H465" s="170"/>
      <c r="I465" s="170"/>
      <c r="J465" s="343"/>
      <c r="K465" s="343"/>
      <c r="L465" s="355"/>
      <c r="M465" s="356"/>
    </row>
    <row r="466" spans="1:13" s="31" customFormat="1">
      <c r="B466" s="507" t="str">
        <f>Products!B2397</f>
        <v>модель</v>
      </c>
      <c r="C466" s="172" t="str">
        <f>Products!C2397</f>
        <v>покриття:</v>
      </c>
      <c r="D466" s="167" t="str">
        <f>Products!D2397</f>
        <v>SIMPL / V-CELL</v>
      </c>
      <c r="E466" s="167" t="str">
        <f>Products!F2397</f>
        <v>UNI-MAT</v>
      </c>
      <c r="F466" s="167" t="str">
        <f>Products!H2397</f>
        <v>RESIST</v>
      </c>
      <c r="G466" s="167" t="str">
        <f>Products!J2397</f>
        <v>Verto LINE-3D</v>
      </c>
      <c r="H466" s="167" t="str">
        <f>Products!L2397</f>
        <v>ЕКО Шпон / LOFT</v>
      </c>
      <c r="I466" s="47"/>
      <c r="J466" s="340"/>
      <c r="K466" s="520" t="str">
        <f>Products!B2402</f>
        <v>Замовлення на Плінтус приймаються в кількості від 8 шт.</v>
      </c>
      <c r="L466" s="520">
        <f>Products!C2467</f>
        <v>0</v>
      </c>
      <c r="M466" s="520">
        <f>Products!E2467</f>
        <v>1490</v>
      </c>
    </row>
    <row r="467" spans="1:13" s="31" customFormat="1">
      <c r="B467" s="498"/>
      <c r="C467" s="126" t="str">
        <f>Products!C2398</f>
        <v>виконання:</v>
      </c>
      <c r="D467" s="161" t="str">
        <f>Products!D2398</f>
        <v>за 1 шт.</v>
      </c>
      <c r="E467" s="161" t="str">
        <f>Products!F2398</f>
        <v>за 1 шт.</v>
      </c>
      <c r="F467" s="161" t="str">
        <f>Products!H2398</f>
        <v>за 1 шт.</v>
      </c>
      <c r="G467" s="161" t="str">
        <f>Products!J2398</f>
        <v>за 1 шт.</v>
      </c>
      <c r="H467" s="161" t="str">
        <f>Products!L2398</f>
        <v>за 1 шт.</v>
      </c>
      <c r="I467" s="47"/>
      <c r="J467" s="47"/>
      <c r="K467" s="381"/>
      <c r="L467" s="381"/>
      <c r="M467" s="201"/>
    </row>
    <row r="468" spans="1:13" s="31" customFormat="1">
      <c r="B468" s="13" t="str">
        <f>Products!B2399</f>
        <v>Плінтус 60 мм</v>
      </c>
      <c r="C468" s="179"/>
      <c r="D468" s="318">
        <f>Products!E2399</f>
        <v>320</v>
      </c>
      <c r="E468" s="318">
        <f>Products!G2399</f>
        <v>350</v>
      </c>
      <c r="F468" s="318">
        <f>Products!I2399</f>
        <v>410</v>
      </c>
      <c r="G468" s="318">
        <f>Products!K2399</f>
        <v>430.00000000000006</v>
      </c>
      <c r="H468" s="318">
        <f>Products!M2399</f>
        <v>450</v>
      </c>
      <c r="I468" s="29"/>
      <c r="J468" s="29"/>
      <c r="K468" s="29"/>
      <c r="L468" s="381"/>
      <c r="M468" s="201"/>
    </row>
    <row r="469" spans="1:13" s="31" customFormat="1">
      <c r="B469" s="23" t="str">
        <f>Products!B2400</f>
        <v>Плінтус 80 мм</v>
      </c>
      <c r="C469" s="178"/>
      <c r="D469" s="319">
        <f>Products!E2400</f>
        <v>360</v>
      </c>
      <c r="E469" s="319">
        <f>Products!G2400</f>
        <v>430.00000000000006</v>
      </c>
      <c r="F469" s="319">
        <f>Products!I2400</f>
        <v>450</v>
      </c>
      <c r="G469" s="319">
        <f>Products!K2400</f>
        <v>510</v>
      </c>
      <c r="H469" s="319">
        <f>Products!M2400</f>
        <v>570</v>
      </c>
      <c r="I469" s="200"/>
      <c r="J469" s="200"/>
      <c r="K469" s="29"/>
      <c r="L469" s="381"/>
      <c r="M469" s="201"/>
    </row>
    <row r="470" spans="1:13" ht="12.75" customHeight="1">
      <c r="C470" s="34"/>
      <c r="D470" s="34"/>
      <c r="E470" s="34"/>
      <c r="H470" s="145"/>
      <c r="I470" s="145"/>
      <c r="J470" s="375"/>
      <c r="K470" s="375"/>
      <c r="L470" s="353"/>
      <c r="M470" s="353"/>
    </row>
    <row r="471" spans="1:13" ht="12.75" customHeight="1">
      <c r="A471" s="31"/>
      <c r="B471" s="517" t="str">
        <f>TITLE!$C$46</f>
        <v>Фрамуги</v>
      </c>
      <c r="C471" s="518"/>
      <c r="D471" s="518"/>
      <c r="E471" s="518"/>
      <c r="F471" s="170"/>
      <c r="G471" s="170"/>
      <c r="H471" s="170"/>
      <c r="I471" s="170"/>
      <c r="J471" s="343"/>
      <c r="K471" s="343"/>
      <c r="L471" s="355"/>
      <c r="M471" s="356"/>
    </row>
    <row r="472" spans="1:13" s="145" customFormat="1" ht="24.75" customHeight="1">
      <c r="A472" s="31"/>
      <c r="B472" s="507" t="str">
        <f>Products!B2455</f>
        <v>модель</v>
      </c>
      <c r="C472" s="172" t="str">
        <f>Products!C2455</f>
        <v>покриття:</v>
      </c>
      <c r="D472" s="167" t="str">
        <f>Products!D2455</f>
        <v>SIMPL / V-CELL / V-C Plus</v>
      </c>
      <c r="E472" s="167" t="str">
        <f>Products!F2455</f>
        <v>UNI-MAT</v>
      </c>
      <c r="F472" s="167" t="str">
        <f>Products!H2455</f>
        <v>RESIST</v>
      </c>
      <c r="G472" s="167" t="str">
        <f>Products!J2455</f>
        <v>Verto LINE-3D</v>
      </c>
      <c r="H472" s="167" t="str">
        <f>Products!L2455</f>
        <v>ЕКО Шпон / LOFT</v>
      </c>
      <c r="I472" s="47"/>
      <c r="J472" s="47"/>
      <c r="K472" s="382" t="str">
        <f>Products!B2473</f>
        <v>Вид скління:</v>
      </c>
      <c r="L472" s="342" t="str">
        <f>Products!C2473</f>
        <v>Фільонка</v>
      </c>
      <c r="M472" s="358">
        <f>Products!E2473</f>
        <v>1220</v>
      </c>
    </row>
    <row r="473" spans="1:13">
      <c r="A473" s="31"/>
      <c r="B473" s="498"/>
      <c r="C473" s="126" t="str">
        <f>Products!C2456</f>
        <v>виконання:</v>
      </c>
      <c r="D473" s="161" t="str">
        <f>Products!D2456</f>
        <v>за 1 пг.м</v>
      </c>
      <c r="E473" s="161" t="str">
        <f>Products!F2456</f>
        <v>за 1 пг.м</v>
      </c>
      <c r="F473" s="161" t="str">
        <f>Products!H2456</f>
        <v>за 1 пг.м</v>
      </c>
      <c r="G473" s="161" t="str">
        <f>Products!J2456</f>
        <v>за 1 пг.м</v>
      </c>
      <c r="H473" s="161" t="str">
        <f>Products!L2456</f>
        <v>за 1 пг.м</v>
      </c>
      <c r="I473" s="47"/>
      <c r="J473" s="47"/>
      <c r="K473" s="360" t="str">
        <f>Products!B2474</f>
        <v>Ціна за 1 кв.м</v>
      </c>
      <c r="L473" s="342" t="str">
        <f>Products!C2474</f>
        <v>Кризет</v>
      </c>
      <c r="M473" s="349">
        <f>Products!E2474</f>
        <v>910</v>
      </c>
    </row>
    <row r="474" spans="1:13" s="145" customFormat="1">
      <c r="B474" s="54" t="str">
        <f>Products!B2457</f>
        <v>ФРАМУГА STANDART</v>
      </c>
      <c r="C474" s="55"/>
      <c r="D474" s="29"/>
      <c r="E474" s="29"/>
      <c r="F474" s="29"/>
      <c r="G474" s="29"/>
      <c r="H474" s="29"/>
      <c r="I474" s="29"/>
      <c r="J474" s="29"/>
      <c r="K474" s="181"/>
      <c r="L474" s="342" t="str">
        <f>Products!C2475</f>
        <v>Сатин</v>
      </c>
      <c r="M474" s="349">
        <f>Products!E2475</f>
        <v>1120</v>
      </c>
    </row>
    <row r="475" spans="1:13">
      <c r="A475" s="31"/>
      <c r="B475" s="49" t="str">
        <f>Products!B2458</f>
        <v>Фрамуга дерево 80 мм</v>
      </c>
      <c r="C475" s="50"/>
      <c r="D475" s="198">
        <f>Products!E2458</f>
        <v>750</v>
      </c>
      <c r="E475" s="198">
        <f>Products!G2458</f>
        <v>840</v>
      </c>
      <c r="F475" s="198">
        <f>Products!I2458</f>
        <v>880</v>
      </c>
      <c r="G475" s="198">
        <f>Products!K2458</f>
        <v>960</v>
      </c>
      <c r="H475" s="198">
        <f>Products!M2458</f>
        <v>1060</v>
      </c>
      <c r="I475" s="200"/>
      <c r="J475" s="200"/>
      <c r="K475" s="181"/>
      <c r="L475" s="342" t="str">
        <f>Products!C2476</f>
        <v>Жалюзі</v>
      </c>
      <c r="M475" s="349">
        <f>Products!E2476</f>
        <v>910</v>
      </c>
    </row>
    <row r="476" spans="1:13">
      <c r="A476" s="145"/>
      <c r="B476" s="54" t="str">
        <f>Products!B2459</f>
        <v>ФРАМУГА VERTO-FIT</v>
      </c>
      <c r="C476" s="55"/>
      <c r="D476" s="199"/>
      <c r="E476" s="199"/>
      <c r="F476" s="199"/>
      <c r="G476" s="199"/>
      <c r="H476" s="199"/>
      <c r="I476" s="200"/>
      <c r="J476" s="200"/>
      <c r="K476" s="181"/>
      <c r="L476" s="342" t="str">
        <f>Products!C2477</f>
        <v>Графіт</v>
      </c>
      <c r="M476" s="349">
        <f>Products!E2477</f>
        <v>1530</v>
      </c>
    </row>
    <row r="477" spans="1:13">
      <c r="A477" s="31"/>
      <c r="B477" s="13" t="str">
        <f>Products!B2460</f>
        <v>A (75 - 95 мм)</v>
      </c>
      <c r="C477" s="179"/>
      <c r="D477" s="184">
        <f>Products!E2460</f>
        <v>980</v>
      </c>
      <c r="E477" s="184">
        <f>Products!G2460</f>
        <v>1130</v>
      </c>
      <c r="F477" s="184">
        <f>Products!I2460</f>
        <v>1190</v>
      </c>
      <c r="G477" s="184">
        <f>Products!K2460</f>
        <v>1260</v>
      </c>
      <c r="H477" s="184">
        <f>Products!M2460</f>
        <v>1350</v>
      </c>
      <c r="I477" s="201"/>
      <c r="J477" s="201"/>
      <c r="K477" s="181"/>
      <c r="L477" s="342" t="str">
        <f>Products!C2478</f>
        <v>Бронза</v>
      </c>
      <c r="M477" s="349">
        <f>Products!E2478</f>
        <v>1530</v>
      </c>
    </row>
    <row r="478" spans="1:13">
      <c r="A478" s="31"/>
      <c r="B478" s="16" t="str">
        <f>Products!B2461</f>
        <v>B (95 - 115 мм)</v>
      </c>
      <c r="C478" s="180"/>
      <c r="D478" s="186">
        <f>Products!E2461</f>
        <v>1060</v>
      </c>
      <c r="E478" s="186">
        <f>Products!G2461</f>
        <v>1220</v>
      </c>
      <c r="F478" s="186">
        <f>Products!I2461</f>
        <v>1310</v>
      </c>
      <c r="G478" s="186">
        <f>Products!K2461</f>
        <v>1370</v>
      </c>
      <c r="H478" s="186">
        <f>Products!M2461</f>
        <v>1480.0000000000002</v>
      </c>
      <c r="I478" s="201"/>
      <c r="J478" s="201"/>
      <c r="K478" s="181"/>
      <c r="L478" s="342" t="str">
        <f>Products!C2479</f>
        <v>Малюнок</v>
      </c>
      <c r="M478" s="349">
        <f>Products!E2479</f>
        <v>1360.0000000000002</v>
      </c>
    </row>
    <row r="479" spans="1:13">
      <c r="A479" s="31"/>
      <c r="B479" s="16" t="str">
        <f>Products!B2462</f>
        <v>B+ (100 - 120 мм)</v>
      </c>
      <c r="C479" s="180"/>
      <c r="D479" s="186">
        <f>Products!E2462</f>
        <v>1100</v>
      </c>
      <c r="E479" s="186">
        <f>Products!G2462</f>
        <v>1270.0000000000002</v>
      </c>
      <c r="F479" s="186">
        <f>Products!I2462</f>
        <v>1360.0000000000002</v>
      </c>
      <c r="G479" s="186">
        <f>Products!K2462</f>
        <v>1430</v>
      </c>
      <c r="H479" s="186">
        <f>Products!M2462</f>
        <v>1550</v>
      </c>
      <c r="I479" s="201"/>
      <c r="J479" s="201"/>
      <c r="K479" s="181"/>
      <c r="L479" s="342" t="str">
        <f>Products!C2480</f>
        <v>Дзеркало</v>
      </c>
      <c r="M479" s="354">
        <f>Products!E2480</f>
        <v>1640</v>
      </c>
    </row>
    <row r="480" spans="1:13">
      <c r="A480" s="31"/>
      <c r="B480" s="16" t="str">
        <f>Products!B2463</f>
        <v>C (120 - 140 мм)</v>
      </c>
      <c r="C480" s="180"/>
      <c r="D480" s="186">
        <f>Products!E2463</f>
        <v>1150</v>
      </c>
      <c r="E480" s="186">
        <f>Products!G2463</f>
        <v>1320</v>
      </c>
      <c r="F480" s="186">
        <f>Products!I2463</f>
        <v>1410</v>
      </c>
      <c r="G480" s="186">
        <f>Products!K2463</f>
        <v>1490</v>
      </c>
      <c r="H480" s="186">
        <f>Products!M2463</f>
        <v>1590</v>
      </c>
      <c r="I480" s="201"/>
      <c r="J480" s="201"/>
      <c r="K480" s="29"/>
      <c r="L480" s="381"/>
      <c r="M480" s="201"/>
    </row>
    <row r="481" spans="1:13">
      <c r="A481" s="31"/>
      <c r="B481" s="16" t="str">
        <f>Products!B2464</f>
        <v>D (140 - 160 мм)</v>
      </c>
      <c r="C481" s="180"/>
      <c r="D481" s="186">
        <f>Products!E2464</f>
        <v>1230</v>
      </c>
      <c r="E481" s="186">
        <f>Products!G2464</f>
        <v>1410</v>
      </c>
      <c r="F481" s="186">
        <f>Products!I2464</f>
        <v>1530</v>
      </c>
      <c r="G481" s="186">
        <f>Products!K2464</f>
        <v>1610</v>
      </c>
      <c r="H481" s="186">
        <f>Products!M2464</f>
        <v>1730</v>
      </c>
      <c r="I481" s="201"/>
      <c r="J481" s="201"/>
      <c r="K481" s="353"/>
      <c r="L481" s="353"/>
      <c r="M481" s="353"/>
    </row>
    <row r="482" spans="1:13">
      <c r="A482" s="31"/>
      <c r="B482" s="16" t="str">
        <f>Products!B2465</f>
        <v>E (160 - 180 мм)</v>
      </c>
      <c r="C482" s="180"/>
      <c r="D482" s="186">
        <f>Products!E2465</f>
        <v>1320</v>
      </c>
      <c r="E482" s="186">
        <f>Products!G2465</f>
        <v>1530</v>
      </c>
      <c r="F482" s="186">
        <f>Products!I2465</f>
        <v>1650</v>
      </c>
      <c r="G482" s="186">
        <f>Products!K2465</f>
        <v>1720.0000000000002</v>
      </c>
      <c r="H482" s="186">
        <f>Products!M2465</f>
        <v>1850</v>
      </c>
      <c r="I482" s="201"/>
      <c r="J482" s="201"/>
      <c r="K482" s="29"/>
      <c r="L482" s="364"/>
      <c r="M482" s="364"/>
    </row>
    <row r="483" spans="1:13">
      <c r="A483" s="31"/>
      <c r="B483" s="16" t="str">
        <f>Products!B2466</f>
        <v>F (180 - 200 мм)</v>
      </c>
      <c r="C483" s="180"/>
      <c r="D483" s="186">
        <f>Products!E2466</f>
        <v>1400</v>
      </c>
      <c r="E483" s="186">
        <f>Products!G2466</f>
        <v>1630.0000000000002</v>
      </c>
      <c r="F483" s="186">
        <f>Products!I2466</f>
        <v>1750.0000000000002</v>
      </c>
      <c r="G483" s="186">
        <f>Products!K2466</f>
        <v>1830</v>
      </c>
      <c r="H483" s="186">
        <f>Products!M2466</f>
        <v>1980</v>
      </c>
      <c r="I483" s="201"/>
      <c r="J483" s="201"/>
      <c r="K483" s="29"/>
      <c r="L483" s="364"/>
      <c r="M483" s="364"/>
    </row>
    <row r="484" spans="1:13">
      <c r="A484" s="31"/>
      <c r="B484" s="16" t="str">
        <f>Products!B2467</f>
        <v>G (200 - 220 мм)</v>
      </c>
      <c r="C484" s="180"/>
      <c r="D484" s="186">
        <f>Products!E2467</f>
        <v>1490</v>
      </c>
      <c r="E484" s="186">
        <f>Products!G2467</f>
        <v>1720.0000000000002</v>
      </c>
      <c r="F484" s="186">
        <f>Products!I2467</f>
        <v>1880</v>
      </c>
      <c r="G484" s="186">
        <f>Products!K2467</f>
        <v>1940</v>
      </c>
      <c r="H484" s="186">
        <f>Products!M2467</f>
        <v>2100</v>
      </c>
      <c r="I484" s="201"/>
      <c r="J484" s="201"/>
      <c r="K484" s="353"/>
      <c r="L484" s="364"/>
      <c r="M484" s="364"/>
    </row>
    <row r="485" spans="1:13">
      <c r="A485" s="31"/>
      <c r="B485" s="16" t="str">
        <f>Products!B2468</f>
        <v>H (220 - 240 мм)</v>
      </c>
      <c r="C485" s="180"/>
      <c r="D485" s="186">
        <f>Products!E2468</f>
        <v>1570.0000000000002</v>
      </c>
      <c r="E485" s="186">
        <f>Products!G2468</f>
        <v>1810.0000000000002</v>
      </c>
      <c r="F485" s="186">
        <f>Products!I2468</f>
        <v>1980</v>
      </c>
      <c r="G485" s="186">
        <f>Products!K2468</f>
        <v>2060</v>
      </c>
      <c r="H485" s="186">
        <f>Products!M2468</f>
        <v>2240</v>
      </c>
      <c r="I485" s="201"/>
      <c r="J485" s="201"/>
      <c r="K485" s="353"/>
      <c r="L485" s="364"/>
      <c r="M485" s="364"/>
    </row>
    <row r="486" spans="1:13" s="31" customFormat="1">
      <c r="B486" s="23" t="str">
        <f>Products!B2469</f>
        <v>I (240 - 260 мм)</v>
      </c>
      <c r="C486" s="178"/>
      <c r="D486" s="188">
        <f>Products!E2469</f>
        <v>1660.0000000000002</v>
      </c>
      <c r="E486" s="188">
        <f>Products!G2469</f>
        <v>1910</v>
      </c>
      <c r="F486" s="188">
        <f>Products!I2469</f>
        <v>2090</v>
      </c>
      <c r="G486" s="188">
        <f>Products!K2469</f>
        <v>2170</v>
      </c>
      <c r="H486" s="188">
        <f>Products!M2469</f>
        <v>2361</v>
      </c>
      <c r="I486" s="201"/>
      <c r="J486" s="201"/>
      <c r="K486" s="29"/>
      <c r="L486" s="364"/>
      <c r="M486" s="364"/>
    </row>
    <row r="487" spans="1:13" s="31" customFormat="1">
      <c r="B487" s="175"/>
      <c r="C487" s="315"/>
      <c r="D487" s="199"/>
      <c r="E487" s="199"/>
      <c r="F487" s="199"/>
      <c r="G487" s="199"/>
      <c r="H487" s="201"/>
      <c r="I487" s="201"/>
      <c r="J487" s="201"/>
      <c r="K487" s="29"/>
      <c r="L487" s="364"/>
      <c r="M487" s="364"/>
    </row>
    <row r="488" spans="1:13">
      <c r="A488" s="31"/>
      <c r="B488" s="517" t="str">
        <f>Products!B2531</f>
        <v>Дверні Ручки</v>
      </c>
      <c r="C488" s="518"/>
      <c r="D488" s="518"/>
      <c r="E488" s="518"/>
      <c r="F488" s="170"/>
      <c r="G488" s="170"/>
      <c r="H488" s="170"/>
      <c r="I488" s="170"/>
      <c r="J488" s="343"/>
      <c r="K488" s="343"/>
      <c r="L488" s="355"/>
      <c r="M488" s="356"/>
    </row>
    <row r="489" spans="1:13">
      <c r="A489" s="31"/>
      <c r="B489" s="61" t="str">
        <f>Products!B2533</f>
        <v>модель</v>
      </c>
      <c r="C489" s="12"/>
      <c r="D489" s="12" t="str">
        <f>Products!D2533</f>
        <v>див. каталог</v>
      </c>
      <c r="E489" s="59"/>
      <c r="F489" s="59"/>
      <c r="G489" s="47"/>
      <c r="H489" s="47"/>
      <c r="I489" s="47"/>
      <c r="J489" s="47"/>
      <c r="K489" s="47"/>
      <c r="L489" s="353"/>
      <c r="M489" s="353"/>
    </row>
    <row r="490" spans="1:13">
      <c r="A490" s="31"/>
      <c r="B490" s="13" t="str">
        <f>Products!B2534</f>
        <v>Ручка VERONA</v>
      </c>
      <c r="C490" s="98"/>
      <c r="D490" s="184">
        <f>Products!E2534</f>
        <v>3200.0000000000005</v>
      </c>
      <c r="E490" s="59"/>
      <c r="F490" s="59"/>
      <c r="G490" s="201"/>
      <c r="H490" s="59"/>
      <c r="I490" s="59"/>
      <c r="J490" s="59"/>
      <c r="K490" s="29"/>
      <c r="L490" s="364"/>
      <c r="M490" s="365"/>
    </row>
    <row r="491" spans="1:13">
      <c r="A491" s="31"/>
      <c r="B491" s="16" t="str">
        <f>Products!B2535</f>
        <v>Ручка MILANO</v>
      </c>
      <c r="C491" s="63"/>
      <c r="D491" s="186">
        <f>Products!E2535</f>
        <v>3200.0000000000005</v>
      </c>
      <c r="E491" s="59"/>
      <c r="F491" s="59"/>
      <c r="G491" s="201"/>
      <c r="H491" s="59"/>
      <c r="I491" s="59"/>
      <c r="J491" s="59"/>
      <c r="K491" s="29"/>
      <c r="L491" s="364"/>
      <c r="M491" s="364"/>
    </row>
    <row r="492" spans="1:13">
      <c r="A492" s="31"/>
      <c r="B492" s="16" t="str">
        <f>Products!B2536</f>
        <v>Ручка HANDY</v>
      </c>
      <c r="C492" s="63"/>
      <c r="D492" s="186">
        <f>Products!E2536</f>
        <v>1560</v>
      </c>
      <c r="E492" s="59"/>
      <c r="F492" s="59"/>
      <c r="G492" s="201"/>
      <c r="H492" s="59"/>
      <c r="I492" s="59"/>
      <c r="J492" s="59"/>
      <c r="K492" s="29"/>
      <c r="L492" s="364"/>
      <c r="M492" s="364"/>
    </row>
    <row r="493" spans="1:13">
      <c r="A493" s="31"/>
      <c r="B493" s="16" t="str">
        <f>Products!B2537</f>
        <v>Ручка PRIUS</v>
      </c>
      <c r="C493" s="63"/>
      <c r="D493" s="186">
        <f>Products!E2537</f>
        <v>1560</v>
      </c>
      <c r="E493" s="59"/>
      <c r="F493" s="59"/>
      <c r="G493" s="201"/>
      <c r="H493" s="59"/>
      <c r="I493" s="59"/>
      <c r="J493" s="59"/>
      <c r="K493" s="29"/>
      <c r="L493" s="364"/>
      <c r="M493" s="364"/>
    </row>
    <row r="494" spans="1:13" s="31" customFormat="1">
      <c r="B494" s="23" t="str">
        <f>Products!B2538</f>
        <v>Ручка OFFICE</v>
      </c>
      <c r="C494" s="67"/>
      <c r="D494" s="188">
        <f>Products!E2538</f>
        <v>750</v>
      </c>
      <c r="E494" s="59"/>
      <c r="F494" s="59"/>
      <c r="G494" s="201"/>
      <c r="H494" s="59"/>
      <c r="I494" s="59"/>
      <c r="J494" s="59"/>
      <c r="K494" s="29"/>
      <c r="L494" s="364"/>
      <c r="M494" s="364"/>
    </row>
    <row r="495" spans="1:13">
      <c r="C495" s="34"/>
      <c r="D495" s="34"/>
      <c r="E495" s="59"/>
      <c r="F495" s="59"/>
      <c r="J495" s="353"/>
      <c r="K495" s="353"/>
      <c r="L495" s="353"/>
      <c r="M495" s="353"/>
    </row>
    <row r="496" spans="1:13">
      <c r="A496" s="31"/>
      <c r="B496" s="517" t="str">
        <f>TITLE!$C$50</f>
        <v>Інші Аксесуари</v>
      </c>
      <c r="C496" s="518"/>
      <c r="D496" s="518"/>
      <c r="E496" s="518"/>
      <c r="F496" s="170"/>
      <c r="G496" s="170"/>
      <c r="H496" s="170"/>
      <c r="I496" s="170"/>
      <c r="J496" s="343"/>
      <c r="K496" s="343"/>
      <c r="L496" s="355"/>
      <c r="M496" s="356"/>
    </row>
    <row r="497" spans="1:13">
      <c r="A497" s="31"/>
      <c r="B497" s="61" t="str">
        <f>Products!B2591</f>
        <v>модель</v>
      </c>
      <c r="C497" s="12"/>
      <c r="D497" s="12" t="str">
        <f>Products!D2591</f>
        <v>Ціна</v>
      </c>
      <c r="E497" s="47"/>
      <c r="F497" s="47"/>
      <c r="G497" s="47"/>
      <c r="H497" s="47"/>
      <c r="I497" s="47"/>
      <c r="J497" s="47"/>
      <c r="K497" s="47"/>
      <c r="L497" s="353"/>
      <c r="M497" s="353"/>
    </row>
    <row r="498" spans="1:13">
      <c r="A498" s="31"/>
      <c r="B498" s="13" t="str">
        <f>Products!B2592</f>
        <v>Замок STANDARD</v>
      </c>
      <c r="C498" s="98"/>
      <c r="D498" s="184">
        <f>Products!E2592</f>
        <v>400.00000000000006</v>
      </c>
      <c r="E498" s="29"/>
      <c r="F498" s="29"/>
      <c r="G498" s="29"/>
      <c r="H498" s="59"/>
      <c r="I498" s="59"/>
      <c r="J498" s="59"/>
      <c r="K498" s="29"/>
      <c r="L498" s="364"/>
      <c r="M498" s="365"/>
    </row>
    <row r="499" spans="1:13">
      <c r="A499" s="31"/>
      <c r="B499" s="16" t="str">
        <f>Products!B2593</f>
        <v>завіса штирьова</v>
      </c>
      <c r="C499" s="63"/>
      <c r="D499" s="186">
        <f>Products!E2593</f>
        <v>120</v>
      </c>
      <c r="E499" s="29"/>
      <c r="F499" s="59"/>
      <c r="G499" s="29"/>
      <c r="H499" s="59"/>
      <c r="I499" s="59"/>
      <c r="J499" s="59"/>
      <c r="K499" s="29"/>
      <c r="L499" s="364"/>
      <c r="M499" s="364"/>
    </row>
    <row r="500" spans="1:13">
      <c r="A500" s="31"/>
      <c r="B500" s="16"/>
      <c r="C500" s="63"/>
      <c r="D500" s="186"/>
      <c r="E500" s="29"/>
      <c r="F500" s="59"/>
      <c r="G500" s="29"/>
      <c r="H500" s="59"/>
      <c r="I500" s="59"/>
      <c r="J500" s="59"/>
      <c r="K500" s="29"/>
      <c r="L500" s="364"/>
      <c r="M500" s="364"/>
    </row>
    <row r="501" spans="1:13">
      <c r="A501" s="31"/>
      <c r="B501" s="16" t="str">
        <f>Products!B2594</f>
        <v>відповідна планка</v>
      </c>
      <c r="C501" s="63"/>
      <c r="D501" s="186">
        <f>Products!E2594</f>
        <v>120</v>
      </c>
      <c r="E501" s="59"/>
      <c r="F501" s="59"/>
      <c r="G501" s="29"/>
      <c r="H501" s="59"/>
      <c r="I501" s="59"/>
      <c r="J501" s="59"/>
      <c r="K501" s="29"/>
      <c r="L501" s="364"/>
      <c r="M501" s="364"/>
    </row>
    <row r="502" spans="1:13">
      <c r="A502" s="31"/>
      <c r="B502" s="16"/>
      <c r="C502" s="63"/>
      <c r="D502" s="186"/>
      <c r="E502" s="29"/>
      <c r="F502" s="59"/>
      <c r="G502" s="29"/>
      <c r="H502" s="59"/>
      <c r="I502" s="59"/>
      <c r="J502" s="59"/>
      <c r="K502" s="29"/>
      <c r="L502" s="364"/>
      <c r="M502" s="364"/>
    </row>
    <row r="503" spans="1:13">
      <c r="A503" s="31"/>
      <c r="B503" s="23" t="str">
        <f>Products!B2595</f>
        <v>Шпінгалет</v>
      </c>
      <c r="C503" s="67"/>
      <c r="D503" s="188">
        <f>Products!E2595</f>
        <v>200.00000000000003</v>
      </c>
      <c r="E503" s="29"/>
      <c r="F503" s="59"/>
      <c r="G503" s="29"/>
      <c r="H503" s="59"/>
      <c r="I503" s="59"/>
      <c r="J503" s="59"/>
      <c r="K503" s="29"/>
      <c r="L503" s="364"/>
      <c r="M503" s="364"/>
    </row>
    <row r="504" spans="1:13">
      <c r="C504" s="34"/>
      <c r="D504" s="34"/>
      <c r="E504" s="34"/>
    </row>
    <row r="505" spans="1:13">
      <c r="C505" s="34"/>
      <c r="D505" s="34"/>
      <c r="E505" s="34"/>
    </row>
    <row r="506" spans="1:13">
      <c r="C506" s="34"/>
      <c r="D506" s="34"/>
      <c r="E506" s="34"/>
    </row>
    <row r="507" spans="1:13">
      <c r="C507" s="34"/>
      <c r="D507" s="34"/>
    </row>
  </sheetData>
  <sheetProtection password="D276" sheet="1" objects="1" scenarios="1" selectLockedCells="1" selectUnlockedCells="1"/>
  <mergeCells count="102">
    <mergeCell ref="L394:M394"/>
    <mergeCell ref="F394:G394"/>
    <mergeCell ref="J394:K394"/>
    <mergeCell ref="L410:M410"/>
    <mergeCell ref="F410:G410"/>
    <mergeCell ref="J410:K410"/>
    <mergeCell ref="H410:I410"/>
    <mergeCell ref="B371:B373"/>
    <mergeCell ref="B267:B269"/>
    <mergeCell ref="B308:E308"/>
    <mergeCell ref="H394:I394"/>
    <mergeCell ref="B370:E370"/>
    <mergeCell ref="D324:F324"/>
    <mergeCell ref="D394:E394"/>
    <mergeCell ref="B381:B383"/>
    <mergeCell ref="B393:E393"/>
    <mergeCell ref="B389:B390"/>
    <mergeCell ref="B309:B311"/>
    <mergeCell ref="B295:B297"/>
    <mergeCell ref="B41:B43"/>
    <mergeCell ref="B349:B351"/>
    <mergeCell ref="B360:E360"/>
    <mergeCell ref="B388:E388"/>
    <mergeCell ref="B429:E429"/>
    <mergeCell ref="B139:B141"/>
    <mergeCell ref="B167:B169"/>
    <mergeCell ref="B253:B255"/>
    <mergeCell ref="B125:E125"/>
    <mergeCell ref="B394:B395"/>
    <mergeCell ref="B348:E348"/>
    <mergeCell ref="D323:F323"/>
    <mergeCell ref="B196:B198"/>
    <mergeCell ref="B210:E210"/>
    <mergeCell ref="B211:B213"/>
    <mergeCell ref="B71:E71"/>
    <mergeCell ref="B72:B74"/>
    <mergeCell ref="B239:E239"/>
    <mergeCell ref="B240:B242"/>
    <mergeCell ref="B252:E252"/>
    <mergeCell ref="B153:B155"/>
    <mergeCell ref="B166:E166"/>
    <mergeCell ref="B111:E111"/>
    <mergeCell ref="B181:B183"/>
    <mergeCell ref="J430:K430"/>
    <mergeCell ref="H430:I430"/>
    <mergeCell ref="B496:E496"/>
    <mergeCell ref="B471:E471"/>
    <mergeCell ref="D410:E410"/>
    <mergeCell ref="B410:B411"/>
    <mergeCell ref="B409:E409"/>
    <mergeCell ref="B472:B473"/>
    <mergeCell ref="B488:E488"/>
    <mergeCell ref="B430:B431"/>
    <mergeCell ref="D430:E430"/>
    <mergeCell ref="D458:G458"/>
    <mergeCell ref="D422:G422"/>
    <mergeCell ref="B465:E465"/>
    <mergeCell ref="B466:B467"/>
    <mergeCell ref="F430:G430"/>
    <mergeCell ref="K466:M466"/>
    <mergeCell ref="L430:M430"/>
    <mergeCell ref="L446:M446"/>
    <mergeCell ref="B445:E445"/>
    <mergeCell ref="B446:B447"/>
    <mergeCell ref="D446:E446"/>
    <mergeCell ref="F446:G446"/>
    <mergeCell ref="H446:I446"/>
    <mergeCell ref="B280:E280"/>
    <mergeCell ref="B152:E152"/>
    <mergeCell ref="B57:B59"/>
    <mergeCell ref="B361:B363"/>
    <mergeCell ref="B138:E138"/>
    <mergeCell ref="B99:B101"/>
    <mergeCell ref="B224:E224"/>
    <mergeCell ref="B225:B227"/>
    <mergeCell ref="B281:B283"/>
    <mergeCell ref="B85:E85"/>
    <mergeCell ref="B86:B88"/>
    <mergeCell ref="J446:K446"/>
    <mergeCell ref="D3:G3"/>
    <mergeCell ref="B336:B338"/>
    <mergeCell ref="B335:E335"/>
    <mergeCell ref="B98:E98"/>
    <mergeCell ref="B180:E180"/>
    <mergeCell ref="B195:E195"/>
    <mergeCell ref="B26:B28"/>
    <mergeCell ref="B40:E40"/>
    <mergeCell ref="D4:G4"/>
    <mergeCell ref="B6:C6"/>
    <mergeCell ref="B9:B11"/>
    <mergeCell ref="D6:M6"/>
    <mergeCell ref="B8:E8"/>
    <mergeCell ref="B25:E25"/>
    <mergeCell ref="B126:B128"/>
    <mergeCell ref="B112:B114"/>
    <mergeCell ref="L380:M380"/>
    <mergeCell ref="B56:E56"/>
    <mergeCell ref="B323:B325"/>
    <mergeCell ref="B380:E380"/>
    <mergeCell ref="B266:E266"/>
    <mergeCell ref="B322:E322"/>
    <mergeCell ref="B294:E294"/>
  </mergeCells>
  <phoneticPr fontId="5" type="noConversion"/>
  <printOptions horizontalCentered="1"/>
  <pageMargins left="0.23622047244094491" right="0.27559055118110237" top="0.27" bottom="0.3" header="0.27559055118110237" footer="0.31496062992125984"/>
  <pageSetup paperSize="9" scale="56" fitToHeight="10" orientation="portrait" r:id="rId1"/>
  <headerFooter alignWithMargins="0"/>
  <rowBreaks count="4" manualBreakCount="4">
    <brk id="70" max="16383" man="1"/>
    <brk id="194" max="16383" man="1"/>
    <brk id="307" max="16383" man="1"/>
    <brk id="408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40</vt:i4>
      </vt:variant>
    </vt:vector>
  </HeadingPairs>
  <TitlesOfParts>
    <vt:vector size="43" baseType="lpstr">
      <vt:lpstr>TITLE</vt:lpstr>
      <vt:lpstr>Products</vt:lpstr>
      <vt:lpstr>print page</vt:lpstr>
      <vt:lpstr>Door_Dobor</vt:lpstr>
      <vt:lpstr>Door_Dobor_Lada</vt:lpstr>
      <vt:lpstr>Door_Elegant</vt:lpstr>
      <vt:lpstr>Door_Eva</vt:lpstr>
      <vt:lpstr>Door_Geometry</vt:lpstr>
      <vt:lpstr>Door_Glasford</vt:lpstr>
      <vt:lpstr>Door_Gordana</vt:lpstr>
      <vt:lpstr>Door_Idea</vt:lpstr>
      <vt:lpstr>Door_IdeaLoft</vt:lpstr>
      <vt:lpstr>Door_Kupava</vt:lpstr>
      <vt:lpstr>Door_LadaA</vt:lpstr>
      <vt:lpstr>Door_LadaB</vt:lpstr>
      <vt:lpstr>Door_LadaC</vt:lpstr>
      <vt:lpstr>Door_LadaD</vt:lpstr>
      <vt:lpstr>Door_LadaK</vt:lpstr>
      <vt:lpstr>Door_LadaL</vt:lpstr>
      <vt:lpstr>Door_LadaN</vt:lpstr>
      <vt:lpstr>Door_Linda</vt:lpstr>
      <vt:lpstr>Door_Line</vt:lpstr>
      <vt:lpstr>Door_Lineya</vt:lpstr>
      <vt:lpstr>Door_Lisa</vt:lpstr>
      <vt:lpstr>Door_Mira</vt:lpstr>
      <vt:lpstr>Door_Modern</vt:lpstr>
      <vt:lpstr>Door_Nika</vt:lpstr>
      <vt:lpstr>Door_Pollo</vt:lpstr>
      <vt:lpstr>Door_Standard</vt:lpstr>
      <vt:lpstr>Door_Tiana</vt:lpstr>
      <vt:lpstr>Door_Trend</vt:lpstr>
      <vt:lpstr>DoorHandles</vt:lpstr>
      <vt:lpstr>Frame_Stand</vt:lpstr>
      <vt:lpstr>Frame_VFit</vt:lpstr>
      <vt:lpstr>Frame_VFitComfort</vt:lpstr>
      <vt:lpstr>Frame_VFitPlus</vt:lpstr>
      <vt:lpstr>Framugi</vt:lpstr>
      <vt:lpstr>Furniture</vt:lpstr>
      <vt:lpstr>MENU</vt:lpstr>
      <vt:lpstr>Plinths</vt:lpstr>
      <vt:lpstr>vat</vt:lpstr>
      <vt:lpstr>Verto_Slide</vt:lpstr>
      <vt:lpstr>Полотна_збірні__КЛАСІК</vt:lpstr>
    </vt:vector>
  </TitlesOfParts>
  <Company>pgs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Verto Doors</dc:creator>
  <cp:lastModifiedBy>enazarenko</cp:lastModifiedBy>
  <cp:lastPrinted>2022-06-20T06:54:42Z</cp:lastPrinted>
  <dcterms:created xsi:type="dcterms:W3CDTF">2011-03-01T10:54:25Z</dcterms:created>
  <dcterms:modified xsi:type="dcterms:W3CDTF">2024-07-03T14:03:54Z</dcterms:modified>
</cp:coreProperties>
</file>