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katerina\Desktop\Рассылка\Прованс\"/>
    </mc:Choice>
  </mc:AlternateContent>
  <xr:revisionPtr revIDLastSave="0" documentId="13_ncr:1_{77CE1955-3A83-49D2-BDD8-9B7B77987246}" xr6:coauthVersionLast="45" xr6:coauthVersionMax="45" xr10:uidLastSave="{00000000-0000-0000-0000-000000000000}"/>
  <bookViews>
    <workbookView xWindow="-108" yWindow="-108" windowWidth="23256" windowHeight="12456" xr2:uid="{00000000-000D-0000-FFFF-FFFF00000000}"/>
  </bookViews>
  <sheets>
    <sheet name="TITLE" sheetId="6" r:id="rId1"/>
    <sheet name="Products" sheetId="5" r:id="rId2"/>
    <sheet name="print page" sheetId="7" r:id="rId3"/>
  </sheets>
  <definedNames>
    <definedName name="Door_Dobor">Products!$B$2048:$W$2064</definedName>
    <definedName name="Door_Dobor_Lada">Products!$B$1981:$W$1998</definedName>
    <definedName name="Door_Elegant">Products!$B$1838:$W$1863</definedName>
    <definedName name="Door_Eva">Products!$B$1391:$W$1415</definedName>
    <definedName name="Door_Geometry">Products!$B$164:$W$191</definedName>
    <definedName name="Door_Glasford">Products!$B$1913:$W$1931</definedName>
    <definedName name="Door_Gordana">Products!$B$241:$W$241</definedName>
    <definedName name="Door_Idea">Products!$B$291:$W$318</definedName>
    <definedName name="Door_IdeaLoft">Products!$B$368:$W$390</definedName>
    <definedName name="Door_Kupava">Products!$B$90:$W$113</definedName>
    <definedName name="Door_LadaA">Products!$B$502:$W$525</definedName>
    <definedName name="Door_LadaB">Products!$B$575:$W$599</definedName>
    <definedName name="Door_LadaC">Products!$B$649:$W$671</definedName>
    <definedName name="Door_LadaD">Products!$B$721:$W$744</definedName>
    <definedName name="Door_LadaK">Products!$B$940:$W$968</definedName>
    <definedName name="Door_LadaL">Products!$B$1169:$W$1196</definedName>
    <definedName name="Door_LadaN">Products!$B$1018:$W$1046</definedName>
    <definedName name="Door_Linda">Products!$B$1246:$W$1268</definedName>
    <definedName name="Door_Line">Products!$B$1761:$W$1788</definedName>
    <definedName name="Door_Lineya">Products!$B$1688:$W$1711</definedName>
    <definedName name="Door_Lisa">Products!$B$867:$W$890</definedName>
    <definedName name="Door_Mira">Products!$B$1096:$W$1119</definedName>
    <definedName name="Door_Modern">Products!$B$1539:$W$1563</definedName>
    <definedName name="Door_Nika">Products!$B$794:$W$817</definedName>
    <definedName name="Door_Pollo">Products!$B$1613:$W$1638</definedName>
    <definedName name="Door_Ruta">Products!#REF!</definedName>
    <definedName name="Door_RutaF">Products!#REF!</definedName>
    <definedName name="Door_Standard">Products!$B$10:$W$39</definedName>
    <definedName name="Door_Tiana">Products!$B$1318:$W$1341</definedName>
    <definedName name="Door_Trend">Products!$B$1465:$W$1489</definedName>
    <definedName name="DoorHandles">Products!$B$2667:$W$2675</definedName>
    <definedName name="Frame_Stand">Products!$B$2173:$W$2191</definedName>
    <definedName name="Frame_VFit">Products!$B$2241:$W$2263</definedName>
    <definedName name="Frame_VFitComfort">Products!$B$2381:$W$2446</definedName>
    <definedName name="Frame_VFitPlus">Products!$B$2313:$W$2331</definedName>
    <definedName name="Framugi">Products!$B$2589:$W$2617</definedName>
    <definedName name="Furniture">Products!$B$2725:$W$2754</definedName>
    <definedName name="Inside">Products!$B$2420:$AY$2446</definedName>
    <definedName name="MENU">TITLE!$A$2</definedName>
    <definedName name="Plinths">Products!$B$2531:$W$2539</definedName>
    <definedName name="vat">Products!$AC$2:$AC$3</definedName>
    <definedName name="Verto_Slide">Products!$B$2114:$W$2123</definedName>
    <definedName name="Полотна_збірні__КЛАСІК">Products!$B$402:$W$427</definedName>
    <definedName name="Прованс" localSheetId="1">Products!$B$452:$W$475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D2" i="6" l="1"/>
  <c r="B2" i="6" l="1"/>
  <c r="M100" i="7"/>
  <c r="M101" i="7"/>
  <c r="M102" i="7"/>
  <c r="M103" i="7"/>
  <c r="M104" i="7"/>
  <c r="M105" i="7"/>
  <c r="M106" i="7"/>
  <c r="M107" i="7"/>
  <c r="M108" i="7"/>
  <c r="M109" i="7"/>
  <c r="M110" i="7"/>
  <c r="M99" i="7"/>
  <c r="L100" i="7"/>
  <c r="L101" i="7"/>
  <c r="L102" i="7"/>
  <c r="L103" i="7"/>
  <c r="L104" i="7"/>
  <c r="L105" i="7"/>
  <c r="L106" i="7"/>
  <c r="L107" i="7"/>
  <c r="L108" i="7"/>
  <c r="L109" i="7"/>
  <c r="L110" i="7"/>
  <c r="L99" i="7"/>
  <c r="E103" i="7"/>
  <c r="E104" i="7"/>
  <c r="E105" i="7"/>
  <c r="E102" i="7"/>
  <c r="D103" i="7"/>
  <c r="D104" i="7"/>
  <c r="D105" i="7"/>
  <c r="D102" i="7"/>
  <c r="B103" i="7"/>
  <c r="B104" i="7"/>
  <c r="B105" i="7"/>
  <c r="B102" i="7"/>
  <c r="E100" i="7"/>
  <c r="E101" i="7"/>
  <c r="E99" i="7"/>
  <c r="D100" i="7"/>
  <c r="D101" i="7"/>
  <c r="D99" i="7"/>
  <c r="C100" i="7"/>
  <c r="C101" i="7"/>
  <c r="C99" i="7"/>
  <c r="B99" i="7"/>
  <c r="B98" i="7"/>
  <c r="B452" i="5"/>
  <c r="C14" i="6"/>
  <c r="D475" i="5"/>
  <c r="AE474" i="5"/>
  <c r="D474" i="5"/>
  <c r="E474" i="5" s="1"/>
  <c r="AE473" i="5"/>
  <c r="D473" i="5"/>
  <c r="E473" i="5" s="1"/>
  <c r="AE472" i="5"/>
  <c r="D472" i="5"/>
  <c r="E472" i="5" s="1"/>
  <c r="AE471" i="5"/>
  <c r="E471" i="5"/>
  <c r="D471" i="5"/>
  <c r="D470" i="5"/>
  <c r="E470" i="5" s="1"/>
  <c r="AE469" i="5"/>
  <c r="D469" i="5"/>
  <c r="E469" i="5" s="1"/>
  <c r="D468" i="5"/>
  <c r="E468" i="5" s="1"/>
  <c r="AE467" i="5"/>
  <c r="D467" i="5"/>
  <c r="E467" i="5" s="1"/>
  <c r="AE466" i="5"/>
  <c r="D466" i="5"/>
  <c r="E466" i="5" s="1"/>
  <c r="AE465" i="5"/>
  <c r="D465" i="5"/>
  <c r="E465" i="5" s="1"/>
  <c r="AE464" i="5"/>
  <c r="D464" i="5"/>
  <c r="E464" i="5" s="1"/>
  <c r="AQ460" i="5"/>
  <c r="AO460" i="5"/>
  <c r="AM460" i="5"/>
  <c r="AK460" i="5"/>
  <c r="AI460" i="5"/>
  <c r="F460" i="5"/>
  <c r="G460" i="5" s="1"/>
  <c r="D460" i="5"/>
  <c r="E460" i="5" s="1"/>
  <c r="F459" i="5"/>
  <c r="G459" i="5" s="1"/>
  <c r="D459" i="5"/>
  <c r="E459" i="5" s="1"/>
  <c r="F458" i="5"/>
  <c r="G458" i="5" s="1"/>
  <c r="D458" i="5"/>
  <c r="E458" i="5" s="1"/>
  <c r="AQ457" i="5"/>
  <c r="AO457" i="5"/>
  <c r="AM457" i="5"/>
  <c r="AK457" i="5"/>
  <c r="AI457" i="5"/>
  <c r="F457" i="5"/>
  <c r="G457" i="5" s="1"/>
  <c r="D457" i="5"/>
  <c r="E457" i="5" s="1"/>
  <c r="AH455" i="5"/>
  <c r="AG455" i="5"/>
  <c r="AF455" i="5"/>
  <c r="AE455" i="5"/>
  <c r="D495" i="7" l="1"/>
  <c r="D2404" i="5"/>
  <c r="E2404" i="5" s="1"/>
  <c r="D476" i="7" s="1"/>
  <c r="AW2400" i="5"/>
  <c r="AV2400" i="5"/>
  <c r="AS2400" i="5"/>
  <c r="AT2400" i="5" s="1"/>
  <c r="AR2400" i="5"/>
  <c r="AO2400" i="5"/>
  <c r="AP2400" i="5" s="1"/>
  <c r="AN2400" i="5"/>
  <c r="T2400" i="5"/>
  <c r="U2400" i="5" s="1"/>
  <c r="L474" i="7" s="1"/>
  <c r="P2400" i="5"/>
  <c r="Q2400" i="5" s="1"/>
  <c r="J474" i="7" s="1"/>
  <c r="L2400" i="5"/>
  <c r="M2400" i="5" s="1"/>
  <c r="H2400" i="5"/>
  <c r="I2400" i="5" s="1"/>
  <c r="D2400" i="5"/>
  <c r="E2400" i="5" s="1"/>
  <c r="AW2399" i="5"/>
  <c r="AV2399" i="5"/>
  <c r="AS2399" i="5"/>
  <c r="AT2399" i="5" s="1"/>
  <c r="AR2399" i="5"/>
  <c r="AO2399" i="5"/>
  <c r="AP2399" i="5" s="1"/>
  <c r="AN2399" i="5"/>
  <c r="T2399" i="5"/>
  <c r="U2399" i="5" s="1"/>
  <c r="L473" i="7" s="1"/>
  <c r="P2399" i="5"/>
  <c r="Q2399" i="5" s="1"/>
  <c r="J473" i="7" s="1"/>
  <c r="L2399" i="5"/>
  <c r="M2399" i="5" s="1"/>
  <c r="H2399" i="5"/>
  <c r="I2399" i="5" s="1"/>
  <c r="D2399" i="5"/>
  <c r="E2399" i="5" s="1"/>
  <c r="AW2398" i="5"/>
  <c r="AV2398" i="5"/>
  <c r="AS2398" i="5"/>
  <c r="AT2398" i="5" s="1"/>
  <c r="AR2398" i="5"/>
  <c r="AO2398" i="5"/>
  <c r="AP2398" i="5" s="1"/>
  <c r="AN2398" i="5"/>
  <c r="T2398" i="5"/>
  <c r="U2398" i="5" s="1"/>
  <c r="L472" i="7" s="1"/>
  <c r="P2398" i="5"/>
  <c r="Q2398" i="5" s="1"/>
  <c r="J472" i="7" s="1"/>
  <c r="L2398" i="5"/>
  <c r="M2398" i="5" s="1"/>
  <c r="H2398" i="5"/>
  <c r="I2398" i="5" s="1"/>
  <c r="D2398" i="5"/>
  <c r="E2398" i="5" s="1"/>
  <c r="C46" i="6" l="1"/>
  <c r="B2423" i="5" s="1"/>
  <c r="B478" i="7" s="1"/>
  <c r="AU2435" i="5"/>
  <c r="AT2435" i="5"/>
  <c r="AQ2435" i="5"/>
  <c r="AR2435" i="5" s="1"/>
  <c r="AP2435" i="5"/>
  <c r="AM2435" i="5"/>
  <c r="AN2435" i="5" s="1"/>
  <c r="AL2435" i="5"/>
  <c r="L2435" i="5"/>
  <c r="M2435" i="5" s="1"/>
  <c r="H489" i="7" s="1"/>
  <c r="H2435" i="5"/>
  <c r="I2435" i="5" s="1"/>
  <c r="F489" i="7" s="1"/>
  <c r="D2435" i="5"/>
  <c r="E2435" i="5" s="1"/>
  <c r="D489" i="7" s="1"/>
  <c r="AU2434" i="5"/>
  <c r="AT2434" i="5"/>
  <c r="AQ2434" i="5"/>
  <c r="AR2434" i="5" s="1"/>
  <c r="AP2434" i="5"/>
  <c r="AM2434" i="5"/>
  <c r="AN2434" i="5" s="1"/>
  <c r="AL2434" i="5"/>
  <c r="L2434" i="5"/>
  <c r="M2434" i="5" s="1"/>
  <c r="H488" i="7" s="1"/>
  <c r="H2434" i="5"/>
  <c r="I2434" i="5" s="1"/>
  <c r="F488" i="7" s="1"/>
  <c r="D2434" i="5"/>
  <c r="E2434" i="5" s="1"/>
  <c r="D488" i="7" s="1"/>
  <c r="AU2433" i="5"/>
  <c r="AT2433" i="5"/>
  <c r="AQ2433" i="5"/>
  <c r="AR2433" i="5" s="1"/>
  <c r="AP2433" i="5"/>
  <c r="AM2433" i="5"/>
  <c r="AN2433" i="5" s="1"/>
  <c r="AL2433" i="5"/>
  <c r="L2433" i="5"/>
  <c r="M2433" i="5" s="1"/>
  <c r="H487" i="7" s="1"/>
  <c r="H2433" i="5"/>
  <c r="I2433" i="5" s="1"/>
  <c r="F487" i="7" s="1"/>
  <c r="D2433" i="5"/>
  <c r="E2433" i="5" s="1"/>
  <c r="D487" i="7" s="1"/>
  <c r="AU2432" i="5"/>
  <c r="AT2432" i="5"/>
  <c r="AQ2432" i="5"/>
  <c r="AR2432" i="5" s="1"/>
  <c r="AP2432" i="5"/>
  <c r="AM2432" i="5"/>
  <c r="AN2432" i="5" s="1"/>
  <c r="AL2432" i="5"/>
  <c r="L2432" i="5"/>
  <c r="M2432" i="5" s="1"/>
  <c r="H486" i="7" s="1"/>
  <c r="H2432" i="5"/>
  <c r="I2432" i="5" s="1"/>
  <c r="F486" i="7" s="1"/>
  <c r="D2432" i="5"/>
  <c r="E2432" i="5" s="1"/>
  <c r="D486" i="7" s="1"/>
  <c r="AU2431" i="5"/>
  <c r="AT2431" i="5"/>
  <c r="AQ2431" i="5"/>
  <c r="AR2431" i="5" s="1"/>
  <c r="AP2431" i="5"/>
  <c r="AM2431" i="5"/>
  <c r="AN2431" i="5" s="1"/>
  <c r="AL2431" i="5"/>
  <c r="L2431" i="5"/>
  <c r="M2431" i="5" s="1"/>
  <c r="H485" i="7" s="1"/>
  <c r="H2431" i="5"/>
  <c r="I2431" i="5" s="1"/>
  <c r="F485" i="7" s="1"/>
  <c r="D2431" i="5"/>
  <c r="E2431" i="5" s="1"/>
  <c r="D485" i="7" s="1"/>
  <c r="AU2430" i="5"/>
  <c r="AT2430" i="5"/>
  <c r="AQ2430" i="5"/>
  <c r="AR2430" i="5" s="1"/>
  <c r="AP2430" i="5"/>
  <c r="AM2430" i="5"/>
  <c r="AN2430" i="5" s="1"/>
  <c r="AL2430" i="5"/>
  <c r="L2430" i="5"/>
  <c r="M2430" i="5" s="1"/>
  <c r="H484" i="7" s="1"/>
  <c r="H2430" i="5"/>
  <c r="I2430" i="5" s="1"/>
  <c r="F484" i="7" s="1"/>
  <c r="D2430" i="5"/>
  <c r="E2430" i="5" s="1"/>
  <c r="D484" i="7" s="1"/>
  <c r="AU2429" i="5"/>
  <c r="AT2429" i="5"/>
  <c r="AQ2429" i="5"/>
  <c r="AR2429" i="5" s="1"/>
  <c r="AP2429" i="5"/>
  <c r="AM2429" i="5"/>
  <c r="AN2429" i="5" s="1"/>
  <c r="AL2429" i="5"/>
  <c r="L2429" i="5"/>
  <c r="M2429" i="5" s="1"/>
  <c r="H483" i="7" s="1"/>
  <c r="H2429" i="5"/>
  <c r="I2429" i="5" s="1"/>
  <c r="F483" i="7" s="1"/>
  <c r="D2429" i="5"/>
  <c r="E2429" i="5" s="1"/>
  <c r="D483" i="7" s="1"/>
  <c r="AU2428" i="5"/>
  <c r="AT2428" i="5"/>
  <c r="AQ2428" i="5"/>
  <c r="AR2428" i="5" s="1"/>
  <c r="AP2428" i="5"/>
  <c r="AM2428" i="5"/>
  <c r="AN2428" i="5" s="1"/>
  <c r="AL2428" i="5"/>
  <c r="L2428" i="5"/>
  <c r="M2428" i="5" s="1"/>
  <c r="H482" i="7" s="1"/>
  <c r="H2428" i="5"/>
  <c r="I2428" i="5" s="1"/>
  <c r="F482" i="7" s="1"/>
  <c r="D2428" i="5"/>
  <c r="E2428" i="5" s="1"/>
  <c r="D482" i="7" s="1"/>
  <c r="AU2427" i="5"/>
  <c r="AT2427" i="5"/>
  <c r="AQ2427" i="5"/>
  <c r="AR2427" i="5" s="1"/>
  <c r="AP2427" i="5"/>
  <c r="AM2427" i="5"/>
  <c r="AN2427" i="5" s="1"/>
  <c r="AL2427" i="5"/>
  <c r="L2427" i="5"/>
  <c r="M2427" i="5" s="1"/>
  <c r="H481" i="7" s="1"/>
  <c r="H2427" i="5"/>
  <c r="I2427" i="5" s="1"/>
  <c r="F481" i="7" s="1"/>
  <c r="D2427" i="5"/>
  <c r="E2427" i="5" s="1"/>
  <c r="D481" i="7" s="1"/>
  <c r="C1" i="5" l="1"/>
  <c r="D738" i="5"/>
  <c r="E738" i="5" s="1"/>
  <c r="M159" i="7" s="1"/>
  <c r="D1705" i="5"/>
  <c r="E1705" i="5" s="1"/>
  <c r="M342" i="7" s="1"/>
  <c r="D1483" i="5"/>
  <c r="E1483" i="5" s="1"/>
  <c r="M301" i="7" s="1"/>
  <c r="D1262" i="5"/>
  <c r="E1262" i="5" s="1"/>
  <c r="M259" i="7" s="1"/>
  <c r="D1113" i="5"/>
  <c r="E1113" i="5" s="1"/>
  <c r="M231" i="7" s="1"/>
  <c r="D1040" i="5"/>
  <c r="E1040" i="5" s="1"/>
  <c r="M217" i="7" s="1"/>
  <c r="D107" i="5"/>
  <c r="E107" i="5" s="1"/>
  <c r="M33" i="7" s="1"/>
  <c r="D31" i="5"/>
  <c r="E31" i="5" s="1"/>
  <c r="M16" i="7" s="1"/>
  <c r="D183" i="5"/>
  <c r="E183" i="5" s="1"/>
  <c r="M47" i="7" s="1"/>
  <c r="D185" i="5"/>
  <c r="E185" i="5" s="1"/>
  <c r="M49" i="7" s="1"/>
  <c r="D184" i="5"/>
  <c r="L367" i="7"/>
  <c r="L355" i="7"/>
  <c r="L342" i="7"/>
  <c r="L329" i="7"/>
  <c r="L315" i="7"/>
  <c r="L301" i="7"/>
  <c r="L287" i="7"/>
  <c r="L273" i="7"/>
  <c r="L259" i="7"/>
  <c r="L246" i="7"/>
  <c r="L231" i="7"/>
  <c r="L217" i="7"/>
  <c r="L202" i="7"/>
  <c r="L187" i="7"/>
  <c r="L173" i="7"/>
  <c r="L159" i="7"/>
  <c r="L145" i="7"/>
  <c r="L132" i="7"/>
  <c r="L118" i="7"/>
  <c r="L92" i="7"/>
  <c r="L78" i="7"/>
  <c r="L64" i="7"/>
  <c r="D1856" i="5"/>
  <c r="E1856" i="5" s="1"/>
  <c r="M365" i="7" s="1"/>
  <c r="D1780" i="5"/>
  <c r="E1780" i="5" s="1"/>
  <c r="M353" i="7" s="1"/>
  <c r="D1703" i="5"/>
  <c r="E1703" i="5" s="1"/>
  <c r="M340" i="7" s="1"/>
  <c r="D1630" i="5"/>
  <c r="E1630" i="5" s="1"/>
  <c r="M327" i="7" s="1"/>
  <c r="D1555" i="5"/>
  <c r="E1555" i="5" s="1"/>
  <c r="M313" i="7" s="1"/>
  <c r="D1481" i="5"/>
  <c r="E1481" i="5" s="1"/>
  <c r="M299" i="7" s="1"/>
  <c r="D1407" i="5"/>
  <c r="E1407" i="5" s="1"/>
  <c r="M285" i="7" s="1"/>
  <c r="D1333" i="5"/>
  <c r="E1333" i="5" s="1"/>
  <c r="M271" i="7" s="1"/>
  <c r="D1260" i="5"/>
  <c r="E1260" i="5" s="1"/>
  <c r="M257" i="7" s="1"/>
  <c r="D1188" i="5"/>
  <c r="E1188" i="5" s="1"/>
  <c r="M244" i="7" s="1"/>
  <c r="D1111" i="5"/>
  <c r="E1111" i="5" s="1"/>
  <c r="M229" i="7" s="1"/>
  <c r="D1038" i="5"/>
  <c r="E1038" i="5" s="1"/>
  <c r="M215" i="7" s="1"/>
  <c r="D960" i="5"/>
  <c r="E960" i="5" s="1"/>
  <c r="M200" i="7" s="1"/>
  <c r="D882" i="5"/>
  <c r="E882" i="5" s="1"/>
  <c r="M185" i="7" s="1"/>
  <c r="D809" i="5"/>
  <c r="E809" i="5" s="1"/>
  <c r="M171" i="7" s="1"/>
  <c r="D736" i="5"/>
  <c r="E736" i="5" s="1"/>
  <c r="M157" i="7" s="1"/>
  <c r="D663" i="5"/>
  <c r="E663" i="5" s="1"/>
  <c r="M143" i="7" s="1"/>
  <c r="D591" i="5"/>
  <c r="E591" i="5" s="1"/>
  <c r="M130" i="7" s="1"/>
  <c r="D517" i="5"/>
  <c r="E517" i="5" s="1"/>
  <c r="M116" i="7" s="1"/>
  <c r="D419" i="5"/>
  <c r="E419" i="5" s="1"/>
  <c r="M90" i="7" s="1"/>
  <c r="D381" i="5"/>
  <c r="E381" i="5" s="1"/>
  <c r="M76" i="7" s="1"/>
  <c r="D309" i="5"/>
  <c r="E309" i="5" s="1"/>
  <c r="M62" i="7" s="1"/>
  <c r="D105" i="5"/>
  <c r="E105" i="5" s="1"/>
  <c r="M31" i="7" s="1"/>
  <c r="B90" i="7"/>
  <c r="B91" i="7"/>
  <c r="B92" i="7"/>
  <c r="B93" i="7"/>
  <c r="B89" i="7"/>
  <c r="F409" i="5"/>
  <c r="G409" i="5" s="1"/>
  <c r="E91" i="7" s="1"/>
  <c r="F410" i="5"/>
  <c r="G410" i="5" s="1"/>
  <c r="E92" i="7" s="1"/>
  <c r="D409" i="5"/>
  <c r="E409" i="5" s="1"/>
  <c r="D91" i="7" s="1"/>
  <c r="D410" i="5"/>
  <c r="E410" i="5" s="1"/>
  <c r="D92" i="7" s="1"/>
  <c r="D1858" i="5"/>
  <c r="E1858" i="5" s="1"/>
  <c r="M367" i="7" s="1"/>
  <c r="D1782" i="5"/>
  <c r="E1782" i="5" s="1"/>
  <c r="M355" i="7" s="1"/>
  <c r="D1632" i="5"/>
  <c r="E1632" i="5" s="1"/>
  <c r="M329" i="7" s="1"/>
  <c r="D1557" i="5"/>
  <c r="E1557" i="5" s="1"/>
  <c r="M315" i="7" s="1"/>
  <c r="D1409" i="5"/>
  <c r="E1409" i="5" s="1"/>
  <c r="M287" i="7" s="1"/>
  <c r="D1335" i="5"/>
  <c r="E1335" i="5" s="1"/>
  <c r="M273" i="7" s="1"/>
  <c r="D1190" i="5"/>
  <c r="E1190" i="5" s="1"/>
  <c r="M246" i="7" s="1"/>
  <c r="D962" i="5"/>
  <c r="E962" i="5" s="1"/>
  <c r="M202" i="7" s="1"/>
  <c r="D884" i="5"/>
  <c r="E884" i="5" s="1"/>
  <c r="M187" i="7" s="1"/>
  <c r="D811" i="5"/>
  <c r="E811" i="5" s="1"/>
  <c r="M173" i="7" s="1"/>
  <c r="D665" i="5"/>
  <c r="E665" i="5" s="1"/>
  <c r="M145" i="7" s="1"/>
  <c r="D593" i="5"/>
  <c r="E593" i="5" s="1"/>
  <c r="M132" i="7" s="1"/>
  <c r="D519" i="5"/>
  <c r="E519" i="5" s="1"/>
  <c r="M118" i="7" s="1"/>
  <c r="D421" i="5"/>
  <c r="E421" i="5" s="1"/>
  <c r="M92" i="7" s="1"/>
  <c r="D383" i="5"/>
  <c r="E383" i="5" s="1"/>
  <c r="M78" i="7" s="1"/>
  <c r="D311" i="5"/>
  <c r="E311" i="5" s="1"/>
  <c r="M64" i="7" s="1"/>
  <c r="AE33" i="5"/>
  <c r="D33" i="5"/>
  <c r="E33" i="5" s="1"/>
  <c r="M18" i="7" s="1"/>
  <c r="C13" i="6"/>
  <c r="B402" i="5" s="1"/>
  <c r="B85" i="7" s="1"/>
  <c r="D426" i="5"/>
  <c r="AE425" i="5"/>
  <c r="D425" i="5"/>
  <c r="E425" i="5" s="1"/>
  <c r="M96" i="7" s="1"/>
  <c r="AE424" i="5"/>
  <c r="D424" i="5"/>
  <c r="E424" i="5" s="1"/>
  <c r="M95" i="7" s="1"/>
  <c r="AE423" i="5"/>
  <c r="D423" i="5"/>
  <c r="E423" i="5" s="1"/>
  <c r="M94" i="7" s="1"/>
  <c r="AE422" i="5"/>
  <c r="D422" i="5"/>
  <c r="E422" i="5" s="1"/>
  <c r="M93" i="7" s="1"/>
  <c r="AE420" i="5"/>
  <c r="D420" i="5"/>
  <c r="E420" i="5" s="1"/>
  <c r="M91" i="7" s="1"/>
  <c r="AE418" i="5"/>
  <c r="D418" i="5"/>
  <c r="E418" i="5" s="1"/>
  <c r="M89" i="7" s="1"/>
  <c r="AE417" i="5"/>
  <c r="D417" i="5"/>
  <c r="E417" i="5" s="1"/>
  <c r="M88" i="7" s="1"/>
  <c r="AE416" i="5"/>
  <c r="D416" i="5"/>
  <c r="E416" i="5" s="1"/>
  <c r="M87" i="7" s="1"/>
  <c r="AE415" i="5"/>
  <c r="D415" i="5"/>
  <c r="E415" i="5" s="1"/>
  <c r="M86" i="7" s="1"/>
  <c r="AQ411" i="5"/>
  <c r="AO411" i="5"/>
  <c r="AM411" i="5"/>
  <c r="AK411" i="5"/>
  <c r="AI411" i="5"/>
  <c r="F411" i="5"/>
  <c r="G411" i="5" s="1"/>
  <c r="E93" i="7" s="1"/>
  <c r="D411" i="5"/>
  <c r="E411" i="5" s="1"/>
  <c r="D93" i="7" s="1"/>
  <c r="AQ408" i="5"/>
  <c r="AO408" i="5"/>
  <c r="AM408" i="5"/>
  <c r="AK408" i="5"/>
  <c r="AI408" i="5"/>
  <c r="F408" i="5"/>
  <c r="G408" i="5" s="1"/>
  <c r="E90" i="7" s="1"/>
  <c r="D408" i="5"/>
  <c r="E408" i="5" s="1"/>
  <c r="D90" i="7" s="1"/>
  <c r="AQ407" i="5"/>
  <c r="AO407" i="5"/>
  <c r="AM407" i="5"/>
  <c r="AK407" i="5"/>
  <c r="AI407" i="5"/>
  <c r="F407" i="5"/>
  <c r="G407" i="5" s="1"/>
  <c r="E89" i="7" s="1"/>
  <c r="D407" i="5"/>
  <c r="E407" i="5" s="1"/>
  <c r="D89" i="7" s="1"/>
  <c r="AH405" i="5"/>
  <c r="AG405" i="5"/>
  <c r="AF405" i="5"/>
  <c r="AE405" i="5"/>
  <c r="C15" i="6"/>
  <c r="B502" i="5" s="1"/>
  <c r="T575" i="5" s="1"/>
  <c r="D1109" i="5"/>
  <c r="E1109" i="5" s="1"/>
  <c r="M227" i="7" s="1"/>
  <c r="D807" i="5"/>
  <c r="E807" i="5" s="1"/>
  <c r="M169" i="7" s="1"/>
  <c r="D1331" i="5"/>
  <c r="E1331" i="5" s="1"/>
  <c r="M269" i="7" s="1"/>
  <c r="D1405" i="5"/>
  <c r="E1405" i="5" s="1"/>
  <c r="M283" i="7" s="1"/>
  <c r="D880" i="5"/>
  <c r="E880" i="5" s="1"/>
  <c r="M183" i="7" s="1"/>
  <c r="D958" i="5"/>
  <c r="E958" i="5" s="1"/>
  <c r="M198" i="7" s="1"/>
  <c r="D1036" i="5"/>
  <c r="E1036" i="5" s="1"/>
  <c r="M213" i="7" s="1"/>
  <c r="D1995" i="5"/>
  <c r="E1995" i="5" s="1"/>
  <c r="M385" i="7" s="1"/>
  <c r="D1186" i="5"/>
  <c r="E1186" i="5" s="1"/>
  <c r="M242" i="7" s="1"/>
  <c r="D734" i="5"/>
  <c r="E734" i="5" s="1"/>
  <c r="M155" i="7" s="1"/>
  <c r="D589" i="5"/>
  <c r="E589" i="5" s="1"/>
  <c r="M128" i="7" s="1"/>
  <c r="AO2246" i="5"/>
  <c r="AP2246" i="5" s="1"/>
  <c r="AO2247" i="5"/>
  <c r="AO2248" i="5"/>
  <c r="AP2248" i="5" s="1"/>
  <c r="AO2249" i="5"/>
  <c r="AP2249" i="5" s="1"/>
  <c r="AO2250" i="5"/>
  <c r="AP2250" i="5" s="1"/>
  <c r="AO2251" i="5"/>
  <c r="AP2251" i="5" s="1"/>
  <c r="AO2252" i="5"/>
  <c r="AP2252" i="5" s="1"/>
  <c r="AO2253" i="5"/>
  <c r="AP2253" i="5" s="1"/>
  <c r="AO2254" i="5"/>
  <c r="AP2254" i="5" s="1"/>
  <c r="AO2245" i="5"/>
  <c r="AP2245" i="5" s="1"/>
  <c r="AI1396" i="5"/>
  <c r="AQ2594" i="5"/>
  <c r="AO2594" i="5"/>
  <c r="AM2594" i="5"/>
  <c r="AK2594" i="5"/>
  <c r="AI2594" i="5"/>
  <c r="AE2671" i="5"/>
  <c r="AE2672" i="5"/>
  <c r="AE2673" i="5"/>
  <c r="AE2674" i="5"/>
  <c r="AE2670" i="5"/>
  <c r="AE2610" i="5"/>
  <c r="AE2611" i="5"/>
  <c r="AE2612" i="5"/>
  <c r="AE2613" i="5"/>
  <c r="AE2614" i="5"/>
  <c r="AE2615" i="5"/>
  <c r="AE2616" i="5"/>
  <c r="AE2609" i="5"/>
  <c r="AD2618" i="5"/>
  <c r="AE2618" i="5" s="1"/>
  <c r="AQ2597" i="5"/>
  <c r="AQ2598" i="5"/>
  <c r="AQ2599" i="5"/>
  <c r="AQ2600" i="5"/>
  <c r="AQ2601" i="5"/>
  <c r="AQ2602" i="5"/>
  <c r="AQ2603" i="5"/>
  <c r="AQ2604" i="5"/>
  <c r="AQ2605" i="5"/>
  <c r="AQ2596" i="5"/>
  <c r="AO2597" i="5"/>
  <c r="AO2598" i="5"/>
  <c r="AO2599" i="5"/>
  <c r="AO2600" i="5"/>
  <c r="AO2601" i="5"/>
  <c r="AO2602" i="5"/>
  <c r="AO2603" i="5"/>
  <c r="AO2604" i="5"/>
  <c r="AO2605" i="5"/>
  <c r="AO2596" i="5"/>
  <c r="AM2597" i="5"/>
  <c r="AM2598" i="5"/>
  <c r="AM2599" i="5"/>
  <c r="AM2600" i="5"/>
  <c r="AM2601" i="5"/>
  <c r="AM2602" i="5"/>
  <c r="AM2603" i="5"/>
  <c r="AM2604" i="5"/>
  <c r="AM2605" i="5"/>
  <c r="AM2596" i="5"/>
  <c r="AK2597" i="5"/>
  <c r="AK2598" i="5"/>
  <c r="AK2599" i="5"/>
  <c r="AK2600" i="5"/>
  <c r="AK2601" i="5"/>
  <c r="AK2602" i="5"/>
  <c r="AK2603" i="5"/>
  <c r="AK2604" i="5"/>
  <c r="AK2605" i="5"/>
  <c r="AK2596" i="5"/>
  <c r="AI2597" i="5"/>
  <c r="AI2598" i="5"/>
  <c r="AI2599" i="5"/>
  <c r="AI2600" i="5"/>
  <c r="AI2601" i="5"/>
  <c r="AI2602" i="5"/>
  <c r="AI2603" i="5"/>
  <c r="AI2604" i="5"/>
  <c r="AI2605" i="5"/>
  <c r="AI2596" i="5"/>
  <c r="AQ2536" i="5"/>
  <c r="AQ2535" i="5"/>
  <c r="AO2536" i="5"/>
  <c r="AO2535" i="5"/>
  <c r="AM2536" i="5"/>
  <c r="AM2535" i="5"/>
  <c r="AK2536" i="5"/>
  <c r="AK2535" i="5"/>
  <c r="AI2536" i="5"/>
  <c r="AI2535" i="5"/>
  <c r="AW2557" i="5"/>
  <c r="AU2557" i="5"/>
  <c r="AV2557" i="5" s="1"/>
  <c r="AS2557" i="5"/>
  <c r="AT2557" i="5" s="1"/>
  <c r="AQ2557" i="5"/>
  <c r="AR2557" i="5" s="1"/>
  <c r="AO2557" i="5"/>
  <c r="AP2557" i="5" s="1"/>
  <c r="AM2557" i="5"/>
  <c r="AN2557" i="5" s="1"/>
  <c r="AK2557" i="5"/>
  <c r="AL2557" i="5" s="1"/>
  <c r="AI2557" i="5"/>
  <c r="AJ2557" i="5" s="1"/>
  <c r="AG2557" i="5"/>
  <c r="AH2557" i="5" s="1"/>
  <c r="AW2556" i="5"/>
  <c r="AU2556" i="5"/>
  <c r="AV2556" i="5" s="1"/>
  <c r="AS2556" i="5"/>
  <c r="AT2556" i="5" s="1"/>
  <c r="AQ2556" i="5"/>
  <c r="AR2556" i="5" s="1"/>
  <c r="AO2556" i="5"/>
  <c r="AP2556" i="5" s="1"/>
  <c r="AM2556" i="5"/>
  <c r="AN2556" i="5" s="1"/>
  <c r="AK2556" i="5"/>
  <c r="AL2556" i="5" s="1"/>
  <c r="AI2556" i="5"/>
  <c r="AJ2556" i="5" s="1"/>
  <c r="AG2556" i="5"/>
  <c r="AH2556" i="5" s="1"/>
  <c r="AW2555" i="5"/>
  <c r="AU2555" i="5"/>
  <c r="AV2555" i="5" s="1"/>
  <c r="AS2555" i="5"/>
  <c r="AT2555" i="5" s="1"/>
  <c r="AQ2555" i="5"/>
  <c r="AR2555" i="5" s="1"/>
  <c r="AO2555" i="5"/>
  <c r="AP2555" i="5" s="1"/>
  <c r="AM2555" i="5"/>
  <c r="AN2555" i="5" s="1"/>
  <c r="AK2555" i="5"/>
  <c r="AL2555" i="5" s="1"/>
  <c r="AI2555" i="5"/>
  <c r="AJ2555" i="5" s="1"/>
  <c r="AG2555" i="5"/>
  <c r="AH2555" i="5" s="1"/>
  <c r="AW2554" i="5"/>
  <c r="AU2554" i="5"/>
  <c r="AV2554" i="5" s="1"/>
  <c r="AS2554" i="5"/>
  <c r="AT2554" i="5" s="1"/>
  <c r="AQ2554" i="5"/>
  <c r="AR2554" i="5" s="1"/>
  <c r="AO2554" i="5"/>
  <c r="AP2554" i="5" s="1"/>
  <c r="AM2554" i="5"/>
  <c r="AN2554" i="5" s="1"/>
  <c r="AK2554" i="5"/>
  <c r="AL2554" i="5" s="1"/>
  <c r="AI2554" i="5"/>
  <c r="AJ2554" i="5" s="1"/>
  <c r="AG2554" i="5"/>
  <c r="AH2554" i="5" s="1"/>
  <c r="AW2553" i="5"/>
  <c r="AU2553" i="5"/>
  <c r="AV2553" i="5" s="1"/>
  <c r="AS2553" i="5"/>
  <c r="AT2553" i="5" s="1"/>
  <c r="AQ2553" i="5"/>
  <c r="AR2553" i="5" s="1"/>
  <c r="AO2553" i="5"/>
  <c r="AP2553" i="5" s="1"/>
  <c r="AM2553" i="5"/>
  <c r="AN2553" i="5" s="1"/>
  <c r="AK2553" i="5"/>
  <c r="AL2553" i="5" s="1"/>
  <c r="AI2553" i="5"/>
  <c r="AJ2553" i="5" s="1"/>
  <c r="AG2553" i="5"/>
  <c r="AH2553" i="5" s="1"/>
  <c r="AW2552" i="5"/>
  <c r="AU2552" i="5"/>
  <c r="AV2552" i="5" s="1"/>
  <c r="AS2552" i="5"/>
  <c r="AT2552" i="5" s="1"/>
  <c r="AQ2552" i="5"/>
  <c r="AR2552" i="5" s="1"/>
  <c r="AO2552" i="5"/>
  <c r="AP2552" i="5" s="1"/>
  <c r="AM2552" i="5"/>
  <c r="AN2552" i="5" s="1"/>
  <c r="AK2552" i="5"/>
  <c r="AL2552" i="5" s="1"/>
  <c r="AI2552" i="5"/>
  <c r="AJ2552" i="5" s="1"/>
  <c r="AG2552" i="5"/>
  <c r="AH2552" i="5" s="1"/>
  <c r="AW2551" i="5"/>
  <c r="AU2551" i="5"/>
  <c r="AV2551" i="5" s="1"/>
  <c r="AS2551" i="5"/>
  <c r="AT2551" i="5" s="1"/>
  <c r="AQ2551" i="5"/>
  <c r="AR2551" i="5" s="1"/>
  <c r="AO2551" i="5"/>
  <c r="AP2551" i="5" s="1"/>
  <c r="AM2551" i="5"/>
  <c r="AN2551" i="5" s="1"/>
  <c r="AK2551" i="5"/>
  <c r="AL2551" i="5" s="1"/>
  <c r="AI2551" i="5"/>
  <c r="AJ2551" i="5" s="1"/>
  <c r="AG2551" i="5"/>
  <c r="AH2551" i="5" s="1"/>
  <c r="AW2550" i="5"/>
  <c r="AU2550" i="5"/>
  <c r="AV2550" i="5" s="1"/>
  <c r="AS2550" i="5"/>
  <c r="AT2550" i="5" s="1"/>
  <c r="AQ2550" i="5"/>
  <c r="AR2550" i="5" s="1"/>
  <c r="AO2550" i="5"/>
  <c r="AP2550" i="5" s="1"/>
  <c r="AM2550" i="5"/>
  <c r="AN2550" i="5" s="1"/>
  <c r="AK2550" i="5"/>
  <c r="AL2550" i="5" s="1"/>
  <c r="AI2550" i="5"/>
  <c r="AJ2550" i="5" s="1"/>
  <c r="AG2550" i="5"/>
  <c r="AH2550" i="5" s="1"/>
  <c r="AW2549" i="5"/>
  <c r="AU2549" i="5"/>
  <c r="AV2549" i="5" s="1"/>
  <c r="AS2549" i="5"/>
  <c r="AT2549" i="5" s="1"/>
  <c r="AQ2549" i="5"/>
  <c r="AR2549" i="5" s="1"/>
  <c r="AO2549" i="5"/>
  <c r="AP2549" i="5" s="1"/>
  <c r="AM2549" i="5"/>
  <c r="AN2549" i="5" s="1"/>
  <c r="AK2549" i="5"/>
  <c r="AL2549" i="5" s="1"/>
  <c r="AI2549" i="5"/>
  <c r="AJ2549" i="5" s="1"/>
  <c r="AG2549" i="5"/>
  <c r="AH2549" i="5" s="1"/>
  <c r="AW2548" i="5"/>
  <c r="AU2548" i="5"/>
  <c r="AV2548" i="5" s="1"/>
  <c r="AS2548" i="5"/>
  <c r="AT2548" i="5" s="1"/>
  <c r="AQ2548" i="5"/>
  <c r="AR2548" i="5" s="1"/>
  <c r="AO2548" i="5"/>
  <c r="AP2548" i="5" s="1"/>
  <c r="AM2548" i="5"/>
  <c r="AN2548" i="5" s="1"/>
  <c r="AK2548" i="5"/>
  <c r="AL2548" i="5" s="1"/>
  <c r="AI2548" i="5"/>
  <c r="AJ2548" i="5" s="1"/>
  <c r="AG2548" i="5"/>
  <c r="AH2548" i="5" s="1"/>
  <c r="AW2441" i="5"/>
  <c r="AV2441" i="5"/>
  <c r="AS2441" i="5"/>
  <c r="AT2441" i="5" s="1"/>
  <c r="AR2441" i="5"/>
  <c r="AO2441" i="5"/>
  <c r="AP2441" i="5" s="1"/>
  <c r="AN2441" i="5"/>
  <c r="AW2440" i="5"/>
  <c r="AV2440" i="5"/>
  <c r="AS2440" i="5"/>
  <c r="AT2440" i="5" s="1"/>
  <c r="AR2440" i="5"/>
  <c r="AO2440" i="5"/>
  <c r="AP2440" i="5" s="1"/>
  <c r="AN2440" i="5"/>
  <c r="AW2439" i="5"/>
  <c r="AV2439" i="5"/>
  <c r="AS2439" i="5"/>
  <c r="AT2439" i="5" s="1"/>
  <c r="AR2439" i="5"/>
  <c r="AO2439" i="5"/>
  <c r="AP2439" i="5" s="1"/>
  <c r="AN2439" i="5"/>
  <c r="AW2394" i="5"/>
  <c r="AV2394" i="5"/>
  <c r="AS2394" i="5"/>
  <c r="AT2394" i="5" s="1"/>
  <c r="AR2394" i="5"/>
  <c r="AO2394" i="5"/>
  <c r="AP2394" i="5" s="1"/>
  <c r="AN2394" i="5"/>
  <c r="AW2393" i="5"/>
  <c r="AV2393" i="5"/>
  <c r="AS2393" i="5"/>
  <c r="AT2393" i="5" s="1"/>
  <c r="AR2393" i="5"/>
  <c r="AO2393" i="5"/>
  <c r="AP2393" i="5" s="1"/>
  <c r="AN2393" i="5"/>
  <c r="AW2392" i="5"/>
  <c r="AV2392" i="5"/>
  <c r="AS2392" i="5"/>
  <c r="AT2392" i="5" s="1"/>
  <c r="AR2392" i="5"/>
  <c r="AO2392" i="5"/>
  <c r="AP2392" i="5" s="1"/>
  <c r="AN2392" i="5"/>
  <c r="AW2391" i="5"/>
  <c r="AV2391" i="5"/>
  <c r="AS2391" i="5"/>
  <c r="AT2391" i="5" s="1"/>
  <c r="AR2391" i="5"/>
  <c r="AO2391" i="5"/>
  <c r="AP2391" i="5" s="1"/>
  <c r="AN2391" i="5"/>
  <c r="AW2390" i="5"/>
  <c r="AV2390" i="5"/>
  <c r="AS2390" i="5"/>
  <c r="AT2390" i="5" s="1"/>
  <c r="AR2390" i="5"/>
  <c r="AO2390" i="5"/>
  <c r="AP2390" i="5" s="1"/>
  <c r="AN2390" i="5"/>
  <c r="AW2389" i="5"/>
  <c r="AV2389" i="5"/>
  <c r="AS2389" i="5"/>
  <c r="AT2389" i="5" s="1"/>
  <c r="AR2389" i="5"/>
  <c r="AO2389" i="5"/>
  <c r="AP2389" i="5" s="1"/>
  <c r="AN2389" i="5"/>
  <c r="AW2388" i="5"/>
  <c r="AV2388" i="5"/>
  <c r="AS2388" i="5"/>
  <c r="AT2388" i="5" s="1"/>
  <c r="AR2388" i="5"/>
  <c r="AO2388" i="5"/>
  <c r="AP2388" i="5" s="1"/>
  <c r="AN2388" i="5"/>
  <c r="AW2387" i="5"/>
  <c r="AV2387" i="5"/>
  <c r="AS2387" i="5"/>
  <c r="AT2387" i="5" s="1"/>
  <c r="AR2387" i="5"/>
  <c r="AO2387" i="5"/>
  <c r="AP2387" i="5" s="1"/>
  <c r="AN2387" i="5"/>
  <c r="AW2386" i="5"/>
  <c r="AV2386" i="5"/>
  <c r="AS2386" i="5"/>
  <c r="AT2386" i="5" s="1"/>
  <c r="AR2386" i="5"/>
  <c r="AO2386" i="5"/>
  <c r="AP2386" i="5" s="1"/>
  <c r="AN2386" i="5"/>
  <c r="AW2385" i="5"/>
  <c r="AV2385" i="5"/>
  <c r="AS2385" i="5"/>
  <c r="AT2385" i="5" s="1"/>
  <c r="AR2385" i="5"/>
  <c r="AO2385" i="5"/>
  <c r="AP2385" i="5" s="1"/>
  <c r="AN2385" i="5"/>
  <c r="AV2326" i="5"/>
  <c r="AT2326" i="5"/>
  <c r="AR2326" i="5"/>
  <c r="AP2326" i="5"/>
  <c r="AN2326" i="5"/>
  <c r="AV2325" i="5"/>
  <c r="AT2325" i="5"/>
  <c r="AR2325" i="5"/>
  <c r="AP2325" i="5"/>
  <c r="AN2325" i="5"/>
  <c r="AV2324" i="5"/>
  <c r="AT2324" i="5"/>
  <c r="AR2324" i="5"/>
  <c r="AP2324" i="5"/>
  <c r="AN2324" i="5"/>
  <c r="AV2323" i="5"/>
  <c r="AT2323" i="5"/>
  <c r="AR2323" i="5"/>
  <c r="AP2323" i="5"/>
  <c r="AN2323" i="5"/>
  <c r="AV2322" i="5"/>
  <c r="AT2322" i="5"/>
  <c r="AR2322" i="5"/>
  <c r="AP2322" i="5"/>
  <c r="AN2322" i="5"/>
  <c r="AV2321" i="5"/>
  <c r="AT2321" i="5"/>
  <c r="AR2321" i="5"/>
  <c r="AP2321" i="5"/>
  <c r="AN2321" i="5"/>
  <c r="AV2320" i="5"/>
  <c r="AT2320" i="5"/>
  <c r="AR2320" i="5"/>
  <c r="AP2320" i="5"/>
  <c r="AN2320" i="5"/>
  <c r="AV2319" i="5"/>
  <c r="AT2319" i="5"/>
  <c r="AR2319" i="5"/>
  <c r="AP2319" i="5"/>
  <c r="AN2319" i="5"/>
  <c r="AV2318" i="5"/>
  <c r="AT2318" i="5"/>
  <c r="AR2318" i="5"/>
  <c r="AP2318" i="5"/>
  <c r="AN2318" i="5"/>
  <c r="AV2317" i="5"/>
  <c r="AT2317" i="5"/>
  <c r="AR2317" i="5"/>
  <c r="AP2317" i="5"/>
  <c r="AN2317" i="5"/>
  <c r="AW2279" i="5"/>
  <c r="AU2279" i="5"/>
  <c r="AV2279" i="5" s="1"/>
  <c r="AS2279" i="5"/>
  <c r="AT2279" i="5" s="1"/>
  <c r="AQ2279" i="5"/>
  <c r="AR2279" i="5" s="1"/>
  <c r="AO2279" i="5"/>
  <c r="AP2279" i="5" s="1"/>
  <c r="AM2279" i="5"/>
  <c r="AN2279" i="5" s="1"/>
  <c r="AW2278" i="5"/>
  <c r="AU2278" i="5"/>
  <c r="AV2278" i="5" s="1"/>
  <c r="AS2278" i="5"/>
  <c r="AT2278" i="5" s="1"/>
  <c r="AQ2278" i="5"/>
  <c r="AR2278" i="5" s="1"/>
  <c r="AO2278" i="5"/>
  <c r="AP2278" i="5" s="1"/>
  <c r="AM2278" i="5"/>
  <c r="AN2278" i="5" s="1"/>
  <c r="AW2277" i="5"/>
  <c r="AU2277" i="5"/>
  <c r="AV2277" i="5" s="1"/>
  <c r="AS2277" i="5"/>
  <c r="AT2277" i="5" s="1"/>
  <c r="AQ2277" i="5"/>
  <c r="AR2277" i="5" s="1"/>
  <c r="AO2277" i="5"/>
  <c r="AP2277" i="5" s="1"/>
  <c r="AM2277" i="5"/>
  <c r="AN2277" i="5" s="1"/>
  <c r="AW2276" i="5"/>
  <c r="AU2276" i="5"/>
  <c r="AV2276" i="5" s="1"/>
  <c r="AS2276" i="5"/>
  <c r="AT2276" i="5" s="1"/>
  <c r="AQ2276" i="5"/>
  <c r="AR2276" i="5" s="1"/>
  <c r="AO2276" i="5"/>
  <c r="AP2276" i="5" s="1"/>
  <c r="AM2276" i="5"/>
  <c r="AN2276" i="5" s="1"/>
  <c r="AW2275" i="5"/>
  <c r="AU2275" i="5"/>
  <c r="AV2275" i="5" s="1"/>
  <c r="AS2275" i="5"/>
  <c r="AT2275" i="5" s="1"/>
  <c r="AQ2275" i="5"/>
  <c r="AR2275" i="5" s="1"/>
  <c r="AO2275" i="5"/>
  <c r="AP2275" i="5" s="1"/>
  <c r="AM2275" i="5"/>
  <c r="AN2275" i="5" s="1"/>
  <c r="AW2274" i="5"/>
  <c r="AU2274" i="5"/>
  <c r="AV2274" i="5" s="1"/>
  <c r="AS2274" i="5"/>
  <c r="AT2274" i="5" s="1"/>
  <c r="AQ2274" i="5"/>
  <c r="AR2274" i="5" s="1"/>
  <c r="AO2274" i="5"/>
  <c r="AP2274" i="5" s="1"/>
  <c r="AM2274" i="5"/>
  <c r="AN2274" i="5" s="1"/>
  <c r="AW2273" i="5"/>
  <c r="AU2273" i="5"/>
  <c r="AV2273" i="5" s="1"/>
  <c r="AS2273" i="5"/>
  <c r="AT2273" i="5" s="1"/>
  <c r="AQ2273" i="5"/>
  <c r="AR2273" i="5" s="1"/>
  <c r="AO2273" i="5"/>
  <c r="AP2273" i="5" s="1"/>
  <c r="AM2273" i="5"/>
  <c r="AN2273" i="5" s="1"/>
  <c r="AW2272" i="5"/>
  <c r="AU2272" i="5"/>
  <c r="AV2272" i="5" s="1"/>
  <c r="AS2272" i="5"/>
  <c r="AT2272" i="5" s="1"/>
  <c r="AQ2272" i="5"/>
  <c r="AR2272" i="5" s="1"/>
  <c r="AO2272" i="5"/>
  <c r="AP2272" i="5" s="1"/>
  <c r="AM2272" i="5"/>
  <c r="AN2272" i="5" s="1"/>
  <c r="AW2271" i="5"/>
  <c r="AU2271" i="5"/>
  <c r="AV2271" i="5" s="1"/>
  <c r="AS2271" i="5"/>
  <c r="AT2271" i="5" s="1"/>
  <c r="AQ2271" i="5"/>
  <c r="AR2271" i="5" s="1"/>
  <c r="AO2271" i="5"/>
  <c r="AP2271" i="5" s="1"/>
  <c r="AM2271" i="5"/>
  <c r="AN2271" i="5" s="1"/>
  <c r="AW2270" i="5"/>
  <c r="AU2270" i="5"/>
  <c r="AV2270" i="5" s="1"/>
  <c r="AS2270" i="5"/>
  <c r="AT2270" i="5" s="1"/>
  <c r="AQ2270" i="5"/>
  <c r="AR2270" i="5" s="1"/>
  <c r="AO2270" i="5"/>
  <c r="AP2270" i="5" s="1"/>
  <c r="AM2270" i="5"/>
  <c r="AN2270" i="5" s="1"/>
  <c r="AV2258" i="5"/>
  <c r="AT2258" i="5"/>
  <c r="AR2258" i="5"/>
  <c r="AP2258" i="5"/>
  <c r="AN2258" i="5"/>
  <c r="AV2257" i="5"/>
  <c r="AT2257" i="5"/>
  <c r="AR2257" i="5"/>
  <c r="AP2257" i="5"/>
  <c r="AN2257" i="5"/>
  <c r="AV2256" i="5"/>
  <c r="AT2256" i="5"/>
  <c r="AR2256" i="5"/>
  <c r="AP2256" i="5"/>
  <c r="AN2256" i="5"/>
  <c r="AV2246" i="5"/>
  <c r="AV2247" i="5"/>
  <c r="AV2248" i="5"/>
  <c r="AV2249" i="5"/>
  <c r="AV2250" i="5"/>
  <c r="AV2251" i="5"/>
  <c r="AV2252" i="5"/>
  <c r="AV2253" i="5"/>
  <c r="AV2254" i="5"/>
  <c r="AV2245" i="5"/>
  <c r="AT2246" i="5"/>
  <c r="AT2247" i="5"/>
  <c r="AT2248" i="5"/>
  <c r="AT2249" i="5"/>
  <c r="AT2250" i="5"/>
  <c r="AT2251" i="5"/>
  <c r="AT2252" i="5"/>
  <c r="AT2253" i="5"/>
  <c r="AT2254" i="5"/>
  <c r="AT2245" i="5"/>
  <c r="AR2246" i="5"/>
  <c r="AR2247" i="5"/>
  <c r="AR2248" i="5"/>
  <c r="AR2249" i="5"/>
  <c r="AR2250" i="5"/>
  <c r="AR2251" i="5"/>
  <c r="AR2252" i="5"/>
  <c r="AR2253" i="5"/>
  <c r="AR2254" i="5"/>
  <c r="AR2245" i="5"/>
  <c r="AP2247" i="5"/>
  <c r="AN2246" i="5"/>
  <c r="AN2247" i="5"/>
  <c r="AN2248" i="5"/>
  <c r="AN2249" i="5"/>
  <c r="AN2250" i="5"/>
  <c r="AN2251" i="5"/>
  <c r="AN2252" i="5"/>
  <c r="AN2253" i="5"/>
  <c r="AN2254" i="5"/>
  <c r="AN2245" i="5"/>
  <c r="AE2190" i="5"/>
  <c r="AE2189" i="5"/>
  <c r="AP2185" i="5"/>
  <c r="AN2185" i="5"/>
  <c r="AV2185" i="5"/>
  <c r="AT2185" i="5"/>
  <c r="AR2185" i="5"/>
  <c r="AP2183" i="5"/>
  <c r="AV2184" i="5"/>
  <c r="AT2184" i="5"/>
  <c r="AR2184" i="5"/>
  <c r="AP2184" i="5"/>
  <c r="AN2184" i="5"/>
  <c r="AV2183" i="5"/>
  <c r="AT2183" i="5"/>
  <c r="AR2183" i="5"/>
  <c r="AN2183" i="5"/>
  <c r="AP2180" i="5"/>
  <c r="AV2181" i="5"/>
  <c r="AT2181" i="5"/>
  <c r="AR2181" i="5"/>
  <c r="AP2181" i="5"/>
  <c r="AN2181" i="5"/>
  <c r="AV2180" i="5"/>
  <c r="AT2180" i="5"/>
  <c r="AR2180" i="5"/>
  <c r="AN2180" i="5"/>
  <c r="AV2178" i="5"/>
  <c r="AV2177" i="5"/>
  <c r="AT2178" i="5"/>
  <c r="AT2177" i="5"/>
  <c r="AR2178" i="5"/>
  <c r="AR2177" i="5"/>
  <c r="AP2178" i="5"/>
  <c r="AP2177" i="5"/>
  <c r="AN2177" i="5"/>
  <c r="AN2178" i="5"/>
  <c r="AK2118" i="5"/>
  <c r="AQ2118" i="5"/>
  <c r="AM2118" i="5"/>
  <c r="AO2118" i="5"/>
  <c r="AI2118" i="5"/>
  <c r="AE2059" i="5"/>
  <c r="AE2060" i="5"/>
  <c r="AE2061" i="5"/>
  <c r="AE2062" i="5"/>
  <c r="AE2063" i="5"/>
  <c r="AE2058" i="5"/>
  <c r="AK2054" i="5"/>
  <c r="AK2053" i="5"/>
  <c r="AI2054" i="5"/>
  <c r="AI2053" i="5"/>
  <c r="AG2054" i="5"/>
  <c r="AG2053" i="5"/>
  <c r="AE2046" i="5"/>
  <c r="AF2046" i="5" s="1"/>
  <c r="AE1996" i="5"/>
  <c r="AE1997" i="5"/>
  <c r="AE1994" i="5"/>
  <c r="AQ1987" i="5"/>
  <c r="AQ1988" i="5"/>
  <c r="AQ1989" i="5"/>
  <c r="AQ1990" i="5"/>
  <c r="AQ1986" i="5"/>
  <c r="AO1987" i="5"/>
  <c r="AO1988" i="5"/>
  <c r="AO1989" i="5"/>
  <c r="AO1990" i="5"/>
  <c r="AO1986" i="5"/>
  <c r="AM1987" i="5"/>
  <c r="AM1988" i="5"/>
  <c r="AM1989" i="5"/>
  <c r="AM1990" i="5"/>
  <c r="AM1986" i="5"/>
  <c r="AK1987" i="5"/>
  <c r="AK1988" i="5"/>
  <c r="AK1989" i="5"/>
  <c r="AK1990" i="5"/>
  <c r="AK1986" i="5"/>
  <c r="AI1987" i="5"/>
  <c r="AI1988" i="5"/>
  <c r="AI1989" i="5"/>
  <c r="AI1990" i="5"/>
  <c r="AI1986" i="5"/>
  <c r="AE1927" i="5"/>
  <c r="AE1928" i="5"/>
  <c r="AE1929" i="5"/>
  <c r="AE1930" i="5"/>
  <c r="AE1931" i="5"/>
  <c r="AE1926" i="5"/>
  <c r="AE1913" i="5"/>
  <c r="AF1913" i="5" s="1"/>
  <c r="AE1919" i="5"/>
  <c r="AE1920" i="5"/>
  <c r="AE1921" i="5"/>
  <c r="AE1922" i="5"/>
  <c r="AE1918" i="5"/>
  <c r="AE1854" i="5"/>
  <c r="AE1857" i="5"/>
  <c r="AE1860" i="5"/>
  <c r="AE1855" i="5"/>
  <c r="AE1859" i="5"/>
  <c r="AE1861" i="5"/>
  <c r="AE1853" i="5"/>
  <c r="AN1844" i="5"/>
  <c r="AN1845" i="5"/>
  <c r="AN1846" i="5"/>
  <c r="AN1847" i="5"/>
  <c r="AN1848" i="5"/>
  <c r="AN1849" i="5"/>
  <c r="AN1843" i="5"/>
  <c r="AL1844" i="5"/>
  <c r="AL1845" i="5"/>
  <c r="AL1846" i="5"/>
  <c r="AL1847" i="5"/>
  <c r="AL1848" i="5"/>
  <c r="AL1849" i="5"/>
  <c r="AL1843" i="5"/>
  <c r="AJ1844" i="5"/>
  <c r="AJ1845" i="5"/>
  <c r="AJ1846" i="5"/>
  <c r="AJ1847" i="5"/>
  <c r="AJ1848" i="5"/>
  <c r="AJ1849" i="5"/>
  <c r="AJ1843" i="5"/>
  <c r="AH1844" i="5"/>
  <c r="AH1845" i="5"/>
  <c r="AH1846" i="5"/>
  <c r="AH1847" i="5"/>
  <c r="AH1848" i="5"/>
  <c r="AH1849" i="5"/>
  <c r="AH1843" i="5"/>
  <c r="AD1786" i="5"/>
  <c r="AE1786" i="5" s="1"/>
  <c r="AE1777" i="5"/>
  <c r="AE1778" i="5"/>
  <c r="AE1779" i="5"/>
  <c r="AE1781" i="5"/>
  <c r="AE1783" i="5"/>
  <c r="AE1784" i="5"/>
  <c r="AE1785" i="5"/>
  <c r="AE1787" i="5"/>
  <c r="AE1776" i="5"/>
  <c r="AL1766" i="5"/>
  <c r="AL1769" i="5"/>
  <c r="AN1767" i="5"/>
  <c r="AN1768" i="5"/>
  <c r="AN1769" i="5"/>
  <c r="AN1770" i="5"/>
  <c r="AN1771" i="5"/>
  <c r="AN1772" i="5"/>
  <c r="AN1766" i="5"/>
  <c r="AL1767" i="5"/>
  <c r="AL1768" i="5"/>
  <c r="AL1770" i="5"/>
  <c r="AL1771" i="5"/>
  <c r="AL1772" i="5"/>
  <c r="AJ1767" i="5"/>
  <c r="AJ1768" i="5"/>
  <c r="AJ1769" i="5"/>
  <c r="AJ1770" i="5"/>
  <c r="AJ1771" i="5"/>
  <c r="AJ1772" i="5"/>
  <c r="AJ1766" i="5"/>
  <c r="AH1767" i="5"/>
  <c r="AH1768" i="5"/>
  <c r="AH1769" i="5"/>
  <c r="AH1770" i="5"/>
  <c r="AH1771" i="5"/>
  <c r="AH1772" i="5"/>
  <c r="AH1766" i="5"/>
  <c r="AE1760" i="5"/>
  <c r="AF1760" i="5" s="1"/>
  <c r="AC1709" i="5"/>
  <c r="AD1709" i="5" s="1"/>
  <c r="AE1709" i="5" s="1"/>
  <c r="AC1701" i="5"/>
  <c r="AD1701" i="5" s="1"/>
  <c r="AE1701" i="5" s="1"/>
  <c r="AC1700" i="5"/>
  <c r="AD1700" i="5" s="1"/>
  <c r="AE1700" i="5" s="1"/>
  <c r="AE1702" i="5"/>
  <c r="AE1704" i="5"/>
  <c r="AE1706" i="5"/>
  <c r="AE1707" i="5"/>
  <c r="AE1708" i="5"/>
  <c r="AE1710" i="5"/>
  <c r="AE1699" i="5"/>
  <c r="AG1693" i="5"/>
  <c r="AH1690" i="5"/>
  <c r="AK1694" i="5"/>
  <c r="AK1695" i="5"/>
  <c r="AK1693" i="5"/>
  <c r="AI1693" i="5"/>
  <c r="AI1694" i="5"/>
  <c r="AI1695" i="5"/>
  <c r="AN1690" i="5"/>
  <c r="AM1690" i="5"/>
  <c r="AG1694" i="5"/>
  <c r="AG1695" i="5"/>
  <c r="AQ1619" i="5"/>
  <c r="AQ1620" i="5"/>
  <c r="AQ1621" i="5"/>
  <c r="AQ1618" i="5"/>
  <c r="AO1619" i="5"/>
  <c r="AO1620" i="5"/>
  <c r="AO1621" i="5"/>
  <c r="AO1618" i="5"/>
  <c r="AM1619" i="5"/>
  <c r="AM1620" i="5"/>
  <c r="AM1621" i="5"/>
  <c r="AM1618" i="5"/>
  <c r="AK1619" i="5"/>
  <c r="AK1620" i="5"/>
  <c r="AK1621" i="5"/>
  <c r="AK1618" i="5"/>
  <c r="AI1619" i="5"/>
  <c r="AI1620" i="5"/>
  <c r="AI1621" i="5"/>
  <c r="AI1618" i="5"/>
  <c r="AG1613" i="5"/>
  <c r="AH1613" i="5" s="1"/>
  <c r="AQ1545" i="5"/>
  <c r="AQ1546" i="5"/>
  <c r="AQ1544" i="5"/>
  <c r="AO1545" i="5"/>
  <c r="AO1546" i="5"/>
  <c r="AO1544" i="5"/>
  <c r="AM1545" i="5"/>
  <c r="AM1546" i="5"/>
  <c r="AM1544" i="5"/>
  <c r="AK1545" i="5"/>
  <c r="AK1546" i="5"/>
  <c r="AK1544" i="5"/>
  <c r="AI1545" i="5"/>
  <c r="AI1546" i="5"/>
  <c r="AI1544" i="5"/>
  <c r="AQ1471" i="5"/>
  <c r="AQ1472" i="5"/>
  <c r="AQ1470" i="5"/>
  <c r="AO1471" i="5"/>
  <c r="AO1472" i="5"/>
  <c r="AO1470" i="5"/>
  <c r="AM1471" i="5"/>
  <c r="AM1472" i="5"/>
  <c r="AM1470" i="5"/>
  <c r="AK1471" i="5"/>
  <c r="AK1472" i="5"/>
  <c r="AK1470" i="5"/>
  <c r="AI1471" i="5"/>
  <c r="AI1472" i="5"/>
  <c r="AI1470" i="5"/>
  <c r="AG1465" i="5"/>
  <c r="AH1465" i="5" s="1"/>
  <c r="AQ1397" i="5"/>
  <c r="AQ1398" i="5"/>
  <c r="AQ1396" i="5"/>
  <c r="AO1397" i="5"/>
  <c r="AO1398" i="5"/>
  <c r="AO1396" i="5"/>
  <c r="AM1397" i="5"/>
  <c r="AM1398" i="5"/>
  <c r="AM1396" i="5"/>
  <c r="AK1397" i="5"/>
  <c r="AK1398" i="5"/>
  <c r="AK1396" i="5"/>
  <c r="AI1397" i="5"/>
  <c r="AI1398" i="5"/>
  <c r="AG1386" i="5"/>
  <c r="AH1386" i="5" s="1"/>
  <c r="AQ1324" i="5"/>
  <c r="AQ1323" i="5"/>
  <c r="AO1324" i="5"/>
  <c r="AO1323" i="5"/>
  <c r="AM1324" i="5"/>
  <c r="AM1323" i="5"/>
  <c r="AK1324" i="5"/>
  <c r="AK1323" i="5"/>
  <c r="AI1324" i="5"/>
  <c r="AI1323" i="5"/>
  <c r="AQ1252" i="5"/>
  <c r="AQ1251" i="5"/>
  <c r="AO1252" i="5"/>
  <c r="AO1251" i="5"/>
  <c r="AM1252" i="5"/>
  <c r="AM1251" i="5"/>
  <c r="AK1252" i="5"/>
  <c r="AK1251" i="5"/>
  <c r="AI1252" i="5"/>
  <c r="AI1251" i="5"/>
  <c r="AQ1175" i="5"/>
  <c r="AQ1176" i="5"/>
  <c r="AQ1177" i="5"/>
  <c r="AQ1178" i="5"/>
  <c r="AQ1174" i="5"/>
  <c r="AO1175" i="5"/>
  <c r="AO1176" i="5"/>
  <c r="AO1177" i="5"/>
  <c r="AO1178" i="5"/>
  <c r="AO1174" i="5"/>
  <c r="AM1175" i="5"/>
  <c r="AM1176" i="5"/>
  <c r="AM1177" i="5"/>
  <c r="AM1178" i="5"/>
  <c r="AM1174" i="5"/>
  <c r="AI1175" i="5"/>
  <c r="AI1177" i="5"/>
  <c r="AK1175" i="5"/>
  <c r="AK1176" i="5"/>
  <c r="AK1177" i="5"/>
  <c r="AK1178" i="5"/>
  <c r="AK1174" i="5"/>
  <c r="AI1176" i="5"/>
  <c r="AI1178" i="5"/>
  <c r="AI1174" i="5"/>
  <c r="AE1107" i="5"/>
  <c r="AE1110" i="5"/>
  <c r="AE1114" i="5"/>
  <c r="AE1116" i="5"/>
  <c r="AE1108" i="5"/>
  <c r="AE1112" i="5"/>
  <c r="AE1115" i="5"/>
  <c r="AE1117" i="5"/>
  <c r="AE1106" i="5"/>
  <c r="AQ1102" i="5"/>
  <c r="AQ1101" i="5"/>
  <c r="AO1102" i="5"/>
  <c r="AO1101" i="5"/>
  <c r="AM1102" i="5"/>
  <c r="AM1101" i="5"/>
  <c r="AK1102" i="5"/>
  <c r="AK1101" i="5"/>
  <c r="AI1102" i="5"/>
  <c r="AI1101" i="5"/>
  <c r="AF1095" i="5"/>
  <c r="AG1095" i="5" s="1"/>
  <c r="AM1024" i="5"/>
  <c r="AK1026" i="5"/>
  <c r="AQ1024" i="5"/>
  <c r="AQ1025" i="5"/>
  <c r="AQ1026" i="5"/>
  <c r="AQ1027" i="5"/>
  <c r="AQ1028" i="5"/>
  <c r="AQ1023" i="5"/>
  <c r="AO1024" i="5"/>
  <c r="AO1025" i="5"/>
  <c r="AO1026" i="5"/>
  <c r="AO1027" i="5"/>
  <c r="AO1028" i="5"/>
  <c r="AO1023" i="5"/>
  <c r="AM1025" i="5"/>
  <c r="AM1026" i="5"/>
  <c r="AM1027" i="5"/>
  <c r="AM1028" i="5"/>
  <c r="AM1023" i="5"/>
  <c r="AK1024" i="5"/>
  <c r="AK1025" i="5"/>
  <c r="AK1027" i="5"/>
  <c r="AK1028" i="5"/>
  <c r="AK1023" i="5"/>
  <c r="AI1024" i="5"/>
  <c r="AI1025" i="5"/>
  <c r="AI1026" i="5"/>
  <c r="AI1027" i="5"/>
  <c r="AI1028" i="5"/>
  <c r="AI1023" i="5"/>
  <c r="AE1018" i="5"/>
  <c r="AF1018" i="5" s="1"/>
  <c r="AE955" i="5"/>
  <c r="AE956" i="5"/>
  <c r="AE957" i="5"/>
  <c r="AE959" i="5"/>
  <c r="AE961" i="5"/>
  <c r="AE963" i="5"/>
  <c r="AE964" i="5"/>
  <c r="AE965" i="5"/>
  <c r="AE966" i="5"/>
  <c r="AE954" i="5"/>
  <c r="AQ946" i="5"/>
  <c r="AQ947" i="5"/>
  <c r="AQ948" i="5"/>
  <c r="AQ949" i="5"/>
  <c r="AQ950" i="5"/>
  <c r="AQ945" i="5"/>
  <c r="AO946" i="5"/>
  <c r="AO947" i="5"/>
  <c r="AO948" i="5"/>
  <c r="AO949" i="5"/>
  <c r="AO950" i="5"/>
  <c r="AO945" i="5"/>
  <c r="AM946" i="5"/>
  <c r="AM947" i="5"/>
  <c r="AM948" i="5"/>
  <c r="AM949" i="5"/>
  <c r="AM950" i="5"/>
  <c r="AM945" i="5"/>
  <c r="AK946" i="5"/>
  <c r="AK947" i="5"/>
  <c r="AK948" i="5"/>
  <c r="AK950" i="5"/>
  <c r="AK945" i="5"/>
  <c r="AK949" i="5"/>
  <c r="AI946" i="5"/>
  <c r="AI947" i="5"/>
  <c r="AI948" i="5"/>
  <c r="AI949" i="5"/>
  <c r="AI950" i="5"/>
  <c r="AI945" i="5"/>
  <c r="AQ873" i="5"/>
  <c r="AQ872" i="5"/>
  <c r="AO873" i="5"/>
  <c r="AO872" i="5"/>
  <c r="AM873" i="5"/>
  <c r="AM872" i="5"/>
  <c r="AK873" i="5"/>
  <c r="AK872" i="5"/>
  <c r="AI873" i="5"/>
  <c r="AI872" i="5"/>
  <c r="AH861" i="5"/>
  <c r="AI861" i="5" s="1"/>
  <c r="AQ800" i="5"/>
  <c r="AQ799" i="5"/>
  <c r="AN800" i="5"/>
  <c r="AO800" i="5" s="1"/>
  <c r="AN799" i="5"/>
  <c r="AO799" i="5" s="1"/>
  <c r="AM800" i="5"/>
  <c r="AM799" i="5"/>
  <c r="AK800" i="5"/>
  <c r="AK799" i="5"/>
  <c r="AI800" i="5"/>
  <c r="AI799" i="5"/>
  <c r="AQ727" i="5"/>
  <c r="AQ726" i="5"/>
  <c r="AO727" i="5"/>
  <c r="AO726" i="5"/>
  <c r="AM727" i="5"/>
  <c r="AM726" i="5"/>
  <c r="AK727" i="5"/>
  <c r="AK726" i="5"/>
  <c r="AI727" i="5"/>
  <c r="AI726" i="5"/>
  <c r="AE732" i="5"/>
  <c r="AE733" i="5"/>
  <c r="AE735" i="5"/>
  <c r="AE737" i="5"/>
  <c r="AE739" i="5"/>
  <c r="AE740" i="5"/>
  <c r="AE741" i="5"/>
  <c r="AE742" i="5"/>
  <c r="AE731" i="5"/>
  <c r="AE659" i="5"/>
  <c r="AQ655" i="5"/>
  <c r="AQ654" i="5"/>
  <c r="AO655" i="5"/>
  <c r="AO654" i="5"/>
  <c r="AK655" i="5"/>
  <c r="AM655" i="5"/>
  <c r="AM654" i="5"/>
  <c r="AK654" i="5"/>
  <c r="AI655" i="5"/>
  <c r="AI654" i="5"/>
  <c r="AE587" i="5"/>
  <c r="AE588" i="5"/>
  <c r="AE590" i="5"/>
  <c r="AE592" i="5"/>
  <c r="AE594" i="5"/>
  <c r="AE595" i="5"/>
  <c r="AE596" i="5"/>
  <c r="AE597" i="5"/>
  <c r="AE586" i="5"/>
  <c r="AQ581" i="5"/>
  <c r="AQ582" i="5"/>
  <c r="AQ580" i="5"/>
  <c r="AO581" i="5"/>
  <c r="AO582" i="5"/>
  <c r="AO580" i="5"/>
  <c r="AM581" i="5"/>
  <c r="AM582" i="5"/>
  <c r="AM580" i="5"/>
  <c r="AK581" i="5"/>
  <c r="AK582" i="5"/>
  <c r="AK580" i="5"/>
  <c r="AI581" i="5"/>
  <c r="AI582" i="5"/>
  <c r="AI580" i="5"/>
  <c r="AE514" i="5"/>
  <c r="AE515" i="5"/>
  <c r="AE516" i="5"/>
  <c r="AE518" i="5"/>
  <c r="AE520" i="5"/>
  <c r="AE521" i="5"/>
  <c r="AE522" i="5"/>
  <c r="AE523" i="5"/>
  <c r="AE513" i="5"/>
  <c r="AD505" i="5"/>
  <c r="AE505" i="5"/>
  <c r="AQ508" i="5"/>
  <c r="AQ509" i="5"/>
  <c r="AQ507" i="5"/>
  <c r="AO508" i="5"/>
  <c r="AO509" i="5"/>
  <c r="AO507" i="5"/>
  <c r="AM508" i="5"/>
  <c r="AM509" i="5"/>
  <c r="AM507" i="5"/>
  <c r="AK508" i="5"/>
  <c r="AK509" i="5"/>
  <c r="AK507" i="5"/>
  <c r="AI508" i="5"/>
  <c r="AI509" i="5"/>
  <c r="AI507" i="5"/>
  <c r="AE378" i="5"/>
  <c r="AE379" i="5"/>
  <c r="AE380" i="5"/>
  <c r="AE382" i="5"/>
  <c r="AE384" i="5"/>
  <c r="AE385" i="5"/>
  <c r="AE386" i="5"/>
  <c r="AE387" i="5"/>
  <c r="AE389" i="5"/>
  <c r="AD388" i="5"/>
  <c r="AE388" i="5" s="1"/>
  <c r="AE377" i="5"/>
  <c r="AE373" i="5"/>
  <c r="AE305" i="5"/>
  <c r="AE306" i="5"/>
  <c r="AE307" i="5"/>
  <c r="AE308" i="5"/>
  <c r="AE310" i="5"/>
  <c r="AE312" i="5"/>
  <c r="AE313" i="5"/>
  <c r="AE314" i="5"/>
  <c r="AE315" i="5"/>
  <c r="AD316" i="5"/>
  <c r="AE316" i="5" s="1"/>
  <c r="AE317" i="5"/>
  <c r="AE304" i="5"/>
  <c r="AK297" i="5"/>
  <c r="AK298" i="5"/>
  <c r="AK299" i="5"/>
  <c r="AK300" i="5"/>
  <c r="AK296" i="5"/>
  <c r="AI297" i="5"/>
  <c r="AI298" i="5"/>
  <c r="AI299" i="5"/>
  <c r="AI300" i="5"/>
  <c r="AI296" i="5"/>
  <c r="AG297" i="5"/>
  <c r="AG298" i="5"/>
  <c r="AG299" i="5"/>
  <c r="AG300" i="5"/>
  <c r="AG296" i="5"/>
  <c r="AE178" i="5"/>
  <c r="AE179" i="5"/>
  <c r="AE180" i="5"/>
  <c r="AE181" i="5"/>
  <c r="AE182" i="5"/>
  <c r="AE184" i="5"/>
  <c r="AE186" i="5"/>
  <c r="AE187" i="5"/>
  <c r="AE188" i="5"/>
  <c r="AE189" i="5"/>
  <c r="AE191" i="5"/>
  <c r="AD190" i="5"/>
  <c r="AE190" i="5" s="1"/>
  <c r="AE177" i="5"/>
  <c r="AH96" i="5"/>
  <c r="AH95" i="5"/>
  <c r="AG96" i="5"/>
  <c r="AG95" i="5"/>
  <c r="AK170" i="5"/>
  <c r="AK171" i="5"/>
  <c r="AK172" i="5"/>
  <c r="AK173" i="5"/>
  <c r="AK169" i="5"/>
  <c r="AI170" i="5"/>
  <c r="AI171" i="5"/>
  <c r="AI172" i="5"/>
  <c r="AI173" i="5"/>
  <c r="AI169" i="5"/>
  <c r="AG170" i="5"/>
  <c r="AG171" i="5"/>
  <c r="AG172" i="5"/>
  <c r="AG173" i="5"/>
  <c r="AG169" i="5"/>
  <c r="AC112" i="5"/>
  <c r="AD112" i="5" s="1"/>
  <c r="AE112" i="5" s="1"/>
  <c r="AE101" i="5"/>
  <c r="AE102" i="5"/>
  <c r="AE103" i="5"/>
  <c r="AE104" i="5"/>
  <c r="AE106" i="5"/>
  <c r="AE108" i="5"/>
  <c r="AE109" i="5"/>
  <c r="AE110" i="5"/>
  <c r="AE111" i="5"/>
  <c r="AE113" i="5"/>
  <c r="AE100" i="5"/>
  <c r="AE25" i="5"/>
  <c r="AE26" i="5"/>
  <c r="AD38" i="5"/>
  <c r="AE38" i="5" s="1"/>
  <c r="AE27" i="5"/>
  <c r="AE28" i="5"/>
  <c r="AE29" i="5"/>
  <c r="AE30" i="5"/>
  <c r="AE32" i="5"/>
  <c r="AE34" i="5"/>
  <c r="AE35" i="5"/>
  <c r="AE36" i="5"/>
  <c r="AE37" i="5"/>
  <c r="AE39" i="5"/>
  <c r="AE24" i="5"/>
  <c r="AH17" i="5"/>
  <c r="AH19" i="5"/>
  <c r="AH16" i="5"/>
  <c r="AG16" i="5"/>
  <c r="AH20" i="5"/>
  <c r="AH15" i="5"/>
  <c r="AG17" i="5"/>
  <c r="AG18" i="5"/>
  <c r="AG19" i="5"/>
  <c r="AG20" i="5"/>
  <c r="AG15" i="5"/>
  <c r="AH18" i="5"/>
  <c r="D15" i="5"/>
  <c r="E15" i="5" s="1"/>
  <c r="D12" i="7" s="1"/>
  <c r="AL2259" i="5"/>
  <c r="AJ2259" i="5"/>
  <c r="AH2259" i="5"/>
  <c r="AF2259" i="5"/>
  <c r="AD2259" i="5"/>
  <c r="AE2244" i="5"/>
  <c r="AE2052" i="5"/>
  <c r="AD2052" i="5"/>
  <c r="AE724" i="5"/>
  <c r="E5" i="5"/>
  <c r="D4" i="7" s="1"/>
  <c r="B1" i="5"/>
  <c r="AG2175" i="5"/>
  <c r="AE2175" i="5"/>
  <c r="AE2116" i="5"/>
  <c r="AF2116" i="5"/>
  <c r="AG2116" i="5"/>
  <c r="AD2116" i="5"/>
  <c r="AE1616" i="5"/>
  <c r="AF1616" i="5"/>
  <c r="AG1616" i="5"/>
  <c r="AD1616" i="5"/>
  <c r="AE1542" i="5"/>
  <c r="AF1542" i="5"/>
  <c r="AG1542" i="5"/>
  <c r="AD1542" i="5"/>
  <c r="AG1468" i="5"/>
  <c r="AE1468" i="5"/>
  <c r="AF1468" i="5"/>
  <c r="AD1468" i="5"/>
  <c r="AE1394" i="5"/>
  <c r="AF1394" i="5"/>
  <c r="AG1394" i="5"/>
  <c r="AD1394" i="5"/>
  <c r="AE1321" i="5"/>
  <c r="AF1321" i="5"/>
  <c r="AG1321" i="5"/>
  <c r="AD1321" i="5"/>
  <c r="AE1249" i="5"/>
  <c r="AF1249" i="5"/>
  <c r="AG1249" i="5"/>
  <c r="AD1249" i="5"/>
  <c r="AE1172" i="5"/>
  <c r="AF1172" i="5"/>
  <c r="AG1172" i="5"/>
  <c r="AD1172" i="5"/>
  <c r="AD1099" i="5"/>
  <c r="AG1099" i="5"/>
  <c r="AE1099" i="5"/>
  <c r="AF1099" i="5"/>
  <c r="AE1021" i="5"/>
  <c r="AF1021" i="5"/>
  <c r="AG1021" i="5"/>
  <c r="AD1021" i="5"/>
  <c r="AE943" i="5"/>
  <c r="AF943" i="5"/>
  <c r="AG943" i="5"/>
  <c r="AD943" i="5"/>
  <c r="AF870" i="5"/>
  <c r="AE870" i="5"/>
  <c r="AG870" i="5"/>
  <c r="AD870" i="5"/>
  <c r="AE797" i="5"/>
  <c r="AF797" i="5"/>
  <c r="AG797" i="5"/>
  <c r="AD797" i="5"/>
  <c r="AF724" i="5"/>
  <c r="AG724" i="5"/>
  <c r="AD724" i="5"/>
  <c r="AE652" i="5"/>
  <c r="AF652" i="5"/>
  <c r="AG652" i="5"/>
  <c r="AD652" i="5"/>
  <c r="AD578" i="5"/>
  <c r="AE578" i="5"/>
  <c r="AF578" i="5"/>
  <c r="AG578" i="5"/>
  <c r="AF505" i="5"/>
  <c r="AG505" i="5"/>
  <c r="F1695" i="5"/>
  <c r="G1695" i="5" s="1"/>
  <c r="E341" i="7" s="1"/>
  <c r="L2605" i="5"/>
  <c r="M2605" i="5" s="1"/>
  <c r="H518" i="7" s="1"/>
  <c r="J2605" i="5"/>
  <c r="K2605" i="5" s="1"/>
  <c r="G518" i="7" s="1"/>
  <c r="H2605" i="5"/>
  <c r="I2605" i="5" s="1"/>
  <c r="F518" i="7" s="1"/>
  <c r="F2605" i="5"/>
  <c r="G2605" i="5" s="1"/>
  <c r="E518" i="7" s="1"/>
  <c r="D2605" i="5"/>
  <c r="E2605" i="5" s="1"/>
  <c r="D518" i="7" s="1"/>
  <c r="L2604" i="5"/>
  <c r="M2604" i="5" s="1"/>
  <c r="H517" i="7" s="1"/>
  <c r="J2604" i="5"/>
  <c r="K2604" i="5" s="1"/>
  <c r="G517" i="7" s="1"/>
  <c r="H2604" i="5"/>
  <c r="I2604" i="5" s="1"/>
  <c r="F517" i="7" s="1"/>
  <c r="F2604" i="5"/>
  <c r="G2604" i="5" s="1"/>
  <c r="E517" i="7" s="1"/>
  <c r="D2604" i="5"/>
  <c r="E2604" i="5" s="1"/>
  <c r="D517" i="7" s="1"/>
  <c r="L2603" i="5"/>
  <c r="M2603" i="5" s="1"/>
  <c r="H516" i="7" s="1"/>
  <c r="J2603" i="5"/>
  <c r="K2603" i="5" s="1"/>
  <c r="G516" i="7" s="1"/>
  <c r="H2603" i="5"/>
  <c r="I2603" i="5" s="1"/>
  <c r="F516" i="7" s="1"/>
  <c r="F2603" i="5"/>
  <c r="G2603" i="5" s="1"/>
  <c r="E516" i="7" s="1"/>
  <c r="D2603" i="5"/>
  <c r="E2603" i="5" s="1"/>
  <c r="L2602" i="5"/>
  <c r="M2602" i="5" s="1"/>
  <c r="H515" i="7" s="1"/>
  <c r="J2602" i="5"/>
  <c r="K2602" i="5" s="1"/>
  <c r="G515" i="7" s="1"/>
  <c r="H2602" i="5"/>
  <c r="I2602" i="5" s="1"/>
  <c r="F515" i="7" s="1"/>
  <c r="F2602" i="5"/>
  <c r="G2602" i="5" s="1"/>
  <c r="E515" i="7" s="1"/>
  <c r="D2602" i="5"/>
  <c r="E2602" i="5" s="1"/>
  <c r="D515" i="7" s="1"/>
  <c r="L2601" i="5"/>
  <c r="M2601" i="5" s="1"/>
  <c r="H514" i="7" s="1"/>
  <c r="J2601" i="5"/>
  <c r="K2601" i="5" s="1"/>
  <c r="G514" i="7" s="1"/>
  <c r="H2601" i="5"/>
  <c r="I2601" i="5" s="1"/>
  <c r="F514" i="7" s="1"/>
  <c r="F2601" i="5"/>
  <c r="G2601" i="5" s="1"/>
  <c r="E514" i="7" s="1"/>
  <c r="D2601" i="5"/>
  <c r="E2601" i="5" s="1"/>
  <c r="D514" i="7" s="1"/>
  <c r="L2600" i="5"/>
  <c r="M2600" i="5" s="1"/>
  <c r="H513" i="7" s="1"/>
  <c r="J2600" i="5"/>
  <c r="K2600" i="5" s="1"/>
  <c r="G513" i="7" s="1"/>
  <c r="H2600" i="5"/>
  <c r="I2600" i="5" s="1"/>
  <c r="F513" i="7" s="1"/>
  <c r="F2600" i="5"/>
  <c r="G2600" i="5" s="1"/>
  <c r="E513" i="7" s="1"/>
  <c r="D2600" i="5"/>
  <c r="E2600" i="5" s="1"/>
  <c r="D513" i="7" s="1"/>
  <c r="L2599" i="5"/>
  <c r="M2599" i="5" s="1"/>
  <c r="H512" i="7" s="1"/>
  <c r="J2599" i="5"/>
  <c r="K2599" i="5" s="1"/>
  <c r="G512" i="7" s="1"/>
  <c r="H2599" i="5"/>
  <c r="I2599" i="5" s="1"/>
  <c r="F512" i="7" s="1"/>
  <c r="F2599" i="5"/>
  <c r="G2599" i="5" s="1"/>
  <c r="E512" i="7" s="1"/>
  <c r="D2599" i="5"/>
  <c r="E2599" i="5" s="1"/>
  <c r="D512" i="7" s="1"/>
  <c r="L2598" i="5"/>
  <c r="M2598" i="5" s="1"/>
  <c r="H511" i="7" s="1"/>
  <c r="J2598" i="5"/>
  <c r="K2598" i="5" s="1"/>
  <c r="G511" i="7" s="1"/>
  <c r="H2598" i="5"/>
  <c r="I2598" i="5" s="1"/>
  <c r="F511" i="7" s="1"/>
  <c r="F2598" i="5"/>
  <c r="G2598" i="5" s="1"/>
  <c r="E511" i="7" s="1"/>
  <c r="D2598" i="5"/>
  <c r="E2598" i="5" s="1"/>
  <c r="D511" i="7" s="1"/>
  <c r="L2597" i="5"/>
  <c r="M2597" i="5" s="1"/>
  <c r="H510" i="7" s="1"/>
  <c r="J2597" i="5"/>
  <c r="K2597" i="5" s="1"/>
  <c r="G510" i="7" s="1"/>
  <c r="H2597" i="5"/>
  <c r="I2597" i="5" s="1"/>
  <c r="F510" i="7" s="1"/>
  <c r="F2597" i="5"/>
  <c r="G2597" i="5" s="1"/>
  <c r="E510" i="7" s="1"/>
  <c r="D2597" i="5"/>
  <c r="E2597" i="5" s="1"/>
  <c r="D510" i="7" s="1"/>
  <c r="L2596" i="5"/>
  <c r="M2596" i="5" s="1"/>
  <c r="H509" i="7" s="1"/>
  <c r="J2596" i="5"/>
  <c r="K2596" i="5" s="1"/>
  <c r="G509" i="7" s="1"/>
  <c r="H2596" i="5"/>
  <c r="I2596" i="5" s="1"/>
  <c r="F509" i="7" s="1"/>
  <c r="F2596" i="5"/>
  <c r="G2596" i="5" s="1"/>
  <c r="E509" i="7" s="1"/>
  <c r="D2596" i="5"/>
  <c r="E2596" i="5" s="1"/>
  <c r="D509" i="7" s="1"/>
  <c r="L2594" i="5"/>
  <c r="M2594" i="5" s="1"/>
  <c r="H507" i="7" s="1"/>
  <c r="J2594" i="5"/>
  <c r="K2594" i="5" s="1"/>
  <c r="G507" i="7" s="1"/>
  <c r="H2594" i="5"/>
  <c r="I2594" i="5" s="1"/>
  <c r="F507" i="7" s="1"/>
  <c r="F2594" i="5"/>
  <c r="G2594" i="5" s="1"/>
  <c r="E507" i="7" s="1"/>
  <c r="D2594" i="5"/>
  <c r="E2594" i="5" s="1"/>
  <c r="D507" i="7" s="1"/>
  <c r="L2536" i="5"/>
  <c r="M2536" i="5" s="1"/>
  <c r="H501" i="7" s="1"/>
  <c r="J2536" i="5"/>
  <c r="K2536" i="5" s="1"/>
  <c r="G501" i="7" s="1"/>
  <c r="H2536" i="5"/>
  <c r="I2536" i="5" s="1"/>
  <c r="F501" i="7" s="1"/>
  <c r="F2536" i="5"/>
  <c r="G2536" i="5" s="1"/>
  <c r="E501" i="7" s="1"/>
  <c r="D2536" i="5"/>
  <c r="E2536" i="5" s="1"/>
  <c r="D501" i="7" s="1"/>
  <c r="L2535" i="5"/>
  <c r="M2535" i="5" s="1"/>
  <c r="H500" i="7" s="1"/>
  <c r="J2535" i="5"/>
  <c r="K2535" i="5" s="1"/>
  <c r="G500" i="7" s="1"/>
  <c r="H2535" i="5"/>
  <c r="I2535" i="5" s="1"/>
  <c r="F500" i="7" s="1"/>
  <c r="F2535" i="5"/>
  <c r="G2535" i="5" s="1"/>
  <c r="E500" i="7" s="1"/>
  <c r="D2535" i="5"/>
  <c r="E2535" i="5" s="1"/>
  <c r="D500" i="7" s="1"/>
  <c r="L509" i="5"/>
  <c r="M509" i="5" s="1"/>
  <c r="H117" i="7" s="1"/>
  <c r="J509" i="5"/>
  <c r="K509" i="5" s="1"/>
  <c r="G117" i="7" s="1"/>
  <c r="H509" i="5"/>
  <c r="I509" i="5" s="1"/>
  <c r="F117" i="7" s="1"/>
  <c r="F509" i="5"/>
  <c r="G509" i="5" s="1"/>
  <c r="E117" i="7" s="1"/>
  <c r="D509" i="5"/>
  <c r="E509" i="5" s="1"/>
  <c r="D117" i="7" s="1"/>
  <c r="L508" i="5"/>
  <c r="M508" i="5" s="1"/>
  <c r="H116" i="7" s="1"/>
  <c r="J508" i="5"/>
  <c r="K508" i="5" s="1"/>
  <c r="G116" i="7" s="1"/>
  <c r="H508" i="5"/>
  <c r="I508" i="5" s="1"/>
  <c r="F116" i="7" s="1"/>
  <c r="F508" i="5"/>
  <c r="G508" i="5" s="1"/>
  <c r="E116" i="7" s="1"/>
  <c r="D508" i="5"/>
  <c r="E508" i="5" s="1"/>
  <c r="D116" i="7" s="1"/>
  <c r="L507" i="5"/>
  <c r="M507" i="5" s="1"/>
  <c r="H115" i="7" s="1"/>
  <c r="J507" i="5"/>
  <c r="K507" i="5"/>
  <c r="G115" i="7" s="1"/>
  <c r="H507" i="5"/>
  <c r="I507" i="5" s="1"/>
  <c r="F115" i="7" s="1"/>
  <c r="F507" i="5"/>
  <c r="G507" i="5" s="1"/>
  <c r="E115" i="7" s="1"/>
  <c r="D507" i="5"/>
  <c r="E507" i="5" s="1"/>
  <c r="D115" i="7" s="1"/>
  <c r="L582" i="5"/>
  <c r="M582" i="5" s="1"/>
  <c r="H130" i="7" s="1"/>
  <c r="J582" i="5"/>
  <c r="K582" i="5" s="1"/>
  <c r="G130" i="7" s="1"/>
  <c r="H582" i="5"/>
  <c r="I582" i="5" s="1"/>
  <c r="F130" i="7" s="1"/>
  <c r="F582" i="5"/>
  <c r="G582" i="5" s="1"/>
  <c r="E130" i="7" s="1"/>
  <c r="D582" i="5"/>
  <c r="E582" i="5" s="1"/>
  <c r="D130" i="7" s="1"/>
  <c r="L581" i="5"/>
  <c r="M581" i="5" s="1"/>
  <c r="H129" i="7" s="1"/>
  <c r="J581" i="5"/>
  <c r="K581" i="5" s="1"/>
  <c r="G129" i="7" s="1"/>
  <c r="H581" i="5"/>
  <c r="I581" i="5" s="1"/>
  <c r="F129" i="7" s="1"/>
  <c r="F581" i="5"/>
  <c r="G581" i="5" s="1"/>
  <c r="E129" i="7" s="1"/>
  <c r="D581" i="5"/>
  <c r="E581" i="5" s="1"/>
  <c r="D129" i="7" s="1"/>
  <c r="L580" i="5"/>
  <c r="M580" i="5" s="1"/>
  <c r="H128" i="7" s="1"/>
  <c r="J580" i="5"/>
  <c r="K580" i="5" s="1"/>
  <c r="G128" i="7" s="1"/>
  <c r="H580" i="5"/>
  <c r="I580" i="5" s="1"/>
  <c r="F128" i="7" s="1"/>
  <c r="F580" i="5"/>
  <c r="G580" i="5" s="1"/>
  <c r="E128" i="7" s="1"/>
  <c r="D580" i="5"/>
  <c r="E580" i="5" s="1"/>
  <c r="D128" i="7" s="1"/>
  <c r="L655" i="5"/>
  <c r="M655" i="5" s="1"/>
  <c r="H143" i="7" s="1"/>
  <c r="J655" i="5"/>
  <c r="K655" i="5" s="1"/>
  <c r="G143" i="7" s="1"/>
  <c r="H655" i="5"/>
  <c r="I655" i="5" s="1"/>
  <c r="F143" i="7" s="1"/>
  <c r="F655" i="5"/>
  <c r="G655" i="5" s="1"/>
  <c r="E143" i="7" s="1"/>
  <c r="D655" i="5"/>
  <c r="E655" i="5" s="1"/>
  <c r="D143" i="7" s="1"/>
  <c r="L654" i="5"/>
  <c r="M654" i="5" s="1"/>
  <c r="H142" i="7" s="1"/>
  <c r="J654" i="5"/>
  <c r="K654" i="5" s="1"/>
  <c r="G142" i="7" s="1"/>
  <c r="H654" i="5"/>
  <c r="I654" i="5" s="1"/>
  <c r="F142" i="7" s="1"/>
  <c r="F654" i="5"/>
  <c r="G654" i="5" s="1"/>
  <c r="E142" i="7" s="1"/>
  <c r="D654" i="5"/>
  <c r="E654" i="5" s="1"/>
  <c r="D142" i="7" s="1"/>
  <c r="L727" i="5"/>
  <c r="M727" i="5" s="1"/>
  <c r="H156" i="7" s="1"/>
  <c r="J727" i="5"/>
  <c r="K727" i="5" s="1"/>
  <c r="G156" i="7" s="1"/>
  <c r="H727" i="5"/>
  <c r="I727" i="5" s="1"/>
  <c r="F156" i="7" s="1"/>
  <c r="F727" i="5"/>
  <c r="G727" i="5" s="1"/>
  <c r="E156" i="7" s="1"/>
  <c r="D727" i="5"/>
  <c r="E727" i="5" s="1"/>
  <c r="D156" i="7" s="1"/>
  <c r="L726" i="5"/>
  <c r="M726" i="5" s="1"/>
  <c r="H155" i="7" s="1"/>
  <c r="J726" i="5"/>
  <c r="K726" i="5" s="1"/>
  <c r="G155" i="7" s="1"/>
  <c r="H726" i="5"/>
  <c r="I726" i="5" s="1"/>
  <c r="F155" i="7" s="1"/>
  <c r="F726" i="5"/>
  <c r="G726" i="5" s="1"/>
  <c r="E155" i="7" s="1"/>
  <c r="D726" i="5"/>
  <c r="E726" i="5" s="1"/>
  <c r="D155" i="7" s="1"/>
  <c r="L800" i="5"/>
  <c r="M800" i="5" s="1"/>
  <c r="H170" i="7" s="1"/>
  <c r="J800" i="5"/>
  <c r="K800" i="5" s="1"/>
  <c r="G170" i="7" s="1"/>
  <c r="H800" i="5"/>
  <c r="I800" i="5" s="1"/>
  <c r="F170" i="7" s="1"/>
  <c r="F800" i="5"/>
  <c r="G800" i="5" s="1"/>
  <c r="E170" i="7" s="1"/>
  <c r="D800" i="5"/>
  <c r="E800" i="5" s="1"/>
  <c r="D170" i="7" s="1"/>
  <c r="L799" i="5"/>
  <c r="M799" i="5" s="1"/>
  <c r="H169" i="7" s="1"/>
  <c r="J799" i="5"/>
  <c r="K799" i="5" s="1"/>
  <c r="G169" i="7" s="1"/>
  <c r="H799" i="5"/>
  <c r="I799" i="5" s="1"/>
  <c r="F169" i="7" s="1"/>
  <c r="F799" i="5"/>
  <c r="G799" i="5" s="1"/>
  <c r="E169" i="7" s="1"/>
  <c r="D799" i="5"/>
  <c r="E799" i="5" s="1"/>
  <c r="D169" i="7" s="1"/>
  <c r="L873" i="5"/>
  <c r="M873" i="5" s="1"/>
  <c r="H184" i="7" s="1"/>
  <c r="J873" i="5"/>
  <c r="K873" i="5" s="1"/>
  <c r="G184" i="7" s="1"/>
  <c r="H873" i="5"/>
  <c r="I873" i="5" s="1"/>
  <c r="F184" i="7" s="1"/>
  <c r="F873" i="5"/>
  <c r="G873" i="5" s="1"/>
  <c r="E184" i="7" s="1"/>
  <c r="D873" i="5"/>
  <c r="E873" i="5" s="1"/>
  <c r="D184" i="7" s="1"/>
  <c r="L872" i="5"/>
  <c r="M872" i="5" s="1"/>
  <c r="H183" i="7" s="1"/>
  <c r="J872" i="5"/>
  <c r="K872" i="5" s="1"/>
  <c r="G183" i="7" s="1"/>
  <c r="H872" i="5"/>
  <c r="I872" i="5" s="1"/>
  <c r="F183" i="7" s="1"/>
  <c r="F872" i="5"/>
  <c r="G872" i="5" s="1"/>
  <c r="E183" i="7" s="1"/>
  <c r="D872" i="5"/>
  <c r="E872" i="5" s="1"/>
  <c r="D183" i="7" s="1"/>
  <c r="L950" i="5"/>
  <c r="M950" i="5" s="1"/>
  <c r="H202" i="7" s="1"/>
  <c r="J950" i="5"/>
  <c r="K950" i="5" s="1"/>
  <c r="G202" i="7" s="1"/>
  <c r="H950" i="5"/>
  <c r="I950" i="5" s="1"/>
  <c r="F202" i="7" s="1"/>
  <c r="F950" i="5"/>
  <c r="G950" i="5" s="1"/>
  <c r="E202" i="7" s="1"/>
  <c r="D950" i="5"/>
  <c r="E950" i="5" s="1"/>
  <c r="D202" i="7" s="1"/>
  <c r="L949" i="5"/>
  <c r="M949" i="5" s="1"/>
  <c r="H201" i="7" s="1"/>
  <c r="J949" i="5"/>
  <c r="K949" i="5" s="1"/>
  <c r="G201" i="7" s="1"/>
  <c r="H949" i="5"/>
  <c r="I949" i="5" s="1"/>
  <c r="F201" i="7" s="1"/>
  <c r="F949" i="5"/>
  <c r="G949" i="5" s="1"/>
  <c r="E201" i="7" s="1"/>
  <c r="D949" i="5"/>
  <c r="E949" i="5" s="1"/>
  <c r="D201" i="7" s="1"/>
  <c r="L948" i="5"/>
  <c r="M948" i="5" s="1"/>
  <c r="H200" i="7" s="1"/>
  <c r="J948" i="5"/>
  <c r="K948" i="5" s="1"/>
  <c r="G200" i="7" s="1"/>
  <c r="H948" i="5"/>
  <c r="I948" i="5" s="1"/>
  <c r="F200" i="7" s="1"/>
  <c r="F948" i="5"/>
  <c r="G948" i="5" s="1"/>
  <c r="E200" i="7" s="1"/>
  <c r="D948" i="5"/>
  <c r="E948" i="5" s="1"/>
  <c r="D200" i="7" s="1"/>
  <c r="L947" i="5"/>
  <c r="M947" i="5" s="1"/>
  <c r="H199" i="7" s="1"/>
  <c r="J947" i="5"/>
  <c r="K947" i="5" s="1"/>
  <c r="G199" i="7" s="1"/>
  <c r="H947" i="5"/>
  <c r="I947" i="5" s="1"/>
  <c r="F199" i="7" s="1"/>
  <c r="F947" i="5"/>
  <c r="G947" i="5" s="1"/>
  <c r="E199" i="7" s="1"/>
  <c r="D947" i="5"/>
  <c r="E947" i="5" s="1"/>
  <c r="D199" i="7" s="1"/>
  <c r="L946" i="5"/>
  <c r="M946" i="5" s="1"/>
  <c r="H198" i="7" s="1"/>
  <c r="J946" i="5"/>
  <c r="K946" i="5" s="1"/>
  <c r="G198" i="7" s="1"/>
  <c r="H946" i="5"/>
  <c r="I946" i="5" s="1"/>
  <c r="F198" i="7" s="1"/>
  <c r="F946" i="5"/>
  <c r="G946" i="5" s="1"/>
  <c r="E198" i="7" s="1"/>
  <c r="D946" i="5"/>
  <c r="E946" i="5" s="1"/>
  <c r="D198" i="7" s="1"/>
  <c r="L945" i="5"/>
  <c r="M945" i="5" s="1"/>
  <c r="H197" i="7" s="1"/>
  <c r="J945" i="5"/>
  <c r="K945" i="5" s="1"/>
  <c r="G197" i="7" s="1"/>
  <c r="H945" i="5"/>
  <c r="I945" i="5" s="1"/>
  <c r="F197" i="7" s="1"/>
  <c r="F945" i="5"/>
  <c r="G945" i="5" s="1"/>
  <c r="E197" i="7" s="1"/>
  <c r="D945" i="5"/>
  <c r="E945" i="5" s="1"/>
  <c r="D197" i="7" s="1"/>
  <c r="L1028" i="5"/>
  <c r="M1028" i="5" s="1"/>
  <c r="H217" i="7" s="1"/>
  <c r="J1028" i="5"/>
  <c r="K1028" i="5" s="1"/>
  <c r="G217" i="7" s="1"/>
  <c r="H1028" i="5"/>
  <c r="I1028" i="5" s="1"/>
  <c r="F217" i="7" s="1"/>
  <c r="F1028" i="5"/>
  <c r="G1028" i="5" s="1"/>
  <c r="E217" i="7" s="1"/>
  <c r="D1028" i="5"/>
  <c r="E1028" i="5" s="1"/>
  <c r="D217" i="7" s="1"/>
  <c r="L1027" i="5"/>
  <c r="M1027" i="5" s="1"/>
  <c r="H216" i="7" s="1"/>
  <c r="J1027" i="5"/>
  <c r="K1027" i="5" s="1"/>
  <c r="G216" i="7" s="1"/>
  <c r="H1027" i="5"/>
  <c r="I1027" i="5" s="1"/>
  <c r="F216" i="7" s="1"/>
  <c r="F1027" i="5"/>
  <c r="G1027" i="5" s="1"/>
  <c r="E216" i="7" s="1"/>
  <c r="D1027" i="5"/>
  <c r="E1027" i="5" s="1"/>
  <c r="D216" i="7" s="1"/>
  <c r="L1026" i="5"/>
  <c r="M1026" i="5" s="1"/>
  <c r="H215" i="7" s="1"/>
  <c r="J1026" i="5"/>
  <c r="K1026" i="5" s="1"/>
  <c r="G215" i="7" s="1"/>
  <c r="H1026" i="5"/>
  <c r="I1026" i="5" s="1"/>
  <c r="F215" i="7" s="1"/>
  <c r="F1026" i="5"/>
  <c r="G1026" i="5" s="1"/>
  <c r="E215" i="7" s="1"/>
  <c r="D1026" i="5"/>
  <c r="E1026" i="5" s="1"/>
  <c r="D215" i="7" s="1"/>
  <c r="L1025" i="5"/>
  <c r="M1025" i="5" s="1"/>
  <c r="H214" i="7" s="1"/>
  <c r="J1025" i="5"/>
  <c r="K1025" i="5" s="1"/>
  <c r="G214" i="7" s="1"/>
  <c r="H1025" i="5"/>
  <c r="I1025" i="5" s="1"/>
  <c r="F214" i="7" s="1"/>
  <c r="F1025" i="5"/>
  <c r="G1025" i="5" s="1"/>
  <c r="E214" i="7" s="1"/>
  <c r="D1025" i="5"/>
  <c r="E1025" i="5" s="1"/>
  <c r="D214" i="7" s="1"/>
  <c r="L1024" i="5"/>
  <c r="M1024" i="5" s="1"/>
  <c r="H213" i="7" s="1"/>
  <c r="J1024" i="5"/>
  <c r="K1024" i="5" s="1"/>
  <c r="G213" i="7" s="1"/>
  <c r="H1024" i="5"/>
  <c r="I1024" i="5" s="1"/>
  <c r="F213" i="7" s="1"/>
  <c r="F1024" i="5"/>
  <c r="G1024" i="5" s="1"/>
  <c r="E213" i="7" s="1"/>
  <c r="D1024" i="5"/>
  <c r="E1024" i="5" s="1"/>
  <c r="D213" i="7" s="1"/>
  <c r="L1023" i="5"/>
  <c r="M1023" i="5" s="1"/>
  <c r="H212" i="7" s="1"/>
  <c r="J1023" i="5"/>
  <c r="K1023" i="5" s="1"/>
  <c r="G212" i="7" s="1"/>
  <c r="H1023" i="5"/>
  <c r="I1023" i="5" s="1"/>
  <c r="F212" i="7" s="1"/>
  <c r="F1023" i="5"/>
  <c r="G1023" i="5" s="1"/>
  <c r="E212" i="7" s="1"/>
  <c r="D1023" i="5"/>
  <c r="E1023" i="5" s="1"/>
  <c r="D212" i="7" s="1"/>
  <c r="L1102" i="5"/>
  <c r="M1102" i="5" s="1"/>
  <c r="H228" i="7" s="1"/>
  <c r="J1102" i="5"/>
  <c r="K1102" i="5" s="1"/>
  <c r="G228" i="7" s="1"/>
  <c r="H1102" i="5"/>
  <c r="I1102" i="5" s="1"/>
  <c r="F228" i="7" s="1"/>
  <c r="F1102" i="5"/>
  <c r="G1102" i="5" s="1"/>
  <c r="E228" i="7" s="1"/>
  <c r="D1102" i="5"/>
  <c r="E1102" i="5" s="1"/>
  <c r="D228" i="7" s="1"/>
  <c r="L1101" i="5"/>
  <c r="M1101" i="5" s="1"/>
  <c r="H227" i="7" s="1"/>
  <c r="J1101" i="5"/>
  <c r="K1101" i="5" s="1"/>
  <c r="G227" i="7" s="1"/>
  <c r="H1101" i="5"/>
  <c r="I1101" i="5" s="1"/>
  <c r="F227" i="7" s="1"/>
  <c r="F1101" i="5"/>
  <c r="G1101" i="5" s="1"/>
  <c r="E227" i="7" s="1"/>
  <c r="D1101" i="5"/>
  <c r="E1101" i="5" s="1"/>
  <c r="D227" i="7" s="1"/>
  <c r="L1178" i="5"/>
  <c r="M1178" i="5" s="1"/>
  <c r="H245" i="7" s="1"/>
  <c r="J1178" i="5"/>
  <c r="K1178" i="5" s="1"/>
  <c r="G245" i="7" s="1"/>
  <c r="H1178" i="5"/>
  <c r="I1178" i="5" s="1"/>
  <c r="F245" i="7" s="1"/>
  <c r="F1178" i="5"/>
  <c r="G1178" i="5" s="1"/>
  <c r="E245" i="7" s="1"/>
  <c r="D1178" i="5"/>
  <c r="E1178" i="5" s="1"/>
  <c r="D245" i="7" s="1"/>
  <c r="L1177" i="5"/>
  <c r="M1177" i="5" s="1"/>
  <c r="H244" i="7" s="1"/>
  <c r="J1177" i="5"/>
  <c r="K1177" i="5" s="1"/>
  <c r="G244" i="7" s="1"/>
  <c r="H1177" i="5"/>
  <c r="I1177" i="5" s="1"/>
  <c r="F244" i="7" s="1"/>
  <c r="F1177" i="5"/>
  <c r="G1177" i="5" s="1"/>
  <c r="E244" i="7" s="1"/>
  <c r="D1177" i="5"/>
  <c r="E1177" i="5" s="1"/>
  <c r="D244" i="7" s="1"/>
  <c r="L1176" i="5"/>
  <c r="M1176" i="5" s="1"/>
  <c r="H243" i="7" s="1"/>
  <c r="J1176" i="5"/>
  <c r="K1176" i="5" s="1"/>
  <c r="G243" i="7" s="1"/>
  <c r="H1176" i="5"/>
  <c r="I1176" i="5" s="1"/>
  <c r="F243" i="7" s="1"/>
  <c r="F1176" i="5"/>
  <c r="G1176" i="5" s="1"/>
  <c r="E243" i="7" s="1"/>
  <c r="D1176" i="5"/>
  <c r="E1176" i="5" s="1"/>
  <c r="D243" i="7" s="1"/>
  <c r="L1175" i="5"/>
  <c r="M1175" i="5" s="1"/>
  <c r="H242" i="7" s="1"/>
  <c r="J1175" i="5"/>
  <c r="K1175" i="5" s="1"/>
  <c r="G242" i="7" s="1"/>
  <c r="H1175" i="5"/>
  <c r="I1175" i="5" s="1"/>
  <c r="F242" i="7" s="1"/>
  <c r="F1175" i="5"/>
  <c r="G1175" i="5" s="1"/>
  <c r="E242" i="7" s="1"/>
  <c r="D1175" i="5"/>
  <c r="E1175" i="5" s="1"/>
  <c r="D242" i="7" s="1"/>
  <c r="L1174" i="5"/>
  <c r="M1174" i="5" s="1"/>
  <c r="H241" i="7" s="1"/>
  <c r="J1174" i="5"/>
  <c r="K1174" i="5" s="1"/>
  <c r="G241" i="7" s="1"/>
  <c r="H1174" i="5"/>
  <c r="I1174" i="5" s="1"/>
  <c r="F241" i="7" s="1"/>
  <c r="F1174" i="5"/>
  <c r="G1174" i="5" s="1"/>
  <c r="E241" i="7" s="1"/>
  <c r="D1174" i="5"/>
  <c r="E1174" i="5" s="1"/>
  <c r="D241" i="7" s="1"/>
  <c r="L1252" i="5"/>
  <c r="M1252" i="5" s="1"/>
  <c r="H257" i="7" s="1"/>
  <c r="J1252" i="5"/>
  <c r="K1252" i="5" s="1"/>
  <c r="G257" i="7" s="1"/>
  <c r="H1252" i="5"/>
  <c r="I1252" i="5" s="1"/>
  <c r="F257" i="7" s="1"/>
  <c r="F1252" i="5"/>
  <c r="G1252" i="5" s="1"/>
  <c r="E257" i="7" s="1"/>
  <c r="D1252" i="5"/>
  <c r="E1252" i="5" s="1"/>
  <c r="D257" i="7" s="1"/>
  <c r="L1251" i="5"/>
  <c r="M1251" i="5" s="1"/>
  <c r="H256" i="7" s="1"/>
  <c r="J1251" i="5"/>
  <c r="K1251" i="5" s="1"/>
  <c r="G256" i="7" s="1"/>
  <c r="H1251" i="5"/>
  <c r="I1251" i="5" s="1"/>
  <c r="F256" i="7" s="1"/>
  <c r="F1251" i="5"/>
  <c r="G1251" i="5" s="1"/>
  <c r="E256" i="7" s="1"/>
  <c r="D1251" i="5"/>
  <c r="E1251" i="5" s="1"/>
  <c r="D256" i="7" s="1"/>
  <c r="L1324" i="5"/>
  <c r="M1324" i="5" s="1"/>
  <c r="H270" i="7" s="1"/>
  <c r="J1324" i="5"/>
  <c r="K1324" i="5" s="1"/>
  <c r="G270" i="7" s="1"/>
  <c r="H1324" i="5"/>
  <c r="I1324" i="5" s="1"/>
  <c r="F270" i="7" s="1"/>
  <c r="F1324" i="5"/>
  <c r="G1324" i="5" s="1"/>
  <c r="E270" i="7" s="1"/>
  <c r="D1324" i="5"/>
  <c r="E1324" i="5" s="1"/>
  <c r="D270" i="7" s="1"/>
  <c r="L1323" i="5"/>
  <c r="M1323" i="5" s="1"/>
  <c r="H269" i="7" s="1"/>
  <c r="J1323" i="5"/>
  <c r="K1323" i="5" s="1"/>
  <c r="G269" i="7" s="1"/>
  <c r="H1323" i="5"/>
  <c r="I1323" i="5" s="1"/>
  <c r="F269" i="7" s="1"/>
  <c r="F1323" i="5"/>
  <c r="G1323" i="5" s="1"/>
  <c r="E269" i="7" s="1"/>
  <c r="D1323" i="5"/>
  <c r="E1323" i="5" s="1"/>
  <c r="D269" i="7" s="1"/>
  <c r="L1398" i="5"/>
  <c r="M1398" i="5" s="1"/>
  <c r="H285" i="7" s="1"/>
  <c r="J1398" i="5"/>
  <c r="K1398" i="5" s="1"/>
  <c r="G285" i="7" s="1"/>
  <c r="H1398" i="5"/>
  <c r="I1398" i="5" s="1"/>
  <c r="F285" i="7" s="1"/>
  <c r="F1398" i="5"/>
  <c r="G1398" i="5" s="1"/>
  <c r="E285" i="7" s="1"/>
  <c r="D1398" i="5"/>
  <c r="E1398" i="5" s="1"/>
  <c r="D285" i="7" s="1"/>
  <c r="L1397" i="5"/>
  <c r="M1397" i="5" s="1"/>
  <c r="H284" i="7" s="1"/>
  <c r="J1397" i="5"/>
  <c r="K1397" i="5" s="1"/>
  <c r="G284" i="7" s="1"/>
  <c r="H1397" i="5"/>
  <c r="I1397" i="5" s="1"/>
  <c r="F284" i="7" s="1"/>
  <c r="F1397" i="5"/>
  <c r="G1397" i="5" s="1"/>
  <c r="E284" i="7" s="1"/>
  <c r="D1397" i="5"/>
  <c r="E1397" i="5" s="1"/>
  <c r="D284" i="7" s="1"/>
  <c r="L1396" i="5"/>
  <c r="M1396" i="5" s="1"/>
  <c r="H283" i="7" s="1"/>
  <c r="J1396" i="5"/>
  <c r="K1396" i="5" s="1"/>
  <c r="G283" i="7" s="1"/>
  <c r="H1396" i="5"/>
  <c r="I1396" i="5" s="1"/>
  <c r="F283" i="7" s="1"/>
  <c r="F1396" i="5"/>
  <c r="G1396" i="5" s="1"/>
  <c r="E283" i="7" s="1"/>
  <c r="D1396" i="5"/>
  <c r="E1396" i="5" s="1"/>
  <c r="D283" i="7" s="1"/>
  <c r="L1472" i="5"/>
  <c r="M1472" i="5" s="1"/>
  <c r="H299" i="7" s="1"/>
  <c r="J1472" i="5"/>
  <c r="K1472" i="5" s="1"/>
  <c r="G299" i="7" s="1"/>
  <c r="H1472" i="5"/>
  <c r="I1472" i="5" s="1"/>
  <c r="F299" i="7" s="1"/>
  <c r="F1472" i="5"/>
  <c r="G1472" i="5" s="1"/>
  <c r="E299" i="7" s="1"/>
  <c r="D1472" i="5"/>
  <c r="E1472" i="5" s="1"/>
  <c r="D299" i="7" s="1"/>
  <c r="L1471" i="5"/>
  <c r="M1471" i="5" s="1"/>
  <c r="H298" i="7" s="1"/>
  <c r="J1471" i="5"/>
  <c r="K1471" i="5" s="1"/>
  <c r="G298" i="7" s="1"/>
  <c r="H1471" i="5"/>
  <c r="I1471" i="5" s="1"/>
  <c r="F298" i="7" s="1"/>
  <c r="F1471" i="5"/>
  <c r="G1471" i="5" s="1"/>
  <c r="E298" i="7" s="1"/>
  <c r="D1471" i="5"/>
  <c r="E1471" i="5" s="1"/>
  <c r="D298" i="7" s="1"/>
  <c r="L1470" i="5"/>
  <c r="M1470" i="5" s="1"/>
  <c r="H297" i="7" s="1"/>
  <c r="J1470" i="5"/>
  <c r="K1470" i="5" s="1"/>
  <c r="G297" i="7" s="1"/>
  <c r="H1470" i="5"/>
  <c r="I1470" i="5" s="1"/>
  <c r="F297" i="7" s="1"/>
  <c r="F1470" i="5"/>
  <c r="G1470" i="5" s="1"/>
  <c r="E297" i="7" s="1"/>
  <c r="D1470" i="5"/>
  <c r="E1470" i="5" s="1"/>
  <c r="D297" i="7" s="1"/>
  <c r="L1546" i="5"/>
  <c r="M1546" i="5" s="1"/>
  <c r="H313" i="7" s="1"/>
  <c r="J1546" i="5"/>
  <c r="K1546" i="5" s="1"/>
  <c r="G313" i="7" s="1"/>
  <c r="H1546" i="5"/>
  <c r="I1546" i="5" s="1"/>
  <c r="F313" i="7" s="1"/>
  <c r="F1546" i="5"/>
  <c r="G1546" i="5" s="1"/>
  <c r="E313" i="7" s="1"/>
  <c r="D1546" i="5"/>
  <c r="E1546" i="5" s="1"/>
  <c r="D313" i="7" s="1"/>
  <c r="L1545" i="5"/>
  <c r="M1545" i="5" s="1"/>
  <c r="H312" i="7" s="1"/>
  <c r="J1545" i="5"/>
  <c r="K1545" i="5" s="1"/>
  <c r="G312" i="7" s="1"/>
  <c r="H1545" i="5"/>
  <c r="I1545" i="5" s="1"/>
  <c r="F312" i="7" s="1"/>
  <c r="F1545" i="5"/>
  <c r="G1545" i="5" s="1"/>
  <c r="E312" i="7" s="1"/>
  <c r="D1545" i="5"/>
  <c r="E1545" i="5" s="1"/>
  <c r="D312" i="7" s="1"/>
  <c r="L1544" i="5"/>
  <c r="M1544" i="5" s="1"/>
  <c r="H311" i="7" s="1"/>
  <c r="J1544" i="5"/>
  <c r="K1544" i="5" s="1"/>
  <c r="G311" i="7" s="1"/>
  <c r="H1544" i="5"/>
  <c r="I1544" i="5" s="1"/>
  <c r="F311" i="7" s="1"/>
  <c r="F1544" i="5"/>
  <c r="G1544" i="5" s="1"/>
  <c r="E311" i="7" s="1"/>
  <c r="D1544" i="5"/>
  <c r="E1544" i="5" s="1"/>
  <c r="D311" i="7" s="1"/>
  <c r="L1621" i="5"/>
  <c r="M1621" i="5" s="1"/>
  <c r="H328" i="7" s="1"/>
  <c r="J1621" i="5"/>
  <c r="K1621" i="5" s="1"/>
  <c r="G328" i="7" s="1"/>
  <c r="H1621" i="5"/>
  <c r="I1621" i="5" s="1"/>
  <c r="F328" i="7" s="1"/>
  <c r="F1621" i="5"/>
  <c r="G1621" i="5" s="1"/>
  <c r="E328" i="7" s="1"/>
  <c r="D1621" i="5"/>
  <c r="E1621" i="5" s="1"/>
  <c r="D328" i="7" s="1"/>
  <c r="L1620" i="5"/>
  <c r="M1620" i="5" s="1"/>
  <c r="H327" i="7" s="1"/>
  <c r="J1620" i="5"/>
  <c r="K1620" i="5" s="1"/>
  <c r="G327" i="7" s="1"/>
  <c r="H1620" i="5"/>
  <c r="I1620" i="5" s="1"/>
  <c r="F327" i="7" s="1"/>
  <c r="F1620" i="5"/>
  <c r="G1620" i="5" s="1"/>
  <c r="E327" i="7" s="1"/>
  <c r="D1620" i="5"/>
  <c r="E1620" i="5" s="1"/>
  <c r="D327" i="7" s="1"/>
  <c r="L1619" i="5"/>
  <c r="M1619" i="5" s="1"/>
  <c r="H326" i="7" s="1"/>
  <c r="J1619" i="5"/>
  <c r="K1619" i="5" s="1"/>
  <c r="G326" i="7" s="1"/>
  <c r="H1619" i="5"/>
  <c r="I1619" i="5" s="1"/>
  <c r="F326" i="7" s="1"/>
  <c r="F1619" i="5"/>
  <c r="G1619" i="5" s="1"/>
  <c r="E326" i="7" s="1"/>
  <c r="D1619" i="5"/>
  <c r="E1619" i="5" s="1"/>
  <c r="D326" i="7" s="1"/>
  <c r="L1618" i="5"/>
  <c r="M1618" i="5" s="1"/>
  <c r="H325" i="7" s="1"/>
  <c r="J1618" i="5"/>
  <c r="K1618" i="5" s="1"/>
  <c r="G325" i="7" s="1"/>
  <c r="H1618" i="5"/>
  <c r="I1618" i="5" s="1"/>
  <c r="F325" i="7" s="1"/>
  <c r="F1618" i="5"/>
  <c r="G1618" i="5" s="1"/>
  <c r="E325" i="7" s="1"/>
  <c r="D1618" i="5"/>
  <c r="E1618" i="5" s="1"/>
  <c r="D325" i="7" s="1"/>
  <c r="L1990" i="5"/>
  <c r="M1990" i="5" s="1"/>
  <c r="H391" i="7" s="1"/>
  <c r="J1990" i="5"/>
  <c r="K1990" i="5" s="1"/>
  <c r="G391" i="7" s="1"/>
  <c r="H1990" i="5"/>
  <c r="I1990" i="5" s="1"/>
  <c r="F391" i="7" s="1"/>
  <c r="F1990" i="5"/>
  <c r="G1990" i="5" s="1"/>
  <c r="E391" i="7" s="1"/>
  <c r="D1990" i="5"/>
  <c r="E1990" i="5" s="1"/>
  <c r="D391" i="7" s="1"/>
  <c r="L1989" i="5"/>
  <c r="M1989" i="5" s="1"/>
  <c r="H390" i="7" s="1"/>
  <c r="J1989" i="5"/>
  <c r="K1989" i="5" s="1"/>
  <c r="G390" i="7" s="1"/>
  <c r="H1989" i="5"/>
  <c r="I1989" i="5" s="1"/>
  <c r="F390" i="7" s="1"/>
  <c r="F1989" i="5"/>
  <c r="G1989" i="5" s="1"/>
  <c r="E390" i="7" s="1"/>
  <c r="D1989" i="5"/>
  <c r="E1989" i="5" s="1"/>
  <c r="D390" i="7" s="1"/>
  <c r="L1988" i="5"/>
  <c r="M1988" i="5" s="1"/>
  <c r="H389" i="7" s="1"/>
  <c r="J1988" i="5"/>
  <c r="K1988" i="5" s="1"/>
  <c r="G389" i="7" s="1"/>
  <c r="H1988" i="5"/>
  <c r="I1988" i="5" s="1"/>
  <c r="F389" i="7" s="1"/>
  <c r="F1988" i="5"/>
  <c r="G1988" i="5" s="1"/>
  <c r="E389" i="7" s="1"/>
  <c r="D1988" i="5"/>
  <c r="E1988" i="5" s="1"/>
  <c r="D389" i="7" s="1"/>
  <c r="L1987" i="5"/>
  <c r="M1987" i="5" s="1"/>
  <c r="H388" i="7" s="1"/>
  <c r="J1987" i="5"/>
  <c r="K1987" i="5" s="1"/>
  <c r="G388" i="7" s="1"/>
  <c r="H1987" i="5"/>
  <c r="I1987" i="5" s="1"/>
  <c r="F388" i="7" s="1"/>
  <c r="F1987" i="5"/>
  <c r="G1987" i="5" s="1"/>
  <c r="E388" i="7" s="1"/>
  <c r="D1987" i="5"/>
  <c r="E1987" i="5" s="1"/>
  <c r="D388" i="7" s="1"/>
  <c r="L1986" i="5"/>
  <c r="M1986" i="5" s="1"/>
  <c r="H387" i="7" s="1"/>
  <c r="J1986" i="5"/>
  <c r="K1986" i="5" s="1"/>
  <c r="G387" i="7" s="1"/>
  <c r="H1986" i="5"/>
  <c r="I1986" i="5" s="1"/>
  <c r="F387" i="7" s="1"/>
  <c r="F1986" i="5"/>
  <c r="G1986" i="5" s="1"/>
  <c r="E387" i="7" s="1"/>
  <c r="D1986" i="5"/>
  <c r="E1986" i="5" s="1"/>
  <c r="D387" i="7" s="1"/>
  <c r="L2118" i="5"/>
  <c r="M2118" i="5" s="1"/>
  <c r="H404" i="7" s="1"/>
  <c r="J2118" i="5"/>
  <c r="K2118" i="5" s="1"/>
  <c r="G404" i="7" s="1"/>
  <c r="H2118" i="5"/>
  <c r="I2118" i="5" s="1"/>
  <c r="F404" i="7" s="1"/>
  <c r="F2118" i="5"/>
  <c r="G2118" i="5" s="1"/>
  <c r="E404" i="7" s="1"/>
  <c r="D2118" i="5"/>
  <c r="E2118" i="5" s="1"/>
  <c r="D404" i="7" s="1"/>
  <c r="H2439" i="5"/>
  <c r="I2439" i="5" s="1"/>
  <c r="H2391" i="5"/>
  <c r="I2391" i="5" s="1"/>
  <c r="F467" i="7" s="1"/>
  <c r="H2389" i="5"/>
  <c r="I2389" i="5" s="1"/>
  <c r="F465" i="7" s="1"/>
  <c r="H2388" i="5"/>
  <c r="I2388" i="5" s="1"/>
  <c r="F464" i="7" s="1"/>
  <c r="H2387" i="5"/>
  <c r="I2387" i="5" s="1"/>
  <c r="F463" i="7" s="1"/>
  <c r="H2386" i="5"/>
  <c r="I2386" i="5" s="1"/>
  <c r="F462" i="7" s="1"/>
  <c r="H2385" i="5"/>
  <c r="I2385" i="5" s="1"/>
  <c r="F461" i="7" s="1"/>
  <c r="P2441" i="5"/>
  <c r="L2441" i="5"/>
  <c r="M2441" i="5" s="1"/>
  <c r="H2441" i="5"/>
  <c r="I2441" i="5" s="1"/>
  <c r="D2441" i="5"/>
  <c r="E2441" i="5" s="1"/>
  <c r="P2440" i="5"/>
  <c r="L2440" i="5"/>
  <c r="M2440" i="5" s="1"/>
  <c r="H2440" i="5"/>
  <c r="I2440" i="5" s="1"/>
  <c r="D2440" i="5"/>
  <c r="E2440" i="5" s="1"/>
  <c r="P2439" i="5"/>
  <c r="L2439" i="5"/>
  <c r="M2439" i="5" s="1"/>
  <c r="D2439" i="5"/>
  <c r="E2439" i="5" s="1"/>
  <c r="T2394" i="5"/>
  <c r="U2394" i="5" s="1"/>
  <c r="L470" i="7" s="1"/>
  <c r="P2394" i="5"/>
  <c r="Q2394" i="5" s="1"/>
  <c r="J470" i="7" s="1"/>
  <c r="L2394" i="5"/>
  <c r="M2394" i="5" s="1"/>
  <c r="H470" i="7" s="1"/>
  <c r="D2394" i="5"/>
  <c r="E2394" i="5" s="1"/>
  <c r="D470" i="7" s="1"/>
  <c r="T2393" i="5"/>
  <c r="U2393" i="5" s="1"/>
  <c r="L469" i="7" s="1"/>
  <c r="P2393" i="5"/>
  <c r="Q2393" i="5" s="1"/>
  <c r="J469" i="7" s="1"/>
  <c r="L2393" i="5"/>
  <c r="M2393" i="5" s="1"/>
  <c r="H469" i="7" s="1"/>
  <c r="D2393" i="5"/>
  <c r="E2393" i="5" s="1"/>
  <c r="D469" i="7" s="1"/>
  <c r="T2392" i="5"/>
  <c r="U2392" i="5" s="1"/>
  <c r="L468" i="7" s="1"/>
  <c r="P2392" i="5"/>
  <c r="Q2392" i="5" s="1"/>
  <c r="J468" i="7" s="1"/>
  <c r="L2392" i="5"/>
  <c r="M2392" i="5" s="1"/>
  <c r="H468" i="7" s="1"/>
  <c r="D2392" i="5"/>
  <c r="E2392" i="5" s="1"/>
  <c r="D468" i="7" s="1"/>
  <c r="T2391" i="5"/>
  <c r="U2391" i="5" s="1"/>
  <c r="L467" i="7" s="1"/>
  <c r="P2391" i="5"/>
  <c r="Q2391" i="5" s="1"/>
  <c r="J467" i="7" s="1"/>
  <c r="L2391" i="5"/>
  <c r="M2391" i="5" s="1"/>
  <c r="H467" i="7" s="1"/>
  <c r="D2391" i="5"/>
  <c r="E2391" i="5" s="1"/>
  <c r="D467" i="7" s="1"/>
  <c r="T2390" i="5"/>
  <c r="U2390" i="5" s="1"/>
  <c r="L466" i="7" s="1"/>
  <c r="P2390" i="5"/>
  <c r="Q2390" i="5" s="1"/>
  <c r="J466" i="7" s="1"/>
  <c r="L2390" i="5"/>
  <c r="M2390" i="5" s="1"/>
  <c r="H466" i="7" s="1"/>
  <c r="H2390" i="5"/>
  <c r="I2390" i="5" s="1"/>
  <c r="F466" i="7" s="1"/>
  <c r="D2390" i="5"/>
  <c r="E2390" i="5" s="1"/>
  <c r="D466" i="7" s="1"/>
  <c r="T2389" i="5"/>
  <c r="U2389" i="5" s="1"/>
  <c r="L465" i="7" s="1"/>
  <c r="P2389" i="5"/>
  <c r="Q2389" i="5" s="1"/>
  <c r="J465" i="7" s="1"/>
  <c r="L2389" i="5"/>
  <c r="M2389" i="5" s="1"/>
  <c r="H465" i="7" s="1"/>
  <c r="D2389" i="5"/>
  <c r="E2389" i="5" s="1"/>
  <c r="D465" i="7" s="1"/>
  <c r="T2388" i="5"/>
  <c r="U2388" i="5" s="1"/>
  <c r="L464" i="7" s="1"/>
  <c r="P2388" i="5"/>
  <c r="Q2388" i="5" s="1"/>
  <c r="J464" i="7" s="1"/>
  <c r="L2388" i="5"/>
  <c r="M2388" i="5" s="1"/>
  <c r="H464" i="7" s="1"/>
  <c r="D2388" i="5"/>
  <c r="E2388" i="5" s="1"/>
  <c r="D464" i="7" s="1"/>
  <c r="T2387" i="5"/>
  <c r="U2387" i="5" s="1"/>
  <c r="L463" i="7" s="1"/>
  <c r="P2387" i="5"/>
  <c r="Q2387" i="5" s="1"/>
  <c r="J463" i="7" s="1"/>
  <c r="L2387" i="5"/>
  <c r="M2387" i="5" s="1"/>
  <c r="H463" i="7" s="1"/>
  <c r="D2387" i="5"/>
  <c r="E2387" i="5" s="1"/>
  <c r="D463" i="7" s="1"/>
  <c r="T2386" i="5"/>
  <c r="U2386" i="5" s="1"/>
  <c r="L462" i="7" s="1"/>
  <c r="P2386" i="5"/>
  <c r="Q2386" i="5" s="1"/>
  <c r="J462" i="7" s="1"/>
  <c r="L2386" i="5"/>
  <c r="M2386" i="5" s="1"/>
  <c r="H462" i="7" s="1"/>
  <c r="D2386" i="5"/>
  <c r="E2386" i="5" s="1"/>
  <c r="D462" i="7" s="1"/>
  <c r="T2385" i="5"/>
  <c r="U2385" i="5" s="1"/>
  <c r="L461" i="7" s="1"/>
  <c r="P2385" i="5"/>
  <c r="Q2385" i="5" s="1"/>
  <c r="J461" i="7" s="1"/>
  <c r="L2385" i="5"/>
  <c r="M2385" i="5" s="1"/>
  <c r="H461" i="7" s="1"/>
  <c r="D2385" i="5"/>
  <c r="E2385" i="5" s="1"/>
  <c r="D461" i="7" s="1"/>
  <c r="J2325" i="5"/>
  <c r="K2325" i="5" s="1"/>
  <c r="G453" i="7" s="1"/>
  <c r="H2325" i="5"/>
  <c r="I2325" i="5" s="1"/>
  <c r="F453" i="7" s="1"/>
  <c r="J2323" i="5"/>
  <c r="K2323" i="5" s="1"/>
  <c r="G451" i="7" s="1"/>
  <c r="H2322" i="5"/>
  <c r="I2322" i="5" s="1"/>
  <c r="F450" i="7" s="1"/>
  <c r="J2321" i="5"/>
  <c r="K2321" i="5" s="1"/>
  <c r="G449" i="7" s="1"/>
  <c r="V2326" i="5"/>
  <c r="W2326" i="5" s="1"/>
  <c r="M454" i="7" s="1"/>
  <c r="T2326" i="5"/>
  <c r="U2326" i="5" s="1"/>
  <c r="L454" i="7" s="1"/>
  <c r="R2326" i="5"/>
  <c r="S2326" i="5" s="1"/>
  <c r="K454" i="7" s="1"/>
  <c r="P2326" i="5"/>
  <c r="Q2326" i="5" s="1"/>
  <c r="J454" i="7" s="1"/>
  <c r="N2326" i="5"/>
  <c r="O2326" i="5" s="1"/>
  <c r="I454" i="7" s="1"/>
  <c r="L2326" i="5"/>
  <c r="M2326" i="5" s="1"/>
  <c r="H454" i="7" s="1"/>
  <c r="J2326" i="5"/>
  <c r="K2326" i="5" s="1"/>
  <c r="G454" i="7" s="1"/>
  <c r="H2326" i="5"/>
  <c r="I2326" i="5" s="1"/>
  <c r="F454" i="7" s="1"/>
  <c r="F2326" i="5"/>
  <c r="G2326" i="5" s="1"/>
  <c r="E454" i="7" s="1"/>
  <c r="D2326" i="5"/>
  <c r="E2326" i="5" s="1"/>
  <c r="D454" i="7" s="1"/>
  <c r="V2325" i="5"/>
  <c r="W2325" i="5" s="1"/>
  <c r="M453" i="7" s="1"/>
  <c r="T2325" i="5"/>
  <c r="U2325" i="5" s="1"/>
  <c r="L453" i="7" s="1"/>
  <c r="R2325" i="5"/>
  <c r="S2325" i="5" s="1"/>
  <c r="K453" i="7" s="1"/>
  <c r="P2325" i="5"/>
  <c r="Q2325" i="5" s="1"/>
  <c r="J453" i="7" s="1"/>
  <c r="N2325" i="5"/>
  <c r="O2325" i="5" s="1"/>
  <c r="I453" i="7" s="1"/>
  <c r="L2325" i="5"/>
  <c r="M2325" i="5" s="1"/>
  <c r="H453" i="7" s="1"/>
  <c r="F2325" i="5"/>
  <c r="G2325" i="5" s="1"/>
  <c r="E453" i="7" s="1"/>
  <c r="D2325" i="5"/>
  <c r="E2325" i="5" s="1"/>
  <c r="D453" i="7" s="1"/>
  <c r="V2324" i="5"/>
  <c r="W2324" i="5" s="1"/>
  <c r="M452" i="7" s="1"/>
  <c r="T2324" i="5"/>
  <c r="U2324" i="5" s="1"/>
  <c r="L452" i="7" s="1"/>
  <c r="R2324" i="5"/>
  <c r="S2324" i="5" s="1"/>
  <c r="K452" i="7" s="1"/>
  <c r="P2324" i="5"/>
  <c r="Q2324" i="5" s="1"/>
  <c r="J452" i="7" s="1"/>
  <c r="N2324" i="5"/>
  <c r="O2324" i="5" s="1"/>
  <c r="I452" i="7" s="1"/>
  <c r="L2324" i="5"/>
  <c r="M2324" i="5" s="1"/>
  <c r="H452" i="7" s="1"/>
  <c r="J2324" i="5"/>
  <c r="K2324" i="5" s="1"/>
  <c r="G452" i="7" s="1"/>
  <c r="H2324" i="5"/>
  <c r="I2324" i="5" s="1"/>
  <c r="F452" i="7" s="1"/>
  <c r="F2324" i="5"/>
  <c r="G2324" i="5" s="1"/>
  <c r="E452" i="7" s="1"/>
  <c r="D2324" i="5"/>
  <c r="E2324" i="5" s="1"/>
  <c r="D452" i="7" s="1"/>
  <c r="V2323" i="5"/>
  <c r="W2323" i="5" s="1"/>
  <c r="M451" i="7" s="1"/>
  <c r="T2323" i="5"/>
  <c r="U2323" i="5" s="1"/>
  <c r="L451" i="7" s="1"/>
  <c r="R2323" i="5"/>
  <c r="S2323" i="5" s="1"/>
  <c r="K451" i="7" s="1"/>
  <c r="P2323" i="5"/>
  <c r="Q2323" i="5" s="1"/>
  <c r="J451" i="7" s="1"/>
  <c r="N2323" i="5"/>
  <c r="O2323" i="5" s="1"/>
  <c r="I451" i="7" s="1"/>
  <c r="L2323" i="5"/>
  <c r="M2323" i="5" s="1"/>
  <c r="H451" i="7" s="1"/>
  <c r="H2323" i="5"/>
  <c r="I2323" i="5" s="1"/>
  <c r="F451" i="7" s="1"/>
  <c r="F2323" i="5"/>
  <c r="G2323" i="5" s="1"/>
  <c r="E451" i="7" s="1"/>
  <c r="D2323" i="5"/>
  <c r="E2323" i="5" s="1"/>
  <c r="D451" i="7" s="1"/>
  <c r="V2322" i="5"/>
  <c r="W2322" i="5" s="1"/>
  <c r="M450" i="7" s="1"/>
  <c r="T2322" i="5"/>
  <c r="U2322" i="5" s="1"/>
  <c r="L450" i="7" s="1"/>
  <c r="R2322" i="5"/>
  <c r="S2322" i="5" s="1"/>
  <c r="K450" i="7" s="1"/>
  <c r="P2322" i="5"/>
  <c r="Q2322" i="5" s="1"/>
  <c r="J450" i="7" s="1"/>
  <c r="N2322" i="5"/>
  <c r="O2322" i="5" s="1"/>
  <c r="I450" i="7" s="1"/>
  <c r="L2322" i="5"/>
  <c r="M2322" i="5" s="1"/>
  <c r="H450" i="7" s="1"/>
  <c r="J2322" i="5"/>
  <c r="K2322" i="5" s="1"/>
  <c r="G450" i="7" s="1"/>
  <c r="F2322" i="5"/>
  <c r="G2322" i="5" s="1"/>
  <c r="E450" i="7" s="1"/>
  <c r="D2322" i="5"/>
  <c r="E2322" i="5" s="1"/>
  <c r="D450" i="7" s="1"/>
  <c r="V2321" i="5"/>
  <c r="V2312" i="5" s="1"/>
  <c r="T2321" i="5"/>
  <c r="U2321" i="5" s="1"/>
  <c r="L449" i="7" s="1"/>
  <c r="R2321" i="5"/>
  <c r="S2321" i="5" s="1"/>
  <c r="K449" i="7" s="1"/>
  <c r="P2321" i="5"/>
  <c r="Q2321" i="5" s="1"/>
  <c r="J449" i="7" s="1"/>
  <c r="N2321" i="5"/>
  <c r="O2321" i="5" s="1"/>
  <c r="I449" i="7" s="1"/>
  <c r="L2321" i="5"/>
  <c r="M2321" i="5" s="1"/>
  <c r="H449" i="7" s="1"/>
  <c r="H2321" i="5"/>
  <c r="I2321" i="5" s="1"/>
  <c r="F449" i="7" s="1"/>
  <c r="F2321" i="5"/>
  <c r="G2321" i="5" s="1"/>
  <c r="E449" i="7" s="1"/>
  <c r="D2321" i="5"/>
  <c r="E2321" i="5" s="1"/>
  <c r="D449" i="7" s="1"/>
  <c r="V2320" i="5"/>
  <c r="W2320" i="5" s="1"/>
  <c r="M448" i="7" s="1"/>
  <c r="T2320" i="5"/>
  <c r="U2320" i="5" s="1"/>
  <c r="L448" i="7" s="1"/>
  <c r="R2320" i="5"/>
  <c r="S2320" i="5" s="1"/>
  <c r="K448" i="7" s="1"/>
  <c r="P2320" i="5"/>
  <c r="Q2320" i="5" s="1"/>
  <c r="J448" i="7" s="1"/>
  <c r="N2320" i="5"/>
  <c r="O2320" i="5" s="1"/>
  <c r="I448" i="7" s="1"/>
  <c r="L2320" i="5"/>
  <c r="M2320" i="5" s="1"/>
  <c r="H448" i="7" s="1"/>
  <c r="J2320" i="5"/>
  <c r="K2320" i="5" s="1"/>
  <c r="G448" i="7" s="1"/>
  <c r="F2320" i="5"/>
  <c r="G2320" i="5" s="1"/>
  <c r="E448" i="7" s="1"/>
  <c r="D2320" i="5"/>
  <c r="E2320" i="5" s="1"/>
  <c r="D448" i="7" s="1"/>
  <c r="V2319" i="5"/>
  <c r="W2319" i="5" s="1"/>
  <c r="M447" i="7" s="1"/>
  <c r="T2319" i="5"/>
  <c r="U2319" i="5" s="1"/>
  <c r="L447" i="7" s="1"/>
  <c r="R2319" i="5"/>
  <c r="S2319" i="5" s="1"/>
  <c r="K447" i="7" s="1"/>
  <c r="P2319" i="5"/>
  <c r="Q2319" i="5" s="1"/>
  <c r="J447" i="7" s="1"/>
  <c r="N2319" i="5"/>
  <c r="O2319" i="5" s="1"/>
  <c r="I447" i="7" s="1"/>
  <c r="L2319" i="5"/>
  <c r="M2319" i="5" s="1"/>
  <c r="H447" i="7" s="1"/>
  <c r="H2319" i="5"/>
  <c r="I2319" i="5" s="1"/>
  <c r="F447" i="7" s="1"/>
  <c r="F2319" i="5"/>
  <c r="G2319" i="5" s="1"/>
  <c r="E447" i="7" s="1"/>
  <c r="D2319" i="5"/>
  <c r="E2319" i="5" s="1"/>
  <c r="D447" i="7" s="1"/>
  <c r="V2318" i="5"/>
  <c r="W2318" i="5" s="1"/>
  <c r="M446" i="7" s="1"/>
  <c r="T2318" i="5"/>
  <c r="U2318" i="5" s="1"/>
  <c r="L446" i="7" s="1"/>
  <c r="R2318" i="5"/>
  <c r="S2318" i="5" s="1"/>
  <c r="K446" i="7" s="1"/>
  <c r="P2318" i="5"/>
  <c r="Q2318" i="5" s="1"/>
  <c r="J446" i="7" s="1"/>
  <c r="N2318" i="5"/>
  <c r="O2318" i="5" s="1"/>
  <c r="I446" i="7" s="1"/>
  <c r="L2318" i="5"/>
  <c r="M2318" i="5" s="1"/>
  <c r="H446" i="7" s="1"/>
  <c r="J2318" i="5"/>
  <c r="K2318" i="5" s="1"/>
  <c r="G446" i="7" s="1"/>
  <c r="H2318" i="5"/>
  <c r="I2318" i="5" s="1"/>
  <c r="F446" i="7" s="1"/>
  <c r="F2318" i="5"/>
  <c r="G2318" i="5" s="1"/>
  <c r="E446" i="7" s="1"/>
  <c r="D2318" i="5"/>
  <c r="E2318" i="5" s="1"/>
  <c r="D446" i="7" s="1"/>
  <c r="V2317" i="5"/>
  <c r="W2317" i="5" s="1"/>
  <c r="M445" i="7" s="1"/>
  <c r="T2317" i="5"/>
  <c r="U2317" i="5" s="1"/>
  <c r="L445" i="7" s="1"/>
  <c r="R2317" i="5"/>
  <c r="S2317" i="5" s="1"/>
  <c r="K445" i="7" s="1"/>
  <c r="P2317" i="5"/>
  <c r="Q2317" i="5" s="1"/>
  <c r="J445" i="7" s="1"/>
  <c r="N2317" i="5"/>
  <c r="O2317" i="5" s="1"/>
  <c r="I445" i="7" s="1"/>
  <c r="L2317" i="5"/>
  <c r="M2317" i="5" s="1"/>
  <c r="H445" i="7" s="1"/>
  <c r="F2317" i="5"/>
  <c r="G2317" i="5" s="1"/>
  <c r="E445" i="7" s="1"/>
  <c r="D2317" i="5"/>
  <c r="E2317" i="5" s="1"/>
  <c r="D445" i="7" s="1"/>
  <c r="J2258" i="5"/>
  <c r="K2258" i="5" s="1"/>
  <c r="G438" i="7" s="1"/>
  <c r="J2256" i="5"/>
  <c r="K2256" i="5" s="1"/>
  <c r="G436" i="7" s="1"/>
  <c r="H2256" i="5"/>
  <c r="I2256" i="5" s="1"/>
  <c r="F436" i="7" s="1"/>
  <c r="J2249" i="5"/>
  <c r="K2249" i="5" s="1"/>
  <c r="G429" i="7" s="1"/>
  <c r="J2245" i="5"/>
  <c r="K2245" i="5" s="1"/>
  <c r="G425" i="7" s="1"/>
  <c r="H2249" i="5"/>
  <c r="I2249" i="5" s="1"/>
  <c r="F429" i="7" s="1"/>
  <c r="H2248" i="5"/>
  <c r="I2248" i="5" s="1"/>
  <c r="F428" i="7" s="1"/>
  <c r="H2245" i="5"/>
  <c r="I2245" i="5" s="1"/>
  <c r="F425" i="7" s="1"/>
  <c r="V2258" i="5"/>
  <c r="W2258" i="5" s="1"/>
  <c r="M438" i="7" s="1"/>
  <c r="T2258" i="5"/>
  <c r="U2258" i="5" s="1"/>
  <c r="L438" i="7" s="1"/>
  <c r="R2258" i="5"/>
  <c r="S2258" i="5" s="1"/>
  <c r="K438" i="7" s="1"/>
  <c r="P2258" i="5"/>
  <c r="Q2258" i="5" s="1"/>
  <c r="J438" i="7" s="1"/>
  <c r="N2258" i="5"/>
  <c r="O2258" i="5"/>
  <c r="I438" i="7" s="1"/>
  <c r="L2258" i="5"/>
  <c r="M2258" i="5" s="1"/>
  <c r="H438" i="7" s="1"/>
  <c r="H2258" i="5"/>
  <c r="I2258" i="5" s="1"/>
  <c r="F438" i="7" s="1"/>
  <c r="F2258" i="5"/>
  <c r="G2258" i="5" s="1"/>
  <c r="E438" i="7" s="1"/>
  <c r="D2258" i="5"/>
  <c r="E2258" i="5" s="1"/>
  <c r="D438" i="7" s="1"/>
  <c r="V2257" i="5"/>
  <c r="V2259" i="5" s="1"/>
  <c r="T2257" i="5"/>
  <c r="U2257" i="5" s="1"/>
  <c r="L437" i="7" s="1"/>
  <c r="R2257" i="5"/>
  <c r="S2257" i="5" s="1"/>
  <c r="K437" i="7" s="1"/>
  <c r="P2257" i="5"/>
  <c r="Q2257" i="5" s="1"/>
  <c r="J437" i="7" s="1"/>
  <c r="N2257" i="5"/>
  <c r="O2257" i="5" s="1"/>
  <c r="I437" i="7" s="1"/>
  <c r="L2257" i="5"/>
  <c r="M2257" i="5" s="1"/>
  <c r="H437" i="7" s="1"/>
  <c r="J2257" i="5"/>
  <c r="K2257" i="5" s="1"/>
  <c r="G437" i="7" s="1"/>
  <c r="H2257" i="5"/>
  <c r="I2257" i="5" s="1"/>
  <c r="F437" i="7" s="1"/>
  <c r="F2257" i="5"/>
  <c r="G2257" i="5" s="1"/>
  <c r="E437" i="7" s="1"/>
  <c r="D2257" i="5"/>
  <c r="E2257" i="5" s="1"/>
  <c r="D437" i="7" s="1"/>
  <c r="V2256" i="5"/>
  <c r="W2256" i="5" s="1"/>
  <c r="M436" i="7" s="1"/>
  <c r="T2256" i="5"/>
  <c r="U2256" i="5" s="1"/>
  <c r="L436" i="7" s="1"/>
  <c r="R2256" i="5"/>
  <c r="S2256" i="5" s="1"/>
  <c r="K436" i="7" s="1"/>
  <c r="P2256" i="5"/>
  <c r="Q2256" i="5" s="1"/>
  <c r="J436" i="7" s="1"/>
  <c r="N2256" i="5"/>
  <c r="O2256" i="5" s="1"/>
  <c r="I436" i="7" s="1"/>
  <c r="L2256" i="5"/>
  <c r="M2256" i="5" s="1"/>
  <c r="H436" i="7" s="1"/>
  <c r="F2256" i="5"/>
  <c r="G2256" i="5" s="1"/>
  <c r="E436" i="7" s="1"/>
  <c r="D2256" i="5"/>
  <c r="E2256" i="5" s="1"/>
  <c r="D436" i="7" s="1"/>
  <c r="V2254" i="5"/>
  <c r="V2240" i="5" s="1"/>
  <c r="T2254" i="5"/>
  <c r="U2254" i="5" s="1"/>
  <c r="L434" i="7" s="1"/>
  <c r="R2254" i="5"/>
  <c r="S2254" i="5" s="1"/>
  <c r="K434" i="7" s="1"/>
  <c r="P2254" i="5"/>
  <c r="Q2254" i="5" s="1"/>
  <c r="J434" i="7" s="1"/>
  <c r="N2254" i="5"/>
  <c r="O2254" i="5" s="1"/>
  <c r="I434" i="7" s="1"/>
  <c r="L2254" i="5"/>
  <c r="M2254" i="5" s="1"/>
  <c r="H434" i="7" s="1"/>
  <c r="F2254" i="5"/>
  <c r="G2254" i="5" s="1"/>
  <c r="E434" i="7" s="1"/>
  <c r="D2254" i="5"/>
  <c r="E2254" i="5" s="1"/>
  <c r="D434" i="7" s="1"/>
  <c r="V2253" i="5"/>
  <c r="W2253" i="5" s="1"/>
  <c r="M433" i="7" s="1"/>
  <c r="T2253" i="5"/>
  <c r="U2253" i="5" s="1"/>
  <c r="L433" i="7" s="1"/>
  <c r="R2253" i="5"/>
  <c r="S2253" i="5" s="1"/>
  <c r="K433" i="7" s="1"/>
  <c r="P2253" i="5"/>
  <c r="Q2253" i="5" s="1"/>
  <c r="J433" i="7" s="1"/>
  <c r="N2253" i="5"/>
  <c r="O2253" i="5" s="1"/>
  <c r="I433" i="7" s="1"/>
  <c r="L2253" i="5"/>
  <c r="M2253" i="5" s="1"/>
  <c r="H433" i="7" s="1"/>
  <c r="F2253" i="5"/>
  <c r="G2253" i="5" s="1"/>
  <c r="E433" i="7" s="1"/>
  <c r="D2253" i="5"/>
  <c r="E2253" i="5" s="1"/>
  <c r="D433" i="7" s="1"/>
  <c r="V2252" i="5"/>
  <c r="W2252" i="5" s="1"/>
  <c r="M432" i="7" s="1"/>
  <c r="T2252" i="5"/>
  <c r="U2252" i="5" s="1"/>
  <c r="L432" i="7" s="1"/>
  <c r="R2252" i="5"/>
  <c r="S2252" i="5" s="1"/>
  <c r="K432" i="7" s="1"/>
  <c r="P2252" i="5"/>
  <c r="Q2252" i="5" s="1"/>
  <c r="J432" i="7" s="1"/>
  <c r="N2252" i="5"/>
  <c r="O2252" i="5" s="1"/>
  <c r="I432" i="7" s="1"/>
  <c r="L2252" i="5"/>
  <c r="M2252" i="5" s="1"/>
  <c r="H432" i="7" s="1"/>
  <c r="F2252" i="5"/>
  <c r="G2252" i="5" s="1"/>
  <c r="E432" i="7" s="1"/>
  <c r="D2252" i="5"/>
  <c r="E2252" i="5" s="1"/>
  <c r="D432" i="7" s="1"/>
  <c r="V2251" i="5"/>
  <c r="W2251" i="5" s="1"/>
  <c r="M431" i="7" s="1"/>
  <c r="T2251" i="5"/>
  <c r="U2251" i="5" s="1"/>
  <c r="L431" i="7" s="1"/>
  <c r="R2251" i="5"/>
  <c r="S2251" i="5" s="1"/>
  <c r="K431" i="7" s="1"/>
  <c r="P2251" i="5"/>
  <c r="Q2251" i="5" s="1"/>
  <c r="J431" i="7" s="1"/>
  <c r="N2251" i="5"/>
  <c r="O2251" i="5" s="1"/>
  <c r="I431" i="7" s="1"/>
  <c r="L2251" i="5"/>
  <c r="M2251" i="5" s="1"/>
  <c r="H431" i="7" s="1"/>
  <c r="J2251" i="5"/>
  <c r="K2251" i="5" s="1"/>
  <c r="G431" i="7" s="1"/>
  <c r="H2251" i="5"/>
  <c r="I2251" i="5" s="1"/>
  <c r="F431" i="7" s="1"/>
  <c r="F2251" i="5"/>
  <c r="G2251" i="5" s="1"/>
  <c r="E431" i="7" s="1"/>
  <c r="D2251" i="5"/>
  <c r="E2251" i="5" s="1"/>
  <c r="D431" i="7" s="1"/>
  <c r="V2250" i="5"/>
  <c r="W2250" i="5" s="1"/>
  <c r="M430" i="7" s="1"/>
  <c r="T2250" i="5"/>
  <c r="U2250" i="5" s="1"/>
  <c r="L430" i="7" s="1"/>
  <c r="R2250" i="5"/>
  <c r="S2250" i="5" s="1"/>
  <c r="K430" i="7" s="1"/>
  <c r="P2250" i="5"/>
  <c r="Q2250" i="5" s="1"/>
  <c r="J430" i="7" s="1"/>
  <c r="N2250" i="5"/>
  <c r="O2250" i="5" s="1"/>
  <c r="I430" i="7" s="1"/>
  <c r="L2250" i="5"/>
  <c r="M2250" i="5" s="1"/>
  <c r="H430" i="7" s="1"/>
  <c r="J2250" i="5"/>
  <c r="K2250" i="5" s="1"/>
  <c r="G430" i="7" s="1"/>
  <c r="H2250" i="5"/>
  <c r="I2250" i="5" s="1"/>
  <c r="F430" i="7" s="1"/>
  <c r="F2250" i="5"/>
  <c r="G2250" i="5" s="1"/>
  <c r="E430" i="7" s="1"/>
  <c r="D2250" i="5"/>
  <c r="E2250" i="5" s="1"/>
  <c r="D430" i="7" s="1"/>
  <c r="V2249" i="5"/>
  <c r="W2249" i="5" s="1"/>
  <c r="M429" i="7" s="1"/>
  <c r="T2249" i="5"/>
  <c r="U2249" i="5" s="1"/>
  <c r="L429" i="7" s="1"/>
  <c r="R2249" i="5"/>
  <c r="S2249" i="5" s="1"/>
  <c r="K429" i="7" s="1"/>
  <c r="P2249" i="5"/>
  <c r="Q2249" i="5" s="1"/>
  <c r="J429" i="7" s="1"/>
  <c r="N2249" i="5"/>
  <c r="O2249" i="5" s="1"/>
  <c r="I429" i="7" s="1"/>
  <c r="L2249" i="5"/>
  <c r="M2249" i="5" s="1"/>
  <c r="H429" i="7" s="1"/>
  <c r="F2249" i="5"/>
  <c r="G2249" i="5" s="1"/>
  <c r="E429" i="7" s="1"/>
  <c r="D2249" i="5"/>
  <c r="E2249" i="5" s="1"/>
  <c r="D429" i="7" s="1"/>
  <c r="V2248" i="5"/>
  <c r="W2248" i="5" s="1"/>
  <c r="M428" i="7" s="1"/>
  <c r="T2248" i="5"/>
  <c r="U2248" i="5" s="1"/>
  <c r="L428" i="7" s="1"/>
  <c r="R2248" i="5"/>
  <c r="S2248" i="5" s="1"/>
  <c r="K428" i="7" s="1"/>
  <c r="P2248" i="5"/>
  <c r="Q2248" i="5" s="1"/>
  <c r="J428" i="7" s="1"/>
  <c r="N2248" i="5"/>
  <c r="O2248" i="5" s="1"/>
  <c r="I428" i="7" s="1"/>
  <c r="L2248" i="5"/>
  <c r="M2248" i="5" s="1"/>
  <c r="H428" i="7" s="1"/>
  <c r="F2248" i="5"/>
  <c r="G2248" i="5" s="1"/>
  <c r="E428" i="7" s="1"/>
  <c r="D2248" i="5"/>
  <c r="E2248" i="5" s="1"/>
  <c r="D428" i="7" s="1"/>
  <c r="V2247" i="5"/>
  <c r="W2247" i="5" s="1"/>
  <c r="M427" i="7" s="1"/>
  <c r="T2247" i="5"/>
  <c r="U2247" i="5" s="1"/>
  <c r="L427" i="7" s="1"/>
  <c r="R2247" i="5"/>
  <c r="S2247" i="5" s="1"/>
  <c r="K427" i="7" s="1"/>
  <c r="P2247" i="5"/>
  <c r="Q2247" i="5" s="1"/>
  <c r="J427" i="7" s="1"/>
  <c r="N2247" i="5"/>
  <c r="O2247" i="5" s="1"/>
  <c r="I427" i="7" s="1"/>
  <c r="L2247" i="5"/>
  <c r="M2247" i="5" s="1"/>
  <c r="H427" i="7" s="1"/>
  <c r="H2247" i="5"/>
  <c r="I2247" i="5" s="1"/>
  <c r="F427" i="7" s="1"/>
  <c r="F2247" i="5"/>
  <c r="G2247" i="5" s="1"/>
  <c r="E427" i="7" s="1"/>
  <c r="D2247" i="5"/>
  <c r="E2247" i="5" s="1"/>
  <c r="D427" i="7" s="1"/>
  <c r="V2246" i="5"/>
  <c r="W2246" i="5" s="1"/>
  <c r="M426" i="7" s="1"/>
  <c r="T2246" i="5"/>
  <c r="U2246" i="5" s="1"/>
  <c r="L426" i="7" s="1"/>
  <c r="R2246" i="5"/>
  <c r="S2246" i="5" s="1"/>
  <c r="K426" i="7" s="1"/>
  <c r="P2246" i="5"/>
  <c r="Q2246" i="5" s="1"/>
  <c r="J426" i="7" s="1"/>
  <c r="N2246" i="5"/>
  <c r="O2246" i="5" s="1"/>
  <c r="I426" i="7" s="1"/>
  <c r="L2246" i="5"/>
  <c r="M2246" i="5" s="1"/>
  <c r="H426" i="7" s="1"/>
  <c r="H2246" i="5"/>
  <c r="I2246" i="5" s="1"/>
  <c r="F426" i="7" s="1"/>
  <c r="F2246" i="5"/>
  <c r="G2246" i="5" s="1"/>
  <c r="E426" i="7" s="1"/>
  <c r="D2246" i="5"/>
  <c r="E2246" i="5" s="1"/>
  <c r="D426" i="7" s="1"/>
  <c r="V2245" i="5"/>
  <c r="W2245" i="5" s="1"/>
  <c r="M425" i="7" s="1"/>
  <c r="T2245" i="5"/>
  <c r="U2245" i="5" s="1"/>
  <c r="L425" i="7" s="1"/>
  <c r="R2245" i="5"/>
  <c r="S2245" i="5" s="1"/>
  <c r="K425" i="7" s="1"/>
  <c r="P2245" i="5"/>
  <c r="Q2245" i="5" s="1"/>
  <c r="J425" i="7" s="1"/>
  <c r="N2245" i="5"/>
  <c r="O2245" i="5" s="1"/>
  <c r="I425" i="7" s="1"/>
  <c r="L2245" i="5"/>
  <c r="M2245" i="5" s="1"/>
  <c r="H425" i="7" s="1"/>
  <c r="F2245" i="5"/>
  <c r="G2245" i="5" s="1"/>
  <c r="E425" i="7" s="1"/>
  <c r="D2245" i="5"/>
  <c r="E2245" i="5" s="1"/>
  <c r="D425" i="7" s="1"/>
  <c r="J2180" i="5"/>
  <c r="K2180" i="5" s="1"/>
  <c r="G412" i="7" s="1"/>
  <c r="J2185" i="5"/>
  <c r="K2185" i="5" s="1"/>
  <c r="G417" i="7" s="1"/>
  <c r="J2184" i="5"/>
  <c r="K2184" i="5" s="1"/>
  <c r="G416" i="7" s="1"/>
  <c r="J2183" i="5"/>
  <c r="K2183" i="5" s="1"/>
  <c r="G415" i="7" s="1"/>
  <c r="J2178" i="5"/>
  <c r="K2178" i="5" s="1"/>
  <c r="G410" i="7" s="1"/>
  <c r="J2177" i="5"/>
  <c r="K2177" i="5" s="1"/>
  <c r="G409" i="7" s="1"/>
  <c r="H2185" i="5"/>
  <c r="I2185" i="5" s="1"/>
  <c r="F417" i="7" s="1"/>
  <c r="H2181" i="5"/>
  <c r="H2177" i="5"/>
  <c r="I2177" i="5" s="1"/>
  <c r="F409" i="7" s="1"/>
  <c r="L2185" i="5"/>
  <c r="M2185" i="5" s="1"/>
  <c r="H417" i="7" s="1"/>
  <c r="N2185" i="5"/>
  <c r="O2185" i="5" s="1"/>
  <c r="I417" i="7" s="1"/>
  <c r="R2185" i="5"/>
  <c r="S2185" i="5" s="1"/>
  <c r="K417" i="7" s="1"/>
  <c r="V2185" i="5"/>
  <c r="V2182" i="5" s="1"/>
  <c r="T2185" i="5"/>
  <c r="U2185" i="5" s="1"/>
  <c r="L417" i="7" s="1"/>
  <c r="P2185" i="5"/>
  <c r="Q2185" i="5" s="1"/>
  <c r="J417" i="7" s="1"/>
  <c r="V2184" i="5"/>
  <c r="W2184" i="5" s="1"/>
  <c r="M416" i="7" s="1"/>
  <c r="T2184" i="5"/>
  <c r="U2184" i="5" s="1"/>
  <c r="L416" i="7" s="1"/>
  <c r="R2184" i="5"/>
  <c r="S2184" i="5" s="1"/>
  <c r="K416" i="7" s="1"/>
  <c r="P2184" i="5"/>
  <c r="Q2184" i="5" s="1"/>
  <c r="J416" i="7" s="1"/>
  <c r="N2184" i="5"/>
  <c r="O2184" i="5" s="1"/>
  <c r="I416" i="7" s="1"/>
  <c r="L2184" i="5"/>
  <c r="M2184" i="5" s="1"/>
  <c r="H416" i="7" s="1"/>
  <c r="H2184" i="5"/>
  <c r="I2184" i="5" s="1"/>
  <c r="F416" i="7" s="1"/>
  <c r="F2184" i="5"/>
  <c r="G2184" i="5" s="1"/>
  <c r="E416" i="7" s="1"/>
  <c r="D2184" i="5"/>
  <c r="E2184" i="5" s="1"/>
  <c r="D416" i="7" s="1"/>
  <c r="V2183" i="5"/>
  <c r="W2183" i="5" s="1"/>
  <c r="M415" i="7" s="1"/>
  <c r="T2183" i="5"/>
  <c r="U2183" i="5" s="1"/>
  <c r="L415" i="7" s="1"/>
  <c r="R2183" i="5"/>
  <c r="S2183" i="5" s="1"/>
  <c r="K415" i="7" s="1"/>
  <c r="P2183" i="5"/>
  <c r="Q2183" i="5" s="1"/>
  <c r="J415" i="7" s="1"/>
  <c r="N2183" i="5"/>
  <c r="O2183" i="5" s="1"/>
  <c r="I415" i="7" s="1"/>
  <c r="L2183" i="5"/>
  <c r="M2183" i="5" s="1"/>
  <c r="H415" i="7" s="1"/>
  <c r="H2183" i="5"/>
  <c r="I2183" i="5" s="1"/>
  <c r="F415" i="7" s="1"/>
  <c r="F2183" i="5"/>
  <c r="G2183" i="5" s="1"/>
  <c r="E415" i="7" s="1"/>
  <c r="D2183" i="5"/>
  <c r="E2183" i="5" s="1"/>
  <c r="D415" i="7" s="1"/>
  <c r="V2181" i="5"/>
  <c r="W2181" i="5" s="1"/>
  <c r="M413" i="7" s="1"/>
  <c r="T2181" i="5"/>
  <c r="U2181" i="5" s="1"/>
  <c r="L413" i="7" s="1"/>
  <c r="R2181" i="5"/>
  <c r="S2181" i="5" s="1"/>
  <c r="K413" i="7" s="1"/>
  <c r="P2181" i="5"/>
  <c r="Q2181" i="5" s="1"/>
  <c r="J413" i="7" s="1"/>
  <c r="N2181" i="5"/>
  <c r="O2181" i="5" s="1"/>
  <c r="I413" i="7" s="1"/>
  <c r="L2181" i="5"/>
  <c r="M2181" i="5" s="1"/>
  <c r="H413" i="7" s="1"/>
  <c r="J2181" i="5"/>
  <c r="K2181" i="5" s="1"/>
  <c r="G413" i="7" s="1"/>
  <c r="F2181" i="5"/>
  <c r="G2181" i="5" s="1"/>
  <c r="E413" i="7" s="1"/>
  <c r="D2181" i="5"/>
  <c r="E2181" i="5" s="1"/>
  <c r="D413" i="7" s="1"/>
  <c r="V2180" i="5"/>
  <c r="W2180" i="5" s="1"/>
  <c r="M412" i="7" s="1"/>
  <c r="T2180" i="5"/>
  <c r="U2180" i="5" s="1"/>
  <c r="L412" i="7" s="1"/>
  <c r="R2180" i="5"/>
  <c r="S2180" i="5" s="1"/>
  <c r="K412" i="7" s="1"/>
  <c r="P2180" i="5"/>
  <c r="Q2180" i="5" s="1"/>
  <c r="J412" i="7" s="1"/>
  <c r="N2180" i="5"/>
  <c r="O2180" i="5" s="1"/>
  <c r="I412" i="7" s="1"/>
  <c r="L2180" i="5"/>
  <c r="M2180" i="5" s="1"/>
  <c r="H412" i="7" s="1"/>
  <c r="F2180" i="5"/>
  <c r="G2180" i="5" s="1"/>
  <c r="E412" i="7" s="1"/>
  <c r="D2180" i="5"/>
  <c r="E2180" i="5" s="1"/>
  <c r="D412" i="7" s="1"/>
  <c r="V2178" i="5"/>
  <c r="W2178" i="5" s="1"/>
  <c r="M410" i="7" s="1"/>
  <c r="T2178" i="5"/>
  <c r="U2178" i="5" s="1"/>
  <c r="L410" i="7" s="1"/>
  <c r="R2178" i="5"/>
  <c r="S2178" i="5" s="1"/>
  <c r="K410" i="7" s="1"/>
  <c r="P2178" i="5"/>
  <c r="Q2178" i="5" s="1"/>
  <c r="J410" i="7" s="1"/>
  <c r="N2178" i="5"/>
  <c r="O2178" i="5" s="1"/>
  <c r="I410" i="7" s="1"/>
  <c r="L2178" i="5"/>
  <c r="M2178" i="5" s="1"/>
  <c r="H410" i="7" s="1"/>
  <c r="H2178" i="5"/>
  <c r="I2178" i="5" s="1"/>
  <c r="F410" i="7" s="1"/>
  <c r="F2178" i="5"/>
  <c r="G2178" i="5" s="1"/>
  <c r="E410" i="7" s="1"/>
  <c r="D2178" i="5"/>
  <c r="E2178" i="5" s="1"/>
  <c r="D410" i="7" s="1"/>
  <c r="V2177" i="5"/>
  <c r="W2177" i="5" s="1"/>
  <c r="M409" i="7" s="1"/>
  <c r="T2177" i="5"/>
  <c r="U2177" i="5" s="1"/>
  <c r="L409" i="7" s="1"/>
  <c r="R2177" i="5"/>
  <c r="S2177" i="5" s="1"/>
  <c r="K409" i="7" s="1"/>
  <c r="P2177" i="5"/>
  <c r="Q2177" i="5" s="1"/>
  <c r="J409" i="7" s="1"/>
  <c r="N2177" i="5"/>
  <c r="O2177" i="5" s="1"/>
  <c r="I409" i="7" s="1"/>
  <c r="L2177" i="5"/>
  <c r="M2177" i="5" s="1"/>
  <c r="H409" i="7" s="1"/>
  <c r="F2177" i="5"/>
  <c r="G2177" i="5" s="1"/>
  <c r="E409" i="7" s="1"/>
  <c r="D2177" i="5"/>
  <c r="E2177" i="5" s="1"/>
  <c r="D409" i="7" s="1"/>
  <c r="F2053" i="5"/>
  <c r="G2053" i="5" s="1"/>
  <c r="E397" i="7" s="1"/>
  <c r="H2054" i="5"/>
  <c r="I2054" i="5" s="1"/>
  <c r="F398" i="7" s="1"/>
  <c r="F2054" i="5"/>
  <c r="G2054" i="5" s="1"/>
  <c r="E398" i="7" s="1"/>
  <c r="H2053" i="5"/>
  <c r="I2053" i="5" s="1"/>
  <c r="F397" i="7" s="1"/>
  <c r="F300" i="5"/>
  <c r="G300" i="5" s="1"/>
  <c r="E64" i="7" s="1"/>
  <c r="F297" i="5"/>
  <c r="G297" i="5" s="1"/>
  <c r="E61" i="7" s="1"/>
  <c r="F296" i="5"/>
  <c r="G296" i="5" s="1"/>
  <c r="E60" i="7" s="1"/>
  <c r="H300" i="5"/>
  <c r="I300" i="5" s="1"/>
  <c r="F64" i="7" s="1"/>
  <c r="H299" i="5"/>
  <c r="I299" i="5" s="1"/>
  <c r="F63" i="7" s="1"/>
  <c r="F299" i="5"/>
  <c r="G299" i="5" s="1"/>
  <c r="E63" i="7" s="1"/>
  <c r="H298" i="5"/>
  <c r="I298" i="5" s="1"/>
  <c r="F62" i="7" s="1"/>
  <c r="F298" i="5"/>
  <c r="G298" i="5" s="1"/>
  <c r="E62" i="7" s="1"/>
  <c r="H297" i="5"/>
  <c r="I297" i="5" s="1"/>
  <c r="F61" i="7" s="1"/>
  <c r="H296" i="5"/>
  <c r="I296" i="5" s="1"/>
  <c r="F60" i="7" s="1"/>
  <c r="F173" i="5"/>
  <c r="G173" i="5" s="1"/>
  <c r="E48" i="7" s="1"/>
  <c r="F172" i="5"/>
  <c r="G172" i="5" s="1"/>
  <c r="E47" i="7" s="1"/>
  <c r="F169" i="5"/>
  <c r="G169" i="5" s="1"/>
  <c r="E44" i="7" s="1"/>
  <c r="H170" i="5"/>
  <c r="I170" i="5" s="1"/>
  <c r="F45" i="7" s="1"/>
  <c r="F170" i="5"/>
  <c r="G170" i="5" s="1"/>
  <c r="E45" i="7" s="1"/>
  <c r="D170" i="5"/>
  <c r="E170" i="5" s="1"/>
  <c r="D45" i="7" s="1"/>
  <c r="H173" i="5"/>
  <c r="I173" i="5" s="1"/>
  <c r="F48" i="7" s="1"/>
  <c r="H172" i="5"/>
  <c r="I172" i="5" s="1"/>
  <c r="F47" i="7" s="1"/>
  <c r="H171" i="5"/>
  <c r="I171" i="5" s="1"/>
  <c r="F46" i="7" s="1"/>
  <c r="F171" i="5"/>
  <c r="G171" i="5" s="1"/>
  <c r="E46" i="7" s="1"/>
  <c r="H169" i="5"/>
  <c r="I169" i="5" s="1"/>
  <c r="F44" i="7" s="1"/>
  <c r="F96" i="5"/>
  <c r="G96" i="5" s="1"/>
  <c r="E30" i="7" s="1"/>
  <c r="F95" i="5"/>
  <c r="G95" i="5" s="1"/>
  <c r="E29" i="7" s="1"/>
  <c r="F19" i="5"/>
  <c r="G19" i="5" s="1"/>
  <c r="E16" i="7" s="1"/>
  <c r="F18" i="5"/>
  <c r="G18" i="5" s="1"/>
  <c r="E15" i="7" s="1"/>
  <c r="F16" i="5"/>
  <c r="G16" i="5" s="1"/>
  <c r="E13" i="7" s="1"/>
  <c r="F15" i="5"/>
  <c r="G15" i="5" s="1"/>
  <c r="E12" i="7" s="1"/>
  <c r="F20" i="5"/>
  <c r="G20" i="5" s="1"/>
  <c r="E17" i="7" s="1"/>
  <c r="F17" i="5"/>
  <c r="G17" i="5" s="1"/>
  <c r="E14" i="7" s="1"/>
  <c r="C52" i="6"/>
  <c r="B2725" i="5" s="1"/>
  <c r="T2675" i="5" s="1"/>
  <c r="B50" i="6"/>
  <c r="C51" i="6"/>
  <c r="C45" i="6"/>
  <c r="B458" i="7" s="1"/>
  <c r="C44" i="6"/>
  <c r="B442" i="7" s="1"/>
  <c r="B2313" i="5"/>
  <c r="T2263" i="5" s="1"/>
  <c r="C43" i="6"/>
  <c r="B2241" i="5" s="1"/>
  <c r="C42" i="6"/>
  <c r="B2173" i="5" s="1"/>
  <c r="B41" i="6"/>
  <c r="C48" i="6"/>
  <c r="B2589" i="5" s="1"/>
  <c r="T2667" i="5" s="1"/>
  <c r="C47" i="6"/>
  <c r="C39" i="6"/>
  <c r="B401" i="7" s="1"/>
  <c r="B38" i="6"/>
  <c r="C36" i="6"/>
  <c r="B2048" i="5" s="1"/>
  <c r="B393" i="7" s="1"/>
  <c r="C35" i="6"/>
  <c r="B1981" i="5" s="1"/>
  <c r="S2048" i="5" s="1"/>
  <c r="C34" i="6"/>
  <c r="B373" i="7" s="1"/>
  <c r="C33" i="6"/>
  <c r="B1838" i="5" s="1"/>
  <c r="T1913" i="5" s="1"/>
  <c r="C32" i="6"/>
  <c r="B1761" i="5" s="1"/>
  <c r="T1838" i="5" s="1"/>
  <c r="C31" i="6"/>
  <c r="B335" i="7" s="1"/>
  <c r="C30" i="6"/>
  <c r="B1613" i="5" s="1"/>
  <c r="C29" i="6"/>
  <c r="B1539" i="5" s="1"/>
  <c r="T1489" i="5" s="1"/>
  <c r="C28" i="6"/>
  <c r="B1465" i="5" s="1"/>
  <c r="T1539" i="5" s="1"/>
  <c r="C27" i="6"/>
  <c r="B1391" i="5" s="1"/>
  <c r="C26" i="6"/>
  <c r="B1318" i="5" s="1"/>
  <c r="C25" i="6"/>
  <c r="B1246" i="5" s="1"/>
  <c r="B252" i="7" s="1"/>
  <c r="C24" i="6"/>
  <c r="B1169" i="5" s="1"/>
  <c r="C23" i="6"/>
  <c r="B1096" i="5" s="1"/>
  <c r="T1169" i="5" s="1"/>
  <c r="C22" i="6"/>
  <c r="B1018" i="5" s="1"/>
  <c r="C21" i="6"/>
  <c r="B193" i="7" s="1"/>
  <c r="B940" i="5"/>
  <c r="T890" i="5" s="1"/>
  <c r="C20" i="6"/>
  <c r="B867" i="5" s="1"/>
  <c r="B179" i="7" s="1"/>
  <c r="C19" i="6"/>
  <c r="B794" i="5" s="1"/>
  <c r="C18" i="6"/>
  <c r="B721" i="5" s="1"/>
  <c r="T671" i="5" s="1"/>
  <c r="C17" i="6"/>
  <c r="B649" i="5" s="1"/>
  <c r="C16" i="6"/>
  <c r="B575" i="5" s="1"/>
  <c r="B124" i="7" s="1"/>
  <c r="C12" i="6"/>
  <c r="B368" i="5" s="1"/>
  <c r="C11" i="6"/>
  <c r="B56" i="7" s="1"/>
  <c r="C10" i="6"/>
  <c r="B40" i="7" s="1"/>
  <c r="C9" i="6"/>
  <c r="B25" i="7" s="1"/>
  <c r="C8" i="6"/>
  <c r="B10" i="5" s="1"/>
  <c r="S90" i="5" s="1"/>
  <c r="B7" i="6"/>
  <c r="D4" i="6"/>
  <c r="B75" i="7"/>
  <c r="D2673" i="5"/>
  <c r="E2673" i="5" s="1"/>
  <c r="D525" i="7" s="1"/>
  <c r="D389" i="5"/>
  <c r="E389" i="5" s="1"/>
  <c r="M84" i="7" s="1"/>
  <c r="D388" i="5"/>
  <c r="D387" i="5"/>
  <c r="E387" i="5" s="1"/>
  <c r="M82" i="7" s="1"/>
  <c r="D386" i="5"/>
  <c r="E386" i="5" s="1"/>
  <c r="M81" i="7" s="1"/>
  <c r="D385" i="5"/>
  <c r="E385" i="5" s="1"/>
  <c r="M80" i="7" s="1"/>
  <c r="D384" i="5"/>
  <c r="E384" i="5" s="1"/>
  <c r="M79" i="7" s="1"/>
  <c r="D382" i="5"/>
  <c r="E382" i="5" s="1"/>
  <c r="M77" i="7" s="1"/>
  <c r="D380" i="5"/>
  <c r="E380" i="5" s="1"/>
  <c r="M75" i="7" s="1"/>
  <c r="D379" i="5"/>
  <c r="E379" i="5" s="1"/>
  <c r="M74" i="7" s="1"/>
  <c r="D378" i="5"/>
  <c r="E378" i="5" s="1"/>
  <c r="M73" i="7" s="1"/>
  <c r="D377" i="5"/>
  <c r="E377" i="5" s="1"/>
  <c r="M72" i="7" s="1"/>
  <c r="D373" i="5"/>
  <c r="E373" i="5" s="1"/>
  <c r="D75" i="7" s="1"/>
  <c r="D307" i="5"/>
  <c r="E307" i="5" s="1"/>
  <c r="M60" i="7" s="1"/>
  <c r="D181" i="5"/>
  <c r="E181" i="5" s="1"/>
  <c r="M45" i="7" s="1"/>
  <c r="D103" i="5"/>
  <c r="E103" i="5" s="1"/>
  <c r="M29" i="7" s="1"/>
  <c r="D29" i="5"/>
  <c r="E29" i="5" s="1"/>
  <c r="M14" i="7" s="1"/>
  <c r="D27" i="5"/>
  <c r="E27" i="5"/>
  <c r="M12" i="7" s="1"/>
  <c r="D28" i="5"/>
  <c r="E28" i="5" s="1"/>
  <c r="M13" i="7" s="1"/>
  <c r="B391" i="7"/>
  <c r="B390" i="7"/>
  <c r="B389" i="7"/>
  <c r="B388" i="7"/>
  <c r="B387" i="7"/>
  <c r="D1997" i="5"/>
  <c r="E1997" i="5" s="1"/>
  <c r="M387" i="7" s="1"/>
  <c r="D1996" i="5"/>
  <c r="E1996" i="5" s="1"/>
  <c r="M386" i="7" s="1"/>
  <c r="D1994" i="5"/>
  <c r="E1994" i="5" s="1"/>
  <c r="M384" i="7" s="1"/>
  <c r="B328" i="7"/>
  <c r="B327" i="7"/>
  <c r="B326" i="7"/>
  <c r="B325" i="7"/>
  <c r="D1637" i="5"/>
  <c r="D1636" i="5"/>
  <c r="E1636" i="5" s="1"/>
  <c r="M333" i="7" s="1"/>
  <c r="D1635" i="5"/>
  <c r="E1635" i="5" s="1"/>
  <c r="M332" i="7" s="1"/>
  <c r="D1634" i="5"/>
  <c r="E1634" i="5" s="1"/>
  <c r="M331" i="7" s="1"/>
  <c r="D1633" i="5"/>
  <c r="E1633" i="5" s="1"/>
  <c r="M330" i="7" s="1"/>
  <c r="D1631" i="5"/>
  <c r="E1631" i="5" s="1"/>
  <c r="M328" i="7" s="1"/>
  <c r="D1629" i="5"/>
  <c r="E1629" i="5" s="1"/>
  <c r="M326" i="7" s="1"/>
  <c r="D1628" i="5"/>
  <c r="E1628" i="5" s="1"/>
  <c r="M325" i="7" s="1"/>
  <c r="D1627" i="5"/>
  <c r="E1627" i="5" s="1"/>
  <c r="M324" i="7" s="1"/>
  <c r="D1626" i="5"/>
  <c r="E1626" i="5" s="1"/>
  <c r="M323" i="7" s="1"/>
  <c r="D1625" i="5"/>
  <c r="E1625" i="5" s="1"/>
  <c r="M322" i="7" s="1"/>
  <c r="B285" i="7"/>
  <c r="B284" i="7"/>
  <c r="B283" i="7"/>
  <c r="B270" i="7"/>
  <c r="B269" i="7"/>
  <c r="B257" i="7"/>
  <c r="B256" i="7"/>
  <c r="B297" i="7"/>
  <c r="D1414" i="5"/>
  <c r="D1413" i="5"/>
  <c r="E1413" i="5" s="1"/>
  <c r="M291" i="7" s="1"/>
  <c r="D1412" i="5"/>
  <c r="E1412" i="5" s="1"/>
  <c r="M290" i="7" s="1"/>
  <c r="D1411" i="5"/>
  <c r="E1411" i="5" s="1"/>
  <c r="M289" i="7" s="1"/>
  <c r="D1410" i="5"/>
  <c r="E1410" i="5" s="1"/>
  <c r="M288" i="7" s="1"/>
  <c r="D1408" i="5"/>
  <c r="E1408" i="5" s="1"/>
  <c r="M286" i="7" s="1"/>
  <c r="D1406" i="5"/>
  <c r="E1406" i="5" s="1"/>
  <c r="M284" i="7" s="1"/>
  <c r="D1404" i="5"/>
  <c r="E1404" i="5" s="1"/>
  <c r="M282" i="7" s="1"/>
  <c r="D1403" i="5"/>
  <c r="E1403" i="5" s="1"/>
  <c r="M281" i="7" s="1"/>
  <c r="D1402" i="5"/>
  <c r="E1402" i="5" s="1"/>
  <c r="M280" i="7" s="1"/>
  <c r="D1340" i="5"/>
  <c r="D1339" i="5"/>
  <c r="E1339" i="5" s="1"/>
  <c r="M277" i="7" s="1"/>
  <c r="D1338" i="5"/>
  <c r="E1338" i="5" s="1"/>
  <c r="M276" i="7" s="1"/>
  <c r="D1337" i="5"/>
  <c r="E1337" i="5" s="1"/>
  <c r="M275" i="7" s="1"/>
  <c r="D1336" i="5"/>
  <c r="E1336" i="5" s="1"/>
  <c r="M274" i="7" s="1"/>
  <c r="D1334" i="5"/>
  <c r="E1334" i="5" s="1"/>
  <c r="M272" i="7" s="1"/>
  <c r="D1332" i="5"/>
  <c r="E1332" i="5" s="1"/>
  <c r="M270" i="7" s="1"/>
  <c r="D1330" i="5"/>
  <c r="E1330" i="5" s="1"/>
  <c r="M268" i="7" s="1"/>
  <c r="D1329" i="5"/>
  <c r="E1329" i="5" s="1"/>
  <c r="M267" i="7" s="1"/>
  <c r="D1328" i="5"/>
  <c r="E1328" i="5" s="1"/>
  <c r="M266" i="7" s="1"/>
  <c r="D1267" i="5"/>
  <c r="D1266" i="5"/>
  <c r="E1266" i="5" s="1"/>
  <c r="M263" i="7" s="1"/>
  <c r="D1265" i="5"/>
  <c r="E1265" i="5" s="1"/>
  <c r="M262" i="7" s="1"/>
  <c r="D1264" i="5"/>
  <c r="E1264" i="5" s="1"/>
  <c r="M261" i="7" s="1"/>
  <c r="D1263" i="5"/>
  <c r="E1263" i="5" s="1"/>
  <c r="M260" i="7" s="1"/>
  <c r="D1261" i="5"/>
  <c r="E1261" i="5" s="1"/>
  <c r="M258" i="7" s="1"/>
  <c r="D1259" i="5"/>
  <c r="E1259" i="5" s="1"/>
  <c r="M256" i="7" s="1"/>
  <c r="D1258" i="5"/>
  <c r="E1258" i="5" s="1"/>
  <c r="M255" i="7" s="1"/>
  <c r="D1257" i="5"/>
  <c r="E1257" i="5" s="1"/>
  <c r="M254" i="7" s="1"/>
  <c r="D1256" i="5"/>
  <c r="E1256" i="5" s="1"/>
  <c r="M253" i="7" s="1"/>
  <c r="B228" i="7"/>
  <c r="B227" i="7"/>
  <c r="B184" i="7"/>
  <c r="B183" i="7"/>
  <c r="B170" i="7"/>
  <c r="B169" i="7"/>
  <c r="D1118" i="5"/>
  <c r="D1117" i="5"/>
  <c r="E1117" i="5" s="1"/>
  <c r="M235" i="7" s="1"/>
  <c r="D1116" i="5"/>
  <c r="E1116" i="5" s="1"/>
  <c r="M234" i="7" s="1"/>
  <c r="D1115" i="5"/>
  <c r="E1115" i="5" s="1"/>
  <c r="M233" i="7" s="1"/>
  <c r="D1114" i="5"/>
  <c r="E1114" i="5" s="1"/>
  <c r="M232" i="7" s="1"/>
  <c r="D1112" i="5"/>
  <c r="E1112" i="5" s="1"/>
  <c r="M230" i="7" s="1"/>
  <c r="D1110" i="5"/>
  <c r="E1110" i="5" s="1"/>
  <c r="M228" i="7" s="1"/>
  <c r="D1108" i="5"/>
  <c r="E1108" i="5" s="1"/>
  <c r="M226" i="7" s="1"/>
  <c r="D1107" i="5"/>
  <c r="E1107" i="5" s="1"/>
  <c r="M225" i="7" s="1"/>
  <c r="D1106" i="5"/>
  <c r="E1106" i="5" s="1"/>
  <c r="M224" i="7" s="1"/>
  <c r="D889" i="5"/>
  <c r="D888" i="5"/>
  <c r="E888" i="5" s="1"/>
  <c r="M191" i="7" s="1"/>
  <c r="D887" i="5"/>
  <c r="E887" i="5" s="1"/>
  <c r="M190" i="7" s="1"/>
  <c r="D886" i="5"/>
  <c r="E886" i="5" s="1"/>
  <c r="M189" i="7" s="1"/>
  <c r="D885" i="5"/>
  <c r="E885" i="5" s="1"/>
  <c r="M188" i="7" s="1"/>
  <c r="D883" i="5"/>
  <c r="E883" i="5" s="1"/>
  <c r="M186" i="7" s="1"/>
  <c r="D881" i="5"/>
  <c r="E881" i="5" s="1"/>
  <c r="M184" i="7" s="1"/>
  <c r="D879" i="5"/>
  <c r="E879" i="5"/>
  <c r="M182" i="7" s="1"/>
  <c r="D878" i="5"/>
  <c r="E878" i="5" s="1"/>
  <c r="M181" i="7" s="1"/>
  <c r="D877" i="5"/>
  <c r="E877" i="5" s="1"/>
  <c r="M180" i="7" s="1"/>
  <c r="D816" i="5"/>
  <c r="D815" i="5"/>
  <c r="E815" i="5" s="1"/>
  <c r="M177" i="7" s="1"/>
  <c r="D814" i="5"/>
  <c r="E814" i="5" s="1"/>
  <c r="M176" i="7" s="1"/>
  <c r="D813" i="5"/>
  <c r="E813" i="5" s="1"/>
  <c r="M175" i="7" s="1"/>
  <c r="D812" i="5"/>
  <c r="E812" i="5" s="1"/>
  <c r="M174" i="7" s="1"/>
  <c r="D810" i="5"/>
  <c r="E810" i="5" s="1"/>
  <c r="M172" i="7" s="1"/>
  <c r="D808" i="5"/>
  <c r="E808" i="5" s="1"/>
  <c r="M170" i="7" s="1"/>
  <c r="D806" i="5"/>
  <c r="E806" i="5" s="1"/>
  <c r="M168" i="7" s="1"/>
  <c r="D805" i="5"/>
  <c r="E805" i="5" s="1"/>
  <c r="M167" i="7" s="1"/>
  <c r="D804" i="5"/>
  <c r="E804" i="5" s="1"/>
  <c r="M166" i="7" s="1"/>
  <c r="J1844" i="5"/>
  <c r="K1844" i="5" s="1"/>
  <c r="G366" i="7" s="1"/>
  <c r="J1846" i="5"/>
  <c r="K1846" i="5" s="1"/>
  <c r="G368" i="7" s="1"/>
  <c r="J1847" i="5"/>
  <c r="K1847" i="5" s="1"/>
  <c r="G369" i="7" s="1"/>
  <c r="J1848" i="5"/>
  <c r="K1848" i="5" s="1"/>
  <c r="G370" i="7" s="1"/>
  <c r="J1849" i="5"/>
  <c r="K1849" i="5" s="1"/>
  <c r="G371" i="7" s="1"/>
  <c r="J1843" i="5"/>
  <c r="K1843" i="5" s="1"/>
  <c r="G365" i="7" s="1"/>
  <c r="J1768" i="5"/>
  <c r="K1768" i="5" s="1"/>
  <c r="G354" i="7" s="1"/>
  <c r="J1769" i="5"/>
  <c r="K1769" i="5" s="1"/>
  <c r="G355" i="7" s="1"/>
  <c r="J1770" i="5"/>
  <c r="K1770" i="5" s="1"/>
  <c r="G356" i="7" s="1"/>
  <c r="B156" i="7"/>
  <c r="B155" i="7"/>
  <c r="B143" i="7"/>
  <c r="B142" i="7"/>
  <c r="B130" i="7"/>
  <c r="B129" i="7"/>
  <c r="B128" i="7"/>
  <c r="B117" i="7"/>
  <c r="B116" i="7"/>
  <c r="B115" i="7"/>
  <c r="D670" i="5"/>
  <c r="D669" i="5"/>
  <c r="E669" i="5" s="1"/>
  <c r="M149" i="7" s="1"/>
  <c r="D668" i="5"/>
  <c r="E668" i="5" s="1"/>
  <c r="M148" i="7" s="1"/>
  <c r="D667" i="5"/>
  <c r="E667" i="5" s="1"/>
  <c r="M147" i="7" s="1"/>
  <c r="D666" i="5"/>
  <c r="E666" i="5" s="1"/>
  <c r="M146" i="7" s="1"/>
  <c r="D664" i="5"/>
  <c r="E664" i="5" s="1"/>
  <c r="M144" i="7" s="1"/>
  <c r="D662" i="5"/>
  <c r="E662" i="5" s="1"/>
  <c r="M142" i="7" s="1"/>
  <c r="D661" i="5"/>
  <c r="E661" i="5" s="1"/>
  <c r="M141" i="7" s="1"/>
  <c r="D660" i="5"/>
  <c r="E660" i="5" s="1"/>
  <c r="M140" i="7" s="1"/>
  <c r="D659" i="5"/>
  <c r="E659" i="5" s="1"/>
  <c r="M139" i="7" s="1"/>
  <c r="D598" i="5"/>
  <c r="D597" i="5"/>
  <c r="E597" i="5" s="1"/>
  <c r="M136" i="7" s="1"/>
  <c r="D596" i="5"/>
  <c r="E596" i="5" s="1"/>
  <c r="M135" i="7" s="1"/>
  <c r="D595" i="5"/>
  <c r="E595" i="5" s="1"/>
  <c r="M134" i="7" s="1"/>
  <c r="D594" i="5"/>
  <c r="E594" i="5" s="1"/>
  <c r="M133" i="7" s="1"/>
  <c r="D592" i="5"/>
  <c r="E592" i="5" s="1"/>
  <c r="M131" i="7" s="1"/>
  <c r="D590" i="5"/>
  <c r="E590" i="5" s="1"/>
  <c r="M129" i="7" s="1"/>
  <c r="D588" i="5"/>
  <c r="E588" i="5" s="1"/>
  <c r="M127" i="7" s="1"/>
  <c r="D587" i="5"/>
  <c r="E587" i="5" s="1"/>
  <c r="M126" i="7" s="1"/>
  <c r="D586" i="5"/>
  <c r="E586" i="5" s="1"/>
  <c r="M125" i="7" s="1"/>
  <c r="J1845" i="5"/>
  <c r="K1845" i="5" s="1"/>
  <c r="G367" i="7" s="1"/>
  <c r="J1767" i="5"/>
  <c r="K1767" i="5" s="1"/>
  <c r="G353" i="7" s="1"/>
  <c r="J1771" i="5"/>
  <c r="K1771" i="5" s="1"/>
  <c r="G357" i="7" s="1"/>
  <c r="J1772" i="5"/>
  <c r="K1772" i="5" s="1"/>
  <c r="G358" i="7" s="1"/>
  <c r="J1766" i="5"/>
  <c r="K1766" i="5" s="1"/>
  <c r="G352" i="7" s="1"/>
  <c r="D743" i="5"/>
  <c r="D742" i="5"/>
  <c r="E742" i="5" s="1"/>
  <c r="M163" i="7" s="1"/>
  <c r="D741" i="5"/>
  <c r="E741" i="5" s="1"/>
  <c r="M162" i="7" s="1"/>
  <c r="D740" i="5"/>
  <c r="E740" i="5" s="1"/>
  <c r="M161" i="7" s="1"/>
  <c r="D739" i="5"/>
  <c r="E739" i="5" s="1"/>
  <c r="M160" i="7" s="1"/>
  <c r="D737" i="5"/>
  <c r="E737" i="5" s="1"/>
  <c r="M158" i="7" s="1"/>
  <c r="D735" i="5"/>
  <c r="E735" i="5" s="1"/>
  <c r="M156" i="7" s="1"/>
  <c r="D733" i="5"/>
  <c r="E733" i="5" s="1"/>
  <c r="M154" i="7" s="1"/>
  <c r="D732" i="5"/>
  <c r="E732" i="5" s="1"/>
  <c r="M153" i="7" s="1"/>
  <c r="D731" i="5"/>
  <c r="E731" i="5" s="1"/>
  <c r="M152" i="7" s="1"/>
  <c r="D16" i="5"/>
  <c r="E16" i="5" s="1"/>
  <c r="D13" i="7" s="1"/>
  <c r="D17" i="5"/>
  <c r="E17" i="5" s="1"/>
  <c r="D14" i="7" s="1"/>
  <c r="D18" i="5"/>
  <c r="E18" i="5" s="1"/>
  <c r="D15" i="7" s="1"/>
  <c r="D19" i="5"/>
  <c r="E19" i="5" s="1"/>
  <c r="D16" i="7" s="1"/>
  <c r="D20" i="5"/>
  <c r="E20" i="5" s="1"/>
  <c r="D17" i="7" s="1"/>
  <c r="D24" i="5"/>
  <c r="E24" i="5" s="1"/>
  <c r="M9" i="7" s="1"/>
  <c r="D25" i="5"/>
  <c r="E25" i="5" s="1"/>
  <c r="M10" i="7" s="1"/>
  <c r="D26" i="5"/>
  <c r="E26" i="5" s="1"/>
  <c r="M11" i="7" s="1"/>
  <c r="D30" i="5"/>
  <c r="E30" i="5" s="1"/>
  <c r="M15" i="7" s="1"/>
  <c r="D32" i="5"/>
  <c r="E32" i="5" s="1"/>
  <c r="M17" i="7" s="1"/>
  <c r="D34" i="5"/>
  <c r="E34" i="5" s="1"/>
  <c r="M19" i="7" s="1"/>
  <c r="D35" i="5"/>
  <c r="E35" i="5" s="1"/>
  <c r="M20" i="7" s="1"/>
  <c r="D36" i="5"/>
  <c r="E36" i="5" s="1"/>
  <c r="M21" i="7" s="1"/>
  <c r="D37" i="5"/>
  <c r="E37" i="5" s="1"/>
  <c r="M22" i="7" s="1"/>
  <c r="D38" i="5"/>
  <c r="D39" i="5"/>
  <c r="E39" i="5" s="1"/>
  <c r="M24" i="7" s="1"/>
  <c r="D95" i="5"/>
  <c r="E95" i="5" s="1"/>
  <c r="D29" i="7" s="1"/>
  <c r="D96" i="5"/>
  <c r="E96" i="5" s="1"/>
  <c r="D30" i="7" s="1"/>
  <c r="D100" i="5"/>
  <c r="E100" i="5" s="1"/>
  <c r="M26" i="7" s="1"/>
  <c r="D101" i="5"/>
  <c r="E101" i="5" s="1"/>
  <c r="M27" i="7" s="1"/>
  <c r="D102" i="5"/>
  <c r="E102" i="5" s="1"/>
  <c r="M28" i="7" s="1"/>
  <c r="D104" i="5"/>
  <c r="E104" i="5" s="1"/>
  <c r="M30" i="7" s="1"/>
  <c r="D106" i="5"/>
  <c r="E106" i="5" s="1"/>
  <c r="M32" i="7" s="1"/>
  <c r="D108" i="5"/>
  <c r="E108" i="5" s="1"/>
  <c r="M34" i="7" s="1"/>
  <c r="D109" i="5"/>
  <c r="E109" i="5" s="1"/>
  <c r="M35" i="7" s="1"/>
  <c r="D110" i="5"/>
  <c r="E110" i="5" s="1"/>
  <c r="M36" i="7" s="1"/>
  <c r="D111" i="5"/>
  <c r="E111" i="5" s="1"/>
  <c r="M37" i="7" s="1"/>
  <c r="D113" i="5"/>
  <c r="E113" i="5" s="1"/>
  <c r="M39" i="7" s="1"/>
  <c r="D169" i="5"/>
  <c r="E169" i="5" s="1"/>
  <c r="D44" i="7" s="1"/>
  <c r="D171" i="5"/>
  <c r="E171" i="5" s="1"/>
  <c r="D46" i="7" s="1"/>
  <c r="D172" i="5"/>
  <c r="E172" i="5" s="1"/>
  <c r="D47" i="7" s="1"/>
  <c r="D173" i="5"/>
  <c r="E173" i="5" s="1"/>
  <c r="D48" i="7" s="1"/>
  <c r="D177" i="5"/>
  <c r="E177" i="5" s="1"/>
  <c r="M41" i="7" s="1"/>
  <c r="D178" i="5"/>
  <c r="E178" i="5" s="1"/>
  <c r="M42" i="7" s="1"/>
  <c r="D179" i="5"/>
  <c r="E179" i="5" s="1"/>
  <c r="M43" i="7" s="1"/>
  <c r="D180" i="5"/>
  <c r="E180" i="5" s="1"/>
  <c r="M44" i="7" s="1"/>
  <c r="D182" i="5"/>
  <c r="E182" i="5" s="1"/>
  <c r="M46" i="7" s="1"/>
  <c r="E184" i="5"/>
  <c r="M48" i="7" s="1"/>
  <c r="D186" i="5"/>
  <c r="E186" i="5" s="1"/>
  <c r="M50" i="7" s="1"/>
  <c r="D187" i="5"/>
  <c r="E187" i="5" s="1"/>
  <c r="M51" i="7" s="1"/>
  <c r="D188" i="5"/>
  <c r="E188" i="5" s="1"/>
  <c r="M52" i="7" s="1"/>
  <c r="D189" i="5"/>
  <c r="E189" i="5" s="1"/>
  <c r="M53" i="7" s="1"/>
  <c r="D190" i="5"/>
  <c r="D191" i="5"/>
  <c r="E191" i="5" s="1"/>
  <c r="M55" i="7" s="1"/>
  <c r="D296" i="5"/>
  <c r="E296" i="5" s="1"/>
  <c r="D60" i="7" s="1"/>
  <c r="D297" i="5"/>
  <c r="E297" i="5" s="1"/>
  <c r="D61" i="7" s="1"/>
  <c r="D298" i="5"/>
  <c r="E298" i="5" s="1"/>
  <c r="D62" i="7" s="1"/>
  <c r="D299" i="5"/>
  <c r="E299" i="5" s="1"/>
  <c r="D63" i="7" s="1"/>
  <c r="D300" i="5"/>
  <c r="E300" i="5" s="1"/>
  <c r="D64" i="7" s="1"/>
  <c r="D304" i="5"/>
  <c r="E304" i="5" s="1"/>
  <c r="M57" i="7" s="1"/>
  <c r="D305" i="5"/>
  <c r="E305" i="5" s="1"/>
  <c r="M58" i="7" s="1"/>
  <c r="D306" i="5"/>
  <c r="E306" i="5" s="1"/>
  <c r="M59" i="7" s="1"/>
  <c r="D308" i="5"/>
  <c r="E308" i="5" s="1"/>
  <c r="M61" i="7" s="1"/>
  <c r="D310" i="5"/>
  <c r="E310" i="5" s="1"/>
  <c r="M63" i="7" s="1"/>
  <c r="D312" i="5"/>
  <c r="E312" i="5" s="1"/>
  <c r="M65" i="7" s="1"/>
  <c r="D313" i="5"/>
  <c r="E313" i="5" s="1"/>
  <c r="M66" i="7" s="1"/>
  <c r="D314" i="5"/>
  <c r="E314" i="5" s="1"/>
  <c r="M67" i="7" s="1"/>
  <c r="D315" i="5"/>
  <c r="E315" i="5" s="1"/>
  <c r="M68" i="7" s="1"/>
  <c r="D316" i="5"/>
  <c r="D317" i="5"/>
  <c r="E317" i="5" s="1"/>
  <c r="M70" i="7" s="1"/>
  <c r="D513" i="5"/>
  <c r="E513" i="5" s="1"/>
  <c r="M112" i="7" s="1"/>
  <c r="D514" i="5"/>
  <c r="E514" i="5" s="1"/>
  <c r="M113" i="7" s="1"/>
  <c r="D515" i="5"/>
  <c r="E515" i="5" s="1"/>
  <c r="M114" i="7" s="1"/>
  <c r="D516" i="5"/>
  <c r="E516" i="5" s="1"/>
  <c r="M115" i="7" s="1"/>
  <c r="D518" i="5"/>
  <c r="E518" i="5" s="1"/>
  <c r="M117" i="7" s="1"/>
  <c r="D520" i="5"/>
  <c r="E520" i="5" s="1"/>
  <c r="M119" i="7" s="1"/>
  <c r="D521" i="5"/>
  <c r="E521" i="5" s="1"/>
  <c r="M120" i="7" s="1"/>
  <c r="D522" i="5"/>
  <c r="E522" i="5" s="1"/>
  <c r="M121" i="7" s="1"/>
  <c r="D523" i="5"/>
  <c r="E523" i="5" s="1"/>
  <c r="M122" i="7" s="1"/>
  <c r="D524" i="5"/>
  <c r="D954" i="5"/>
  <c r="E954" i="5" s="1"/>
  <c r="M194" i="7" s="1"/>
  <c r="D955" i="5"/>
  <c r="E955" i="5" s="1"/>
  <c r="M195" i="7" s="1"/>
  <c r="D956" i="5"/>
  <c r="E956" i="5" s="1"/>
  <c r="M196" i="7" s="1"/>
  <c r="D957" i="5"/>
  <c r="E957" i="5" s="1"/>
  <c r="M197" i="7" s="1"/>
  <c r="D959" i="5"/>
  <c r="E959" i="5" s="1"/>
  <c r="M199" i="7" s="1"/>
  <c r="D961" i="5"/>
  <c r="E961" i="5" s="1"/>
  <c r="M201" i="7" s="1"/>
  <c r="D963" i="5"/>
  <c r="E963" i="5"/>
  <c r="M203" i="7" s="1"/>
  <c r="D964" i="5"/>
  <c r="E964" i="5" s="1"/>
  <c r="M204" i="7" s="1"/>
  <c r="D965" i="5"/>
  <c r="E965" i="5" s="1"/>
  <c r="M205" i="7" s="1"/>
  <c r="D966" i="5"/>
  <c r="E966" i="5" s="1"/>
  <c r="M206" i="7" s="1"/>
  <c r="D967" i="5"/>
  <c r="D1032" i="5"/>
  <c r="E1032" i="5" s="1"/>
  <c r="M209" i="7" s="1"/>
  <c r="D1033" i="5"/>
  <c r="E1033" i="5" s="1"/>
  <c r="M210" i="7" s="1"/>
  <c r="D1034" i="5"/>
  <c r="E1034" i="5" s="1"/>
  <c r="M211" i="7" s="1"/>
  <c r="D1035" i="5"/>
  <c r="E1035" i="5" s="1"/>
  <c r="M212" i="7" s="1"/>
  <c r="D1037" i="5"/>
  <c r="E1037" i="5" s="1"/>
  <c r="M214" i="7" s="1"/>
  <c r="D1039" i="5"/>
  <c r="E1039" i="5" s="1"/>
  <c r="M216" i="7" s="1"/>
  <c r="D1041" i="5"/>
  <c r="E1041" i="5" s="1"/>
  <c r="M218" i="7" s="1"/>
  <c r="D1042" i="5"/>
  <c r="E1042" i="5" s="1"/>
  <c r="M219" i="7" s="1"/>
  <c r="D1043" i="5"/>
  <c r="E1043" i="5" s="1"/>
  <c r="M220" i="7" s="1"/>
  <c r="D1044" i="5"/>
  <c r="E1044" i="5" s="1"/>
  <c r="M221" i="7" s="1"/>
  <c r="D1045" i="5"/>
  <c r="D1182" i="5"/>
  <c r="E1182" i="5" s="1"/>
  <c r="M238" i="7" s="1"/>
  <c r="D1183" i="5"/>
  <c r="E1183" i="5" s="1"/>
  <c r="M239" i="7" s="1"/>
  <c r="D1184" i="5"/>
  <c r="E1184" i="5" s="1"/>
  <c r="M240" i="7" s="1"/>
  <c r="D1185" i="5"/>
  <c r="E1185" i="5" s="1"/>
  <c r="M241" i="7" s="1"/>
  <c r="D1187" i="5"/>
  <c r="E1187" i="5" s="1"/>
  <c r="M243" i="7" s="1"/>
  <c r="D1189" i="5"/>
  <c r="E1189" i="5" s="1"/>
  <c r="M245" i="7" s="1"/>
  <c r="D1191" i="5"/>
  <c r="E1191" i="5" s="1"/>
  <c r="M247" i="7" s="1"/>
  <c r="D1192" i="5"/>
  <c r="E1192" i="5" s="1"/>
  <c r="M248" i="7" s="1"/>
  <c r="D1193" i="5"/>
  <c r="E1193" i="5" s="1"/>
  <c r="M249" i="7" s="1"/>
  <c r="D1194" i="5"/>
  <c r="E1194" i="5" s="1"/>
  <c r="M250" i="7" s="1"/>
  <c r="D1195" i="5"/>
  <c r="D1476" i="5"/>
  <c r="E1476" i="5" s="1"/>
  <c r="M294" i="7" s="1"/>
  <c r="D1477" i="5"/>
  <c r="E1477" i="5" s="1"/>
  <c r="M295" i="7" s="1"/>
  <c r="D1478" i="5"/>
  <c r="E1478" i="5" s="1"/>
  <c r="M296" i="7" s="1"/>
  <c r="D1479" i="5"/>
  <c r="E1479" i="5" s="1"/>
  <c r="M297" i="7" s="1"/>
  <c r="D1480" i="5"/>
  <c r="E1480" i="5" s="1"/>
  <c r="M298" i="7" s="1"/>
  <c r="D1482" i="5"/>
  <c r="E1482" i="5" s="1"/>
  <c r="M300" i="7" s="1"/>
  <c r="D1484" i="5"/>
  <c r="E1484" i="5" s="1"/>
  <c r="M302" i="7" s="1"/>
  <c r="D1485" i="5"/>
  <c r="E1485" i="5" s="1"/>
  <c r="M303" i="7" s="1"/>
  <c r="D1486" i="5"/>
  <c r="E1486" i="5" s="1"/>
  <c r="M304" i="7" s="1"/>
  <c r="D1487" i="5"/>
  <c r="E1487" i="5" s="1"/>
  <c r="M305" i="7" s="1"/>
  <c r="D1488" i="5"/>
  <c r="D1550" i="5"/>
  <c r="E1550" i="5" s="1"/>
  <c r="M308" i="7" s="1"/>
  <c r="D1551" i="5"/>
  <c r="E1551" i="5" s="1"/>
  <c r="M309" i="7" s="1"/>
  <c r="D1552" i="5"/>
  <c r="E1552" i="5" s="1"/>
  <c r="M310" i="7" s="1"/>
  <c r="D1553" i="5"/>
  <c r="E1553" i="5" s="1"/>
  <c r="M311" i="7" s="1"/>
  <c r="D1554" i="5"/>
  <c r="E1554" i="5" s="1"/>
  <c r="M312" i="7" s="1"/>
  <c r="D1556" i="5"/>
  <c r="E1556" i="5" s="1"/>
  <c r="M314" i="7" s="1"/>
  <c r="D1558" i="5"/>
  <c r="E1558" i="5" s="1"/>
  <c r="M316" i="7" s="1"/>
  <c r="D1559" i="5"/>
  <c r="E1559" i="5" s="1"/>
  <c r="M317" i="7" s="1"/>
  <c r="D1560" i="5"/>
  <c r="E1560" i="5" s="1"/>
  <c r="M318" i="7" s="1"/>
  <c r="D1561" i="5"/>
  <c r="E1561" i="5" s="1"/>
  <c r="M319" i="7" s="1"/>
  <c r="D1562" i="5"/>
  <c r="D1693" i="5"/>
  <c r="E1693" i="5" s="1"/>
  <c r="D339" i="7" s="1"/>
  <c r="D1694" i="5"/>
  <c r="E1694" i="5" s="1"/>
  <c r="D340" i="7" s="1"/>
  <c r="D1695" i="5"/>
  <c r="E1695" i="5" s="1"/>
  <c r="D341" i="7" s="1"/>
  <c r="D1699" i="5"/>
  <c r="E1699" i="5" s="1"/>
  <c r="M336" i="7" s="1"/>
  <c r="D1702" i="5"/>
  <c r="E1702" i="5" s="1"/>
  <c r="M339" i="7" s="1"/>
  <c r="D1704" i="5"/>
  <c r="E1704" i="5" s="1"/>
  <c r="M341" i="7" s="1"/>
  <c r="D1706" i="5"/>
  <c r="E1706" i="5" s="1"/>
  <c r="M343" i="7" s="1"/>
  <c r="D1707" i="5"/>
  <c r="E1707" i="5" s="1"/>
  <c r="M344" i="7" s="1"/>
  <c r="D1708" i="5"/>
  <c r="E1708" i="5" s="1"/>
  <c r="M345" i="7" s="1"/>
  <c r="D1710" i="5"/>
  <c r="E1710" i="5" s="1"/>
  <c r="M347" i="7" s="1"/>
  <c r="D1766" i="5"/>
  <c r="E1766" i="5" s="1"/>
  <c r="D352" i="7" s="1"/>
  <c r="D1767" i="5"/>
  <c r="E1767" i="5" s="1"/>
  <c r="D353" i="7" s="1"/>
  <c r="D1768" i="5"/>
  <c r="E1768" i="5" s="1"/>
  <c r="D354" i="7" s="1"/>
  <c r="D1769" i="5"/>
  <c r="E1769" i="5" s="1"/>
  <c r="D355" i="7" s="1"/>
  <c r="D1770" i="5"/>
  <c r="E1770" i="5" s="1"/>
  <c r="D356" i="7" s="1"/>
  <c r="D1771" i="5"/>
  <c r="E1771" i="5" s="1"/>
  <c r="D357" i="7" s="1"/>
  <c r="D1772" i="5"/>
  <c r="E1772" i="5" s="1"/>
  <c r="D358" i="7" s="1"/>
  <c r="D1776" i="5"/>
  <c r="E1776" i="5" s="1"/>
  <c r="M349" i="7" s="1"/>
  <c r="D1777" i="5"/>
  <c r="E1777" i="5" s="1"/>
  <c r="M350" i="7" s="1"/>
  <c r="D1778" i="5"/>
  <c r="E1778" i="5" s="1"/>
  <c r="M351" i="7" s="1"/>
  <c r="D1779" i="5"/>
  <c r="E1779" i="5" s="1"/>
  <c r="M352" i="7" s="1"/>
  <c r="D1781" i="5"/>
  <c r="E1781" i="5" s="1"/>
  <c r="M354" i="7" s="1"/>
  <c r="D1783" i="5"/>
  <c r="E1783" i="5" s="1"/>
  <c r="M356" i="7" s="1"/>
  <c r="D1784" i="5"/>
  <c r="E1784" i="5" s="1"/>
  <c r="M357" i="7" s="1"/>
  <c r="D1785" i="5"/>
  <c r="E1785" i="5" s="1"/>
  <c r="M358" i="7" s="1"/>
  <c r="D1786" i="5"/>
  <c r="D1787" i="5"/>
  <c r="E1787" i="5" s="1"/>
  <c r="M360" i="7" s="1"/>
  <c r="D1843" i="5"/>
  <c r="E1843" i="5" s="1"/>
  <c r="D365" i="7" s="1"/>
  <c r="D1844" i="5"/>
  <c r="E1844" i="5" s="1"/>
  <c r="D366" i="7" s="1"/>
  <c r="D1845" i="5"/>
  <c r="E1845" i="5" s="1"/>
  <c r="D367" i="7" s="1"/>
  <c r="D1846" i="5"/>
  <c r="E1846" i="5" s="1"/>
  <c r="D368" i="7" s="1"/>
  <c r="D1847" i="5"/>
  <c r="E1847" i="5" s="1"/>
  <c r="D369" i="7" s="1"/>
  <c r="D1848" i="5"/>
  <c r="E1848" i="5" s="1"/>
  <c r="D370" i="7" s="1"/>
  <c r="D1849" i="5"/>
  <c r="E1849" i="5" s="1"/>
  <c r="D371" i="7" s="1"/>
  <c r="D1853" i="5"/>
  <c r="E1853" i="5" s="1"/>
  <c r="M362" i="7" s="1"/>
  <c r="D1854" i="5"/>
  <c r="E1854" i="5" s="1"/>
  <c r="M363" i="7" s="1"/>
  <c r="D1855" i="5"/>
  <c r="E1855" i="5" s="1"/>
  <c r="M364" i="7" s="1"/>
  <c r="D1857" i="5"/>
  <c r="E1857" i="5" s="1"/>
  <c r="M366" i="7" s="1"/>
  <c r="D1859" i="5"/>
  <c r="E1859" i="5" s="1"/>
  <c r="M368" i="7" s="1"/>
  <c r="D1860" i="5"/>
  <c r="E1860" i="5" s="1"/>
  <c r="M369" i="7" s="1"/>
  <c r="D1861" i="5"/>
  <c r="E1861" i="5" s="1"/>
  <c r="M370" i="7" s="1"/>
  <c r="D1862" i="5"/>
  <c r="D1918" i="5"/>
  <c r="E1918" i="5" s="1"/>
  <c r="D377" i="7" s="1"/>
  <c r="D1919" i="5"/>
  <c r="E1919" i="5" s="1"/>
  <c r="D378" i="7" s="1"/>
  <c r="D1920" i="5"/>
  <c r="E1920" i="5" s="1"/>
  <c r="D379" i="7" s="1"/>
  <c r="D1921" i="5"/>
  <c r="E1921" i="5" s="1"/>
  <c r="D380" i="7" s="1"/>
  <c r="D1922" i="5"/>
  <c r="E1922" i="5" s="1"/>
  <c r="D381" i="7" s="1"/>
  <c r="D1926" i="5"/>
  <c r="E1926" i="5" s="1"/>
  <c r="M374" i="7" s="1"/>
  <c r="D1927" i="5"/>
  <c r="E1927" i="5" s="1"/>
  <c r="M375" i="7" s="1"/>
  <c r="D1928" i="5"/>
  <c r="E1928" i="5" s="1"/>
  <c r="M376" i="7" s="1"/>
  <c r="D1929" i="5"/>
  <c r="E1929" i="5" s="1"/>
  <c r="M377" i="7" s="1"/>
  <c r="D1930" i="5"/>
  <c r="E1930" i="5" s="1"/>
  <c r="M378" i="7" s="1"/>
  <c r="D1931" i="5"/>
  <c r="E1931" i="5" s="1"/>
  <c r="M379" i="7" s="1"/>
  <c r="D2053" i="5"/>
  <c r="E2053" i="5" s="1"/>
  <c r="D397" i="7" s="1"/>
  <c r="D2054" i="5"/>
  <c r="E2054" i="5" s="1"/>
  <c r="D398" i="7" s="1"/>
  <c r="D2058" i="5"/>
  <c r="E2058" i="5" s="1"/>
  <c r="M394" i="7" s="1"/>
  <c r="D2059" i="5"/>
  <c r="E2059" i="5" s="1"/>
  <c r="M395" i="7" s="1"/>
  <c r="D2060" i="5"/>
  <c r="E2060" i="5" s="1"/>
  <c r="M396" i="7" s="1"/>
  <c r="D2061" i="5"/>
  <c r="E2061" i="5" s="1"/>
  <c r="M397" i="7" s="1"/>
  <c r="D2062" i="5"/>
  <c r="E2062" i="5" s="1"/>
  <c r="M398" i="7" s="1"/>
  <c r="D2063" i="5"/>
  <c r="E2063" i="5" s="1"/>
  <c r="M399" i="7" s="1"/>
  <c r="D2122" i="5"/>
  <c r="E2122" i="5" s="1"/>
  <c r="M402" i="7" s="1"/>
  <c r="D2189" i="5"/>
  <c r="E2189" i="5" s="1"/>
  <c r="D419" i="7" s="1"/>
  <c r="D2190" i="5"/>
  <c r="E2190" i="5" s="1"/>
  <c r="D420" i="7" s="1"/>
  <c r="D2262" i="5"/>
  <c r="E2262" i="5" s="1"/>
  <c r="D440" i="7" s="1"/>
  <c r="D2330" i="5"/>
  <c r="E2330" i="5" s="1"/>
  <c r="D456" i="7" s="1"/>
  <c r="D2445" i="5"/>
  <c r="D2609" i="5"/>
  <c r="E2609" i="5" s="1"/>
  <c r="M504" i="7" s="1"/>
  <c r="D2610" i="5"/>
  <c r="E2610" i="5" s="1"/>
  <c r="M505" i="7" s="1"/>
  <c r="D2611" i="5"/>
  <c r="E2611" i="5" s="1"/>
  <c r="M506" i="7" s="1"/>
  <c r="D2612" i="5"/>
  <c r="E2612" i="5" s="1"/>
  <c r="M507" i="7" s="1"/>
  <c r="D2613" i="5"/>
  <c r="E2613" i="5" s="1"/>
  <c r="M508" i="7" s="1"/>
  <c r="D2614" i="5"/>
  <c r="E2614" i="5" s="1"/>
  <c r="M509" i="7" s="1"/>
  <c r="D2615" i="5"/>
  <c r="E2615" i="5" s="1"/>
  <c r="M510" i="7" s="1"/>
  <c r="D2616" i="5"/>
  <c r="E2616" i="5" s="1"/>
  <c r="M511" i="7" s="1"/>
  <c r="D2670" i="5"/>
  <c r="E2670" i="5" s="1"/>
  <c r="D522" i="7" s="1"/>
  <c r="D2671" i="5"/>
  <c r="E2671" i="5" s="1"/>
  <c r="D523" i="7" s="1"/>
  <c r="D2672" i="5"/>
  <c r="E2672" i="5" s="1"/>
  <c r="D524" i="7" s="1"/>
  <c r="D2674" i="5"/>
  <c r="E2674" i="5" s="1"/>
  <c r="D526" i="7" s="1"/>
  <c r="D2728" i="5"/>
  <c r="E2728" i="5" s="1"/>
  <c r="D530" i="7" s="1"/>
  <c r="D2729" i="5"/>
  <c r="E2729" i="5" s="1"/>
  <c r="D531" i="7" s="1"/>
  <c r="D2730" i="5"/>
  <c r="E2730" i="5" s="1"/>
  <c r="D533" i="7" s="1"/>
  <c r="D2731" i="5"/>
  <c r="E2731" i="5" s="1"/>
  <c r="D535" i="7" s="1"/>
  <c r="L498" i="7"/>
  <c r="F2185" i="5"/>
  <c r="G2185" i="5" s="1"/>
  <c r="E417" i="7" s="1"/>
  <c r="D2185" i="5"/>
  <c r="E2185" i="5" s="1"/>
  <c r="D417" i="7" s="1"/>
  <c r="H1693" i="5"/>
  <c r="I1693" i="5" s="1"/>
  <c r="F339" i="7" s="1"/>
  <c r="H1694" i="5"/>
  <c r="I1694" i="5" s="1"/>
  <c r="F340" i="7" s="1"/>
  <c r="H1695" i="5"/>
  <c r="I1695" i="5" s="1"/>
  <c r="F341" i="7" s="1"/>
  <c r="F1694" i="5"/>
  <c r="G1694" i="5" s="1"/>
  <c r="E340" i="7" s="1"/>
  <c r="B313" i="7"/>
  <c r="B312" i="7"/>
  <c r="B311" i="7"/>
  <c r="B299" i="7"/>
  <c r="B298" i="7"/>
  <c r="B245" i="7"/>
  <c r="B244" i="7"/>
  <c r="B243" i="7"/>
  <c r="B242" i="7"/>
  <c r="B241" i="7"/>
  <c r="F1693" i="5"/>
  <c r="G1693" i="5" s="1"/>
  <c r="E339" i="7" s="1"/>
  <c r="H1849" i="5"/>
  <c r="I1849" i="5" s="1"/>
  <c r="F371" i="7" s="1"/>
  <c r="H1848" i="5"/>
  <c r="I1848" i="5" s="1"/>
  <c r="F370" i="7" s="1"/>
  <c r="H1847" i="5"/>
  <c r="I1847" i="5" s="1"/>
  <c r="F369" i="7" s="1"/>
  <c r="H1846" i="5"/>
  <c r="I1846" i="5" s="1"/>
  <c r="F368" i="7" s="1"/>
  <c r="H1845" i="5"/>
  <c r="I1845" i="5" s="1"/>
  <c r="F367" i="7" s="1"/>
  <c r="H1844" i="5"/>
  <c r="I1844" i="5" s="1"/>
  <c r="F366" i="7" s="1"/>
  <c r="H1843" i="5"/>
  <c r="I1843" i="5" s="1"/>
  <c r="F365" i="7" s="1"/>
  <c r="F1849" i="5"/>
  <c r="G1849" i="5" s="1"/>
  <c r="E371" i="7" s="1"/>
  <c r="F1848" i="5"/>
  <c r="G1848" i="5" s="1"/>
  <c r="E370" i="7" s="1"/>
  <c r="F1847" i="5"/>
  <c r="G1847" i="5" s="1"/>
  <c r="E369" i="7" s="1"/>
  <c r="F1846" i="5"/>
  <c r="G1846" i="5" s="1"/>
  <c r="E368" i="7" s="1"/>
  <c r="F1845" i="5"/>
  <c r="G1845" i="5" s="1"/>
  <c r="E367" i="7" s="1"/>
  <c r="F1844" i="5"/>
  <c r="G1844" i="5" s="1"/>
  <c r="E366" i="7" s="1"/>
  <c r="F1843" i="5"/>
  <c r="G1843" i="5" s="1"/>
  <c r="E365" i="7" s="1"/>
  <c r="H1772" i="5"/>
  <c r="I1772" i="5" s="1"/>
  <c r="F358" i="7" s="1"/>
  <c r="H1771" i="5"/>
  <c r="I1771" i="5" s="1"/>
  <c r="F357" i="7" s="1"/>
  <c r="H1770" i="5"/>
  <c r="I1770" i="5" s="1"/>
  <c r="F356" i="7" s="1"/>
  <c r="H1769" i="5"/>
  <c r="I1769" i="5" s="1"/>
  <c r="F355" i="7" s="1"/>
  <c r="H1768" i="5"/>
  <c r="I1768" i="5" s="1"/>
  <c r="F354" i="7" s="1"/>
  <c r="H1767" i="5"/>
  <c r="I1767" i="5" s="1"/>
  <c r="F353" i="7" s="1"/>
  <c r="H1766" i="5"/>
  <c r="I1766" i="5" s="1"/>
  <c r="F352" i="7" s="1"/>
  <c r="F1772" i="5"/>
  <c r="G1772" i="5" s="1"/>
  <c r="E358" i="7" s="1"/>
  <c r="F1771" i="5"/>
  <c r="G1771" i="5" s="1"/>
  <c r="E357" i="7" s="1"/>
  <c r="F1770" i="5"/>
  <c r="G1770" i="5" s="1"/>
  <c r="E356" i="7" s="1"/>
  <c r="F1769" i="5"/>
  <c r="G1769" i="5" s="1"/>
  <c r="E355" i="7" s="1"/>
  <c r="F1768" i="5"/>
  <c r="G1768" i="5" s="1"/>
  <c r="E354" i="7" s="1"/>
  <c r="F1767" i="5"/>
  <c r="G1767" i="5" s="1"/>
  <c r="E353" i="7" s="1"/>
  <c r="F1766" i="5"/>
  <c r="G1766" i="5" s="1"/>
  <c r="E352" i="7" s="1"/>
  <c r="B217" i="7"/>
  <c r="B216" i="7"/>
  <c r="B215" i="7"/>
  <c r="B214" i="7"/>
  <c r="B213" i="7"/>
  <c r="B202" i="7"/>
  <c r="B201" i="7"/>
  <c r="B200" i="7"/>
  <c r="L4" i="7"/>
  <c r="L3" i="7"/>
  <c r="L2" i="7"/>
  <c r="B371" i="7"/>
  <c r="B370" i="7"/>
  <c r="B369" i="7"/>
  <c r="B368" i="7"/>
  <c r="B367" i="7"/>
  <c r="B366" i="7"/>
  <c r="B358" i="7"/>
  <c r="B357" i="7"/>
  <c r="B356" i="7"/>
  <c r="B355" i="7"/>
  <c r="B354" i="7"/>
  <c r="B353" i="7"/>
  <c r="B199" i="7"/>
  <c r="B198" i="7"/>
  <c r="B197" i="7"/>
  <c r="B64" i="7"/>
  <c r="B63" i="7"/>
  <c r="B62" i="7"/>
  <c r="B398" i="7"/>
  <c r="B397" i="7"/>
  <c r="B381" i="7"/>
  <c r="B380" i="7"/>
  <c r="B379" i="7"/>
  <c r="B378" i="7"/>
  <c r="B377" i="7"/>
  <c r="B365" i="7"/>
  <c r="B352" i="7"/>
  <c r="B341" i="7"/>
  <c r="B340" i="7"/>
  <c r="B339" i="7"/>
  <c r="B212" i="7"/>
  <c r="B61" i="7"/>
  <c r="B60" i="7"/>
  <c r="B48" i="7"/>
  <c r="B47" i="7"/>
  <c r="B46" i="7"/>
  <c r="B45" i="7"/>
  <c r="B44" i="7"/>
  <c r="B30" i="7"/>
  <c r="B29" i="7"/>
  <c r="B17" i="7"/>
  <c r="B16" i="7"/>
  <c r="B15" i="7"/>
  <c r="B14" i="7"/>
  <c r="B13" i="7"/>
  <c r="B12" i="7"/>
  <c r="B2531" i="5"/>
  <c r="B497" i="7" s="1"/>
  <c r="B528" i="7"/>
  <c r="B2667" i="5"/>
  <c r="B520" i="7" s="1"/>
  <c r="J2319" i="5"/>
  <c r="K2319" i="5" s="1"/>
  <c r="G447" i="7" s="1"/>
  <c r="H2320" i="5"/>
  <c r="I2320" i="5" s="1"/>
  <c r="F448" i="7" s="1"/>
  <c r="J2317" i="5"/>
  <c r="K2317" i="5" s="1"/>
  <c r="G445" i="7" s="1"/>
  <c r="H2317" i="5"/>
  <c r="I2317" i="5" s="1"/>
  <c r="F445" i="7" s="1"/>
  <c r="J2252" i="5"/>
  <c r="K2252" i="5" s="1"/>
  <c r="G432" i="7" s="1"/>
  <c r="J2248" i="5"/>
  <c r="K2248" i="5" s="1"/>
  <c r="G428" i="7" s="1"/>
  <c r="J2247" i="5"/>
  <c r="K2247" i="5" s="1"/>
  <c r="G427" i="7" s="1"/>
  <c r="J2246" i="5"/>
  <c r="K2246" i="5" s="1"/>
  <c r="G426" i="7" s="1"/>
  <c r="H2180" i="5"/>
  <c r="I2180" i="5" s="1"/>
  <c r="F412" i="7" s="1"/>
  <c r="H2392" i="5"/>
  <c r="I2392" i="5" s="1"/>
  <c r="F468" i="7" s="1"/>
  <c r="J2253" i="5"/>
  <c r="K2253" i="5" s="1"/>
  <c r="G433" i="7" s="1"/>
  <c r="J2254" i="5"/>
  <c r="K2254" i="5" s="1"/>
  <c r="G434" i="7" s="1"/>
  <c r="H2252" i="5"/>
  <c r="I2252" i="5" s="1"/>
  <c r="F432" i="7" s="1"/>
  <c r="H2393" i="5"/>
  <c r="I2393" i="5" s="1"/>
  <c r="F469" i="7" s="1"/>
  <c r="H2394" i="5"/>
  <c r="I2394" i="5" s="1"/>
  <c r="F470" i="7" s="1"/>
  <c r="H2253" i="5"/>
  <c r="I2253" i="5" s="1"/>
  <c r="F433" i="7" s="1"/>
  <c r="H2254" i="5"/>
  <c r="I2254" i="5" s="1"/>
  <c r="F434" i="7" s="1"/>
  <c r="B2114" i="5"/>
  <c r="T2173" i="5" s="1"/>
  <c r="B183" i="5"/>
  <c r="L47" i="7" s="1"/>
  <c r="B1780" i="5"/>
  <c r="L353" i="7" s="1"/>
  <c r="B1856" i="5"/>
  <c r="L365" i="7" s="1"/>
  <c r="B1630" i="5"/>
  <c r="L327" i="7" s="1"/>
  <c r="B1703" i="5"/>
  <c r="L340" i="7" s="1"/>
  <c r="B1481" i="5"/>
  <c r="L299" i="7" s="1"/>
  <c r="B1555" i="5"/>
  <c r="L313" i="7" s="1"/>
  <c r="B1333" i="5"/>
  <c r="L271" i="7" s="1"/>
  <c r="B1407" i="5"/>
  <c r="L285" i="7" s="1"/>
  <c r="B1188" i="5"/>
  <c r="L244" i="7" s="1"/>
  <c r="B1260" i="5"/>
  <c r="L257" i="7" s="1"/>
  <c r="B1038" i="5"/>
  <c r="L215" i="7" s="1"/>
  <c r="B1111" i="5"/>
  <c r="L229" i="7" s="1"/>
  <c r="B882" i="5"/>
  <c r="L185" i="7" s="1"/>
  <c r="B960" i="5"/>
  <c r="L200" i="7" s="1"/>
  <c r="B736" i="5"/>
  <c r="L157" i="7" s="1"/>
  <c r="B809" i="5"/>
  <c r="L171" i="7" s="1"/>
  <c r="B591" i="5"/>
  <c r="L130" i="7" s="1"/>
  <c r="B663" i="5"/>
  <c r="L143" i="7" s="1"/>
  <c r="B419" i="5"/>
  <c r="L90" i="7" s="1"/>
  <c r="B517" i="5"/>
  <c r="L116" i="7" s="1"/>
  <c r="B309" i="5"/>
  <c r="L62" i="7" s="1"/>
  <c r="B381" i="5"/>
  <c r="L76" i="7" s="1"/>
  <c r="B105" i="5"/>
  <c r="L31" i="7" s="1"/>
  <c r="B310" i="5"/>
  <c r="L63" i="7" s="1"/>
  <c r="B31" i="5"/>
  <c r="L16" i="7" s="1"/>
  <c r="C107" i="5"/>
  <c r="L33" i="7" s="1"/>
  <c r="C185" i="5"/>
  <c r="L49" i="7" s="1"/>
  <c r="B33" i="5"/>
  <c r="L18" i="7" s="1"/>
  <c r="B32" i="5"/>
  <c r="L17" i="7" s="1"/>
  <c r="B1109" i="5"/>
  <c r="L227" i="7" s="1"/>
  <c r="E426" i="5"/>
  <c r="M97" i="7" s="1"/>
  <c r="C406" i="5"/>
  <c r="C88" i="7" s="1"/>
  <c r="D405" i="5"/>
  <c r="D87" i="7" s="1"/>
  <c r="C404" i="5"/>
  <c r="C86" i="7" s="1"/>
  <c r="T427" i="5"/>
  <c r="B413" i="5"/>
  <c r="F405" i="5"/>
  <c r="E87" i="7" s="1"/>
  <c r="B426" i="5"/>
  <c r="L97" i="7" s="1"/>
  <c r="B425" i="5"/>
  <c r="L96" i="7" s="1"/>
  <c r="B424" i="5"/>
  <c r="L95" i="7" s="1"/>
  <c r="B423" i="5"/>
  <c r="L94" i="7" s="1"/>
  <c r="B422" i="5"/>
  <c r="L93" i="7" s="1"/>
  <c r="B420" i="5"/>
  <c r="L91" i="7" s="1"/>
  <c r="B418" i="5"/>
  <c r="L89" i="7" s="1"/>
  <c r="B417" i="5"/>
  <c r="L88" i="7" s="1"/>
  <c r="B416" i="5"/>
  <c r="L87" i="7" s="1"/>
  <c r="B415" i="5"/>
  <c r="L86" i="7" s="1"/>
  <c r="D406" i="5"/>
  <c r="D88" i="7" s="1"/>
  <c r="C405" i="5"/>
  <c r="C87" i="7" s="1"/>
  <c r="D404" i="5"/>
  <c r="D86" i="7" s="1"/>
  <c r="S402" i="5"/>
  <c r="F406" i="5"/>
  <c r="E88" i="7" s="1"/>
  <c r="F404" i="5"/>
  <c r="E86" i="7" s="1"/>
  <c r="B404" i="5"/>
  <c r="B86" i="7" s="1"/>
  <c r="B291" i="5"/>
  <c r="T192" i="5" s="1"/>
  <c r="B1331" i="5"/>
  <c r="L269" i="7" s="1"/>
  <c r="B807" i="5"/>
  <c r="L169" i="7" s="1"/>
  <c r="B880" i="5"/>
  <c r="L183" i="7" s="1"/>
  <c r="B1405" i="5"/>
  <c r="L283" i="7" s="1"/>
  <c r="B1036" i="5"/>
  <c r="L213" i="7" s="1"/>
  <c r="B958" i="5"/>
  <c r="L198" i="7" s="1"/>
  <c r="B1186" i="5"/>
  <c r="L242" i="7" s="1"/>
  <c r="B1995" i="5"/>
  <c r="L385" i="7" s="1"/>
  <c r="B589" i="5"/>
  <c r="L128" i="7" s="1"/>
  <c r="B734" i="5"/>
  <c r="L155" i="7" s="1"/>
  <c r="B1182" i="5"/>
  <c r="L238" i="7" s="1"/>
  <c r="T2244" i="5"/>
  <c r="L424" i="7" s="1"/>
  <c r="C1983" i="5"/>
  <c r="C384" i="7" s="1"/>
  <c r="E1" i="5"/>
  <c r="C723" i="5"/>
  <c r="C152" i="7" s="1"/>
  <c r="B1467" i="5"/>
  <c r="B294" i="7" s="1"/>
  <c r="E1414" i="5"/>
  <c r="M292" i="7" s="1"/>
  <c r="L724" i="5"/>
  <c r="H153" i="7" s="1"/>
  <c r="F1021" i="5"/>
  <c r="E210" i="7" s="1"/>
  <c r="B1033" i="5"/>
  <c r="L210" i="7" s="1"/>
  <c r="B965" i="5"/>
  <c r="L205" i="7" s="1"/>
  <c r="F1468" i="5"/>
  <c r="E295" i="7" s="1"/>
  <c r="H2384" i="5"/>
  <c r="F460" i="7" s="1"/>
  <c r="B2670" i="5"/>
  <c r="B522" i="7" s="1"/>
  <c r="L1984" i="5"/>
  <c r="H385" i="7" s="1"/>
  <c r="B2439" i="5"/>
  <c r="B590" i="5"/>
  <c r="L129" i="7" s="1"/>
  <c r="F1616" i="5"/>
  <c r="E323" i="7" s="1"/>
  <c r="L2383" i="5"/>
  <c r="H459" i="7" s="1"/>
  <c r="B2251" i="5"/>
  <c r="B431" i="7" s="1"/>
  <c r="B1763" i="5"/>
  <c r="B349" i="7" s="1"/>
  <c r="H1321" i="5"/>
  <c r="F267" i="7" s="1"/>
  <c r="L1020" i="5"/>
  <c r="H209" i="7" s="1"/>
  <c r="B2597" i="5"/>
  <c r="B510" i="7" s="1"/>
  <c r="B92" i="5"/>
  <c r="B26" i="7" s="1"/>
  <c r="C2591" i="5"/>
  <c r="C504" i="7" s="1"/>
  <c r="B30" i="5"/>
  <c r="L15" i="7" s="1"/>
  <c r="B596" i="5"/>
  <c r="L135" i="7" s="1"/>
  <c r="B1548" i="5"/>
  <c r="C2051" i="5"/>
  <c r="C395" i="7" s="1"/>
  <c r="B2387" i="5"/>
  <c r="B463" i="7" s="1"/>
  <c r="B2727" i="5"/>
  <c r="B529" i="7" s="1"/>
  <c r="H796" i="5"/>
  <c r="F166" i="7" s="1"/>
  <c r="H1542" i="5"/>
  <c r="F309" i="7" s="1"/>
  <c r="C1249" i="5"/>
  <c r="C254" i="7" s="1"/>
  <c r="B964" i="5"/>
  <c r="L204" i="7" s="1"/>
  <c r="C578" i="5"/>
  <c r="C126" i="7" s="1"/>
  <c r="F1171" i="5"/>
  <c r="E238" i="7" s="1"/>
  <c r="L1098" i="5"/>
  <c r="H224" i="7" s="1"/>
  <c r="D1468" i="5"/>
  <c r="D295" i="7" s="1"/>
  <c r="B651" i="5"/>
  <c r="B139" i="7" s="1"/>
  <c r="F2050" i="5"/>
  <c r="E394" i="7" s="1"/>
  <c r="H1393" i="5"/>
  <c r="F280" i="7" s="1"/>
  <c r="J1020" i="5"/>
  <c r="G209" i="7" s="1"/>
  <c r="B2390" i="5"/>
  <c r="B466" i="7" s="1"/>
  <c r="E2173" i="5"/>
  <c r="F406" i="7" s="1"/>
  <c r="B2674" i="5"/>
  <c r="B526" i="7" s="1"/>
  <c r="L2534" i="5"/>
  <c r="H499" i="7" s="1"/>
  <c r="F12" i="5"/>
  <c r="AD14" i="5" s="1"/>
  <c r="B952" i="5"/>
  <c r="B1854" i="5"/>
  <c r="L363" i="7" s="1"/>
  <c r="C94" i="5"/>
  <c r="C28" i="7" s="1"/>
  <c r="H1765" i="5"/>
  <c r="F351" i="7" s="1"/>
  <c r="B2177" i="5"/>
  <c r="B409" i="7" s="1"/>
  <c r="B667" i="5"/>
  <c r="L147" i="7" s="1"/>
  <c r="E816" i="5"/>
  <c r="M178" i="7" s="1"/>
  <c r="B1258" i="5"/>
  <c r="L255" i="7" s="1"/>
  <c r="H798" i="5"/>
  <c r="F168" i="7" s="1"/>
  <c r="C1763" i="5"/>
  <c r="C349" i="7" s="1"/>
  <c r="D2316" i="5"/>
  <c r="D444" i="7" s="1"/>
  <c r="P2176" i="5"/>
  <c r="J408" i="7" s="1"/>
  <c r="D1543" i="5"/>
  <c r="D310" i="7" s="1"/>
  <c r="D1099" i="5"/>
  <c r="D225" i="7" s="1"/>
  <c r="D944" i="5"/>
  <c r="D196" i="7" s="1"/>
  <c r="B1326" i="5"/>
  <c r="B1710" i="5"/>
  <c r="L347" i="7" s="1"/>
  <c r="D1321" i="5"/>
  <c r="D267" i="7" s="1"/>
  <c r="F1321" i="5"/>
  <c r="E267" i="7" s="1"/>
  <c r="B586" i="5"/>
  <c r="L125" i="7" s="1"/>
  <c r="E1862" i="5"/>
  <c r="M371" i="7" s="1"/>
  <c r="E743" i="5"/>
  <c r="M164" i="7" s="1"/>
  <c r="C2059" i="5"/>
  <c r="B1336" i="5"/>
  <c r="L274" i="7" s="1"/>
  <c r="D93" i="5"/>
  <c r="D27" i="7" s="1"/>
  <c r="B22" i="5"/>
  <c r="B177" i="5"/>
  <c r="L41" i="7" s="1"/>
  <c r="B1020" i="5"/>
  <c r="B209" i="7" s="1"/>
  <c r="L2117" i="5"/>
  <c r="H403" i="7" s="1"/>
  <c r="F92" i="5"/>
  <c r="AD94" i="5" s="1"/>
  <c r="B523" i="5"/>
  <c r="L122" i="7" s="1"/>
  <c r="H2051" i="5"/>
  <c r="F395" i="7" s="1"/>
  <c r="B181" i="5"/>
  <c r="L45" i="7" s="1"/>
  <c r="B293" i="5"/>
  <c r="B57" i="7" s="1"/>
  <c r="D371" i="5"/>
  <c r="D73" i="7" s="1"/>
  <c r="F14" i="5"/>
  <c r="E11" i="7" s="1"/>
  <c r="B180" i="5"/>
  <c r="L44" i="7" s="1"/>
  <c r="B2063" i="5"/>
  <c r="B2607" i="5"/>
  <c r="B1541" i="5"/>
  <c r="B308" i="7" s="1"/>
  <c r="D1250" i="5"/>
  <c r="D255" i="7" s="1"/>
  <c r="B385" i="5"/>
  <c r="L80" i="7" s="1"/>
  <c r="C1171" i="5"/>
  <c r="C238" i="7" s="1"/>
  <c r="B1636" i="5"/>
  <c r="L333" i="7" s="1"/>
  <c r="C2063" i="5"/>
  <c r="B2388" i="5"/>
  <c r="B464" i="7" s="1"/>
  <c r="B2248" i="5"/>
  <c r="B428" i="7" s="1"/>
  <c r="B1044" i="5"/>
  <c r="L221" i="7" s="1"/>
  <c r="B1983" i="5"/>
  <c r="B384" i="7" s="1"/>
  <c r="E2" i="5"/>
  <c r="L723" i="5"/>
  <c r="H152" i="7" s="1"/>
  <c r="B34" i="5"/>
  <c r="L19" i="7" s="1"/>
  <c r="C13" i="5"/>
  <c r="C10" i="7" s="1"/>
  <c r="Q8" i="5"/>
  <c r="H723" i="5"/>
  <c r="F152" i="7" s="1"/>
  <c r="B1320" i="5"/>
  <c r="B266" i="7" s="1"/>
  <c r="H578" i="5"/>
  <c r="F126" i="7" s="1"/>
  <c r="B28" i="5"/>
  <c r="L13" i="7" s="1"/>
  <c r="B1628" i="5"/>
  <c r="L325" i="7" s="1"/>
  <c r="L2592" i="5"/>
  <c r="H505" i="7" s="1"/>
  <c r="B2245" i="5"/>
  <c r="B425" i="7" s="1"/>
  <c r="J652" i="5"/>
  <c r="G140" i="7" s="1"/>
  <c r="B175" i="5"/>
  <c r="B1112" i="5"/>
  <c r="L230" i="7" s="1"/>
  <c r="B1550" i="5"/>
  <c r="L308" i="7" s="1"/>
  <c r="B885" i="5"/>
  <c r="L188" i="7" s="1"/>
  <c r="B1256" i="5"/>
  <c r="L253" i="7" s="1"/>
  <c r="B869" i="5"/>
  <c r="B180" i="7" s="1"/>
  <c r="B815" i="5"/>
  <c r="L177" i="7" s="1"/>
  <c r="F1985" i="5"/>
  <c r="E386" i="7" s="1"/>
  <c r="B1478" i="5"/>
  <c r="L296" i="7" s="1"/>
  <c r="B1486" i="5"/>
  <c r="L304" i="7" s="1"/>
  <c r="B2116" i="5"/>
  <c r="B402" i="7" s="1"/>
  <c r="C2315" i="5"/>
  <c r="C443" i="7" s="1"/>
  <c r="B668" i="5"/>
  <c r="L148" i="7" s="1"/>
  <c r="T7" i="5"/>
  <c r="C1984" i="5"/>
  <c r="C385" i="7" s="1"/>
  <c r="D1173" i="5"/>
  <c r="D240" i="7" s="1"/>
  <c r="B883" i="5"/>
  <c r="L186" i="7" s="1"/>
  <c r="H1985" i="5"/>
  <c r="F386" i="7" s="1"/>
  <c r="B1477" i="5"/>
  <c r="L295" i="7" s="1"/>
  <c r="C1692" i="5"/>
  <c r="C338" i="7" s="1"/>
  <c r="B102" i="5"/>
  <c r="L28" i="7" s="1"/>
  <c r="B1553" i="5"/>
  <c r="L311" i="7" s="1"/>
  <c r="B805" i="5"/>
  <c r="L167" i="7" s="1"/>
  <c r="B184" i="5"/>
  <c r="L48" i="7" s="1"/>
  <c r="B812" i="5"/>
  <c r="L174" i="7" s="1"/>
  <c r="E1118" i="5"/>
  <c r="M236" i="7" s="1"/>
  <c r="B306" i="5"/>
  <c r="L59" i="7" s="1"/>
  <c r="B814" i="5"/>
  <c r="L176" i="7" s="1"/>
  <c r="B1857" i="5"/>
  <c r="L366" i="7" s="1"/>
  <c r="U2" i="5"/>
  <c r="K2" i="7" s="1"/>
  <c r="J870" i="5"/>
  <c r="G181" i="7" s="1"/>
  <c r="D1469" i="5"/>
  <c r="D296" i="7" s="1"/>
  <c r="J869" i="5"/>
  <c r="G180" i="7" s="1"/>
  <c r="C1021" i="5"/>
  <c r="C210" i="7" s="1"/>
  <c r="B2599" i="5"/>
  <c r="B512" i="7" s="1"/>
  <c r="B112" i="5"/>
  <c r="L38" i="7" s="1"/>
  <c r="F506" i="5"/>
  <c r="E114" i="7" s="1"/>
  <c r="C1616" i="5"/>
  <c r="C323" i="7" s="1"/>
  <c r="B1474" i="5"/>
  <c r="V2316" i="5"/>
  <c r="M444" i="7" s="1"/>
  <c r="B100" i="5"/>
  <c r="L26" i="7" s="1"/>
  <c r="B106" i="5"/>
  <c r="L32" i="7" s="1"/>
  <c r="F504" i="5"/>
  <c r="E112" i="7" s="1"/>
  <c r="B2257" i="5"/>
  <c r="B437" i="7" s="1"/>
  <c r="H1248" i="5"/>
  <c r="F253" i="7" s="1"/>
  <c r="B1193" i="5"/>
  <c r="L249" i="7" s="1"/>
  <c r="B1840" i="5"/>
  <c r="B362" i="7" s="1"/>
  <c r="C870" i="5"/>
  <c r="C181" i="7" s="1"/>
  <c r="B1482" i="5"/>
  <c r="L300" i="7" s="1"/>
  <c r="C370" i="5"/>
  <c r="C72" i="7" s="1"/>
  <c r="L1615" i="5"/>
  <c r="H322" i="7" s="1"/>
  <c r="B816" i="5"/>
  <c r="L178" i="7" s="1"/>
  <c r="N2176" i="5"/>
  <c r="I408" i="7" s="1"/>
  <c r="B1488" i="5"/>
  <c r="L306" i="7" s="1"/>
  <c r="H504" i="5"/>
  <c r="F112" i="7" s="1"/>
  <c r="B511" i="5"/>
  <c r="B1929" i="5"/>
  <c r="L377" i="7" s="1"/>
  <c r="B1629" i="5"/>
  <c r="L326" i="7" s="1"/>
  <c r="C1915" i="5"/>
  <c r="C374" i="7" s="1"/>
  <c r="F2116" i="5"/>
  <c r="E402" i="7" s="1"/>
  <c r="B796" i="5"/>
  <c r="B166" i="7" s="1"/>
  <c r="B29" i="5"/>
  <c r="L14" i="7" s="1"/>
  <c r="I2181" i="5"/>
  <c r="F413" i="7" s="1"/>
  <c r="B1996" i="5"/>
  <c r="L386" i="7" s="1"/>
  <c r="B1776" i="5"/>
  <c r="L349" i="7" s="1"/>
  <c r="B1777" i="5"/>
  <c r="L350" i="7" s="1"/>
  <c r="L869" i="5"/>
  <c r="H180" i="7" s="1"/>
  <c r="F94" i="5"/>
  <c r="E28" i="7" s="1"/>
  <c r="D1100" i="5"/>
  <c r="D226" i="7" s="1"/>
  <c r="B2673" i="5"/>
  <c r="B525" i="7" s="1"/>
  <c r="V7" i="5"/>
  <c r="F1764" i="5"/>
  <c r="E350" i="7" s="1"/>
  <c r="L1543" i="5"/>
  <c r="H310" i="7" s="1"/>
  <c r="B2315" i="5"/>
  <c r="B443" i="7" s="1"/>
  <c r="B1098" i="5"/>
  <c r="B224" i="7" s="1"/>
  <c r="H505" i="5"/>
  <c r="F113" i="7" s="1"/>
  <c r="B1265" i="5"/>
  <c r="L262" i="7" s="1"/>
  <c r="B1192" i="5"/>
  <c r="L248" i="7" s="1"/>
  <c r="B1631" i="5"/>
  <c r="L328" i="7" s="1"/>
  <c r="B1266" i="5"/>
  <c r="L263" i="7" s="1"/>
  <c r="C1985" i="5"/>
  <c r="C386" i="7" s="1"/>
  <c r="C1543" i="5"/>
  <c r="C310" i="7" s="1"/>
  <c r="B737" i="5"/>
  <c r="L158" i="7" s="1"/>
  <c r="B305" i="5"/>
  <c r="L58" i="7" s="1"/>
  <c r="B1187" i="5"/>
  <c r="L243" i="7" s="1"/>
  <c r="B521" i="5"/>
  <c r="L120" i="7" s="1"/>
  <c r="B1115" i="5"/>
  <c r="L233" i="7" s="1"/>
  <c r="D2727" i="5"/>
  <c r="D529" i="7" s="1"/>
  <c r="H1022" i="5"/>
  <c r="F211" i="7" s="1"/>
  <c r="H2315" i="5"/>
  <c r="F443" i="7" s="1"/>
  <c r="H579" i="5"/>
  <c r="F127" i="7" s="1"/>
  <c r="B1626" i="5"/>
  <c r="L323" i="7" s="1"/>
  <c r="B2062" i="5"/>
  <c r="L398" i="7" s="1"/>
  <c r="B1623" i="5"/>
  <c r="B1257" i="5"/>
  <c r="L254" i="7" s="1"/>
  <c r="B2243" i="5"/>
  <c r="B423" i="7" s="1"/>
  <c r="B2728" i="5"/>
  <c r="B530" i="7" s="1"/>
  <c r="E1700" i="5"/>
  <c r="M337" i="7" s="1"/>
  <c r="B2182" i="5"/>
  <c r="B414" i="7" s="1"/>
  <c r="F1692" i="5"/>
  <c r="E338" i="7" s="1"/>
  <c r="B25" i="5"/>
  <c r="L10" i="7" s="1"/>
  <c r="C2383" i="5"/>
  <c r="C459" i="7" s="1"/>
  <c r="B1485" i="5"/>
  <c r="L303" i="7" s="1"/>
  <c r="B1559" i="5"/>
  <c r="L317" i="7" s="1"/>
  <c r="H944" i="5"/>
  <c r="F196" i="7" s="1"/>
  <c r="B588" i="5"/>
  <c r="L127" i="7" s="1"/>
  <c r="U5" i="5"/>
  <c r="K4" i="7" s="1"/>
  <c r="B1340" i="5"/>
  <c r="L278" i="7" s="1"/>
  <c r="J1984" i="5"/>
  <c r="G385" i="7" s="1"/>
  <c r="J1764" i="5"/>
  <c r="G350" i="7" s="1"/>
  <c r="B2246" i="5"/>
  <c r="B426" i="7" s="1"/>
  <c r="F7" i="5"/>
  <c r="B113" i="5"/>
  <c r="L39" i="7" s="1"/>
  <c r="B520" i="5"/>
  <c r="L119" i="7" s="1"/>
  <c r="F723" i="5"/>
  <c r="E152" i="7" s="1"/>
  <c r="H1764" i="5"/>
  <c r="F350" i="7" s="1"/>
  <c r="D653" i="5"/>
  <c r="D141" i="7" s="1"/>
  <c r="B178" i="5"/>
  <c r="L42" i="7" s="1"/>
  <c r="B1189" i="5"/>
  <c r="L245" i="7" s="1"/>
  <c r="C2612" i="5"/>
  <c r="L507" i="7" s="1"/>
  <c r="B1183" i="5"/>
  <c r="L239" i="7" s="1"/>
  <c r="H7" i="5"/>
  <c r="L505" i="5"/>
  <c r="H113" i="7" s="1"/>
  <c r="B2386" i="5"/>
  <c r="B462" i="7" s="1"/>
  <c r="C725" i="5"/>
  <c r="C154" i="7" s="1"/>
  <c r="P7" i="5"/>
  <c r="D1765" i="5"/>
  <c r="D351" i="7" s="1"/>
  <c r="H1983" i="5"/>
  <c r="F384" i="7" s="1"/>
  <c r="H1984" i="5"/>
  <c r="F385" i="7" s="1"/>
  <c r="B1551" i="5"/>
  <c r="L309" i="7" s="1"/>
  <c r="B1926" i="5"/>
  <c r="L374" i="7" s="1"/>
  <c r="J505" i="5"/>
  <c r="G113" i="7" s="1"/>
  <c r="B514" i="5"/>
  <c r="L113" i="7" s="1"/>
  <c r="B1690" i="5"/>
  <c r="B336" i="7" s="1"/>
  <c r="B659" i="5"/>
  <c r="L139" i="7" s="1"/>
  <c r="B313" i="5"/>
  <c r="L66" i="7" s="1"/>
  <c r="H1172" i="5"/>
  <c r="F239" i="7" s="1"/>
  <c r="B802" i="5"/>
  <c r="B1114" i="5"/>
  <c r="L232" i="7" s="1"/>
  <c r="F869" i="5"/>
  <c r="E180" i="7" s="1"/>
  <c r="B2538" i="5"/>
  <c r="K498" i="7" s="1"/>
  <c r="B308" i="5"/>
  <c r="L61" i="7" s="1"/>
  <c r="C1020" i="5"/>
  <c r="C209" i="7" s="1"/>
  <c r="B39" i="5"/>
  <c r="L24" i="7" s="1"/>
  <c r="B1635" i="5"/>
  <c r="L332" i="7" s="1"/>
  <c r="L2244" i="5"/>
  <c r="H424" i="7" s="1"/>
  <c r="L2175" i="5"/>
  <c r="H407" i="7" s="1"/>
  <c r="B664" i="5"/>
  <c r="L144" i="7" s="1"/>
  <c r="J1985" i="5"/>
  <c r="G386" i="7" s="1"/>
  <c r="N2316" i="5"/>
  <c r="I444" i="7" s="1"/>
  <c r="B518" i="5"/>
  <c r="L117" i="7" s="1"/>
  <c r="E2255" i="5"/>
  <c r="D435" i="7" s="1"/>
  <c r="L1172" i="5"/>
  <c r="H239" i="7" s="1"/>
  <c r="D1541" i="5"/>
  <c r="D308" i="7" s="1"/>
  <c r="C2175" i="5"/>
  <c r="C407" i="7" s="1"/>
  <c r="E889" i="5"/>
  <c r="M192" i="7" s="1"/>
  <c r="D1984" i="5"/>
  <c r="D385" i="7" s="1"/>
  <c r="B1393" i="5"/>
  <c r="B280" i="7" s="1"/>
  <c r="B2385" i="5"/>
  <c r="B461" i="7" s="1"/>
  <c r="E388" i="5"/>
  <c r="M83" i="7" s="1"/>
  <c r="B1701" i="5"/>
  <c r="L338" i="7" s="1"/>
  <c r="D2592" i="5"/>
  <c r="D505" i="7" s="1"/>
  <c r="D797" i="5"/>
  <c r="D167" i="7" s="1"/>
  <c r="F1541" i="5"/>
  <c r="E308" i="7" s="1"/>
  <c r="T2315" i="5"/>
  <c r="L443" i="7" s="1"/>
  <c r="B660" i="5"/>
  <c r="L140" i="7" s="1"/>
  <c r="L1173" i="5"/>
  <c r="H240" i="7" s="1"/>
  <c r="B1704" i="5"/>
  <c r="L341" i="7" s="1"/>
  <c r="B2122" i="5"/>
  <c r="L402" i="7" s="1"/>
  <c r="C2116" i="5"/>
  <c r="C402" i="7" s="1"/>
  <c r="F870" i="5"/>
  <c r="E181" i="7" s="1"/>
  <c r="D2534" i="5"/>
  <c r="D499" i="7" s="1"/>
  <c r="T2384" i="5"/>
  <c r="L460" i="7" s="1"/>
  <c r="B1042" i="5"/>
  <c r="L219" i="7" s="1"/>
  <c r="B1697" i="5"/>
  <c r="B1410" i="5"/>
  <c r="L288" i="7" s="1"/>
  <c r="F796" i="5"/>
  <c r="E166" i="7" s="1"/>
  <c r="H1543" i="5"/>
  <c r="F310" i="7" s="1"/>
  <c r="U4" i="5"/>
  <c r="K3" i="7" s="1"/>
  <c r="B731" i="5"/>
  <c r="L152" i="7" s="1"/>
  <c r="B2602" i="5"/>
  <c r="B515" i="7" s="1"/>
  <c r="C1322" i="5"/>
  <c r="C268" i="7" s="1"/>
  <c r="F725" i="5"/>
  <c r="E154" i="7" s="1"/>
  <c r="D1021" i="5"/>
  <c r="D210" i="7" s="1"/>
  <c r="B1786" i="5"/>
  <c r="L359" i="7" s="1"/>
  <c r="B108" i="5"/>
  <c r="L34" i="7" s="1"/>
  <c r="B2324" i="5"/>
  <c r="B452" i="7" s="1"/>
  <c r="B597" i="5"/>
  <c r="L136" i="7" s="1"/>
  <c r="B27" i="5"/>
  <c r="L12" i="7" s="1"/>
  <c r="H577" i="5"/>
  <c r="F125" i="7" s="1"/>
  <c r="B577" i="5"/>
  <c r="B125" i="7" s="1"/>
  <c r="C2176" i="5"/>
  <c r="C408" i="7" s="1"/>
  <c r="D2051" i="5"/>
  <c r="D395" i="7" s="1"/>
  <c r="B2672" i="5"/>
  <c r="B524" i="7" s="1"/>
  <c r="S8" i="5"/>
  <c r="B2252" i="5"/>
  <c r="B432" i="7" s="1"/>
  <c r="B1254" i="5"/>
  <c r="L871" i="5"/>
  <c r="H182" i="7" s="1"/>
  <c r="B732" i="5"/>
  <c r="L153" i="7" s="1"/>
  <c r="C942" i="5"/>
  <c r="C194" i="7" s="1"/>
  <c r="B1787" i="5"/>
  <c r="L360" i="7" s="1"/>
  <c r="B741" i="5"/>
  <c r="L162" i="7" s="1"/>
  <c r="J944" i="5"/>
  <c r="G196" i="7" s="1"/>
  <c r="B1637" i="5"/>
  <c r="L334" i="7" s="1"/>
  <c r="B2118" i="5"/>
  <c r="B404" i="7" s="1"/>
  <c r="C2117" i="5"/>
  <c r="C403" i="7" s="1"/>
  <c r="B103" i="5"/>
  <c r="L29" i="7" s="1"/>
  <c r="F2176" i="5"/>
  <c r="E408" i="7" s="1"/>
  <c r="E1709" i="5"/>
  <c r="M346" i="7" s="1"/>
  <c r="H1100" i="5"/>
  <c r="F226" i="7" s="1"/>
  <c r="B8" i="5"/>
  <c r="B6" i="7" s="1"/>
  <c r="B879" i="5"/>
  <c r="L182" i="7" s="1"/>
  <c r="B1110" i="5"/>
  <c r="L228" i="7" s="1"/>
  <c r="L1320" i="5"/>
  <c r="H266" i="7" s="1"/>
  <c r="B2536" i="5"/>
  <c r="B501" i="7" s="1"/>
  <c r="B2250" i="5"/>
  <c r="B430" i="7" s="1"/>
  <c r="B961" i="5"/>
  <c r="L201" i="7" s="1"/>
  <c r="B2180" i="5"/>
  <c r="B412" i="7" s="1"/>
  <c r="F2591" i="5"/>
  <c r="E504" i="7" s="1"/>
  <c r="F1983" i="5"/>
  <c r="E384" i="7" s="1"/>
  <c r="B1108" i="5"/>
  <c r="L226" i="7" s="1"/>
  <c r="C724" i="5"/>
  <c r="C153" i="7" s="1"/>
  <c r="C2052" i="5"/>
  <c r="C396" i="7" s="1"/>
  <c r="B878" i="5"/>
  <c r="L181" i="7" s="1"/>
  <c r="F295" i="5"/>
  <c r="E59" i="7" s="1"/>
  <c r="H871" i="5"/>
  <c r="F182" i="7" s="1"/>
  <c r="D168" i="5"/>
  <c r="D43" i="7" s="1"/>
  <c r="L798" i="5"/>
  <c r="H168" i="7" s="1"/>
  <c r="B662" i="5"/>
  <c r="L142" i="7" s="1"/>
  <c r="B1037" i="5"/>
  <c r="L214" i="7" s="1"/>
  <c r="H2244" i="5"/>
  <c r="F424" i="7" s="1"/>
  <c r="B2383" i="5"/>
  <c r="B459" i="7" s="1"/>
  <c r="C293" i="5"/>
  <c r="C57" i="7" s="1"/>
  <c r="F1543" i="5"/>
  <c r="E310" i="7" s="1"/>
  <c r="J797" i="5"/>
  <c r="G167" i="7" s="1"/>
  <c r="L1617" i="5"/>
  <c r="H324" i="7" s="1"/>
  <c r="C797" i="5"/>
  <c r="C167" i="7" s="1"/>
  <c r="J577" i="5"/>
  <c r="G125" i="7" s="1"/>
  <c r="C1916" i="5"/>
  <c r="C375" i="7" s="1"/>
  <c r="B1106" i="5"/>
  <c r="L224" i="7" s="1"/>
  <c r="H725" i="5"/>
  <c r="F154" i="7" s="1"/>
  <c r="B959" i="5"/>
  <c r="L199" i="7" s="1"/>
  <c r="D1763" i="5"/>
  <c r="D349" i="7" s="1"/>
  <c r="H943" i="5"/>
  <c r="F195" i="7" s="1"/>
  <c r="B1994" i="5"/>
  <c r="L384" i="7" s="1"/>
  <c r="C1542" i="5"/>
  <c r="C309" i="7" s="1"/>
  <c r="L1541" i="5"/>
  <c r="H308" i="7" s="1"/>
  <c r="D871" i="5"/>
  <c r="D182" i="7" s="1"/>
  <c r="B515" i="5"/>
  <c r="L114" i="7" s="1"/>
  <c r="L2384" i="5"/>
  <c r="H460" i="7" s="1"/>
  <c r="B2323" i="5"/>
  <c r="B451" i="7" s="1"/>
  <c r="B2729" i="5"/>
  <c r="B531" i="7" s="1"/>
  <c r="D943" i="5"/>
  <c r="D195" i="7" s="1"/>
  <c r="C1691" i="5"/>
  <c r="C337" i="7" s="1"/>
  <c r="B955" i="5"/>
  <c r="L195" i="7" s="1"/>
  <c r="B2262" i="5"/>
  <c r="C440" i="7" s="1"/>
  <c r="B314" i="5"/>
  <c r="L67" i="7" s="1"/>
  <c r="B26" i="5"/>
  <c r="L11" i="7" s="1"/>
  <c r="J2116" i="5"/>
  <c r="G402" i="7" s="1"/>
  <c r="L1469" i="5"/>
  <c r="H296" i="7" s="1"/>
  <c r="E1045" i="5"/>
  <c r="M222" i="7" s="1"/>
  <c r="F1322" i="5"/>
  <c r="E268" i="7" s="1"/>
  <c r="B743" i="5"/>
  <c r="L164" i="7" s="1"/>
  <c r="H2050" i="5"/>
  <c r="F394" i="7" s="1"/>
  <c r="H166" i="5"/>
  <c r="F41" i="7" s="1"/>
  <c r="D1841" i="5"/>
  <c r="D363" i="7" s="1"/>
  <c r="H1615" i="5"/>
  <c r="F322" i="7" s="1"/>
  <c r="D506" i="5"/>
  <c r="D114" i="7" s="1"/>
  <c r="C871" i="5"/>
  <c r="C182" i="7" s="1"/>
  <c r="E524" i="5"/>
  <c r="M123" i="7" s="1"/>
  <c r="J1615" i="5"/>
  <c r="G322" i="7" s="1"/>
  <c r="D1395" i="5"/>
  <c r="D282" i="7" s="1"/>
  <c r="C1467" i="5"/>
  <c r="C294" i="7" s="1"/>
  <c r="D798" i="5"/>
  <c r="D168" i="7" s="1"/>
  <c r="F577" i="5"/>
  <c r="E125" i="7" s="1"/>
  <c r="B2322" i="5"/>
  <c r="B450" i="7" s="1"/>
  <c r="D1915" i="5"/>
  <c r="D374" i="7" s="1"/>
  <c r="J1098" i="5"/>
  <c r="G224" i="7" s="1"/>
  <c r="B317" i="5"/>
  <c r="L70" i="7" s="1"/>
  <c r="B312" i="5"/>
  <c r="L65" i="7" s="1"/>
  <c r="R2176" i="5"/>
  <c r="K408" i="7" s="1"/>
  <c r="E2381" i="5"/>
  <c r="F458" i="7" s="1"/>
  <c r="E1195" i="5"/>
  <c r="M251" i="7" s="1"/>
  <c r="B2061" i="5"/>
  <c r="L397" i="7" s="1"/>
  <c r="F1617" i="5"/>
  <c r="E324" i="7" s="1"/>
  <c r="B1191" i="5"/>
  <c r="L247" i="7" s="1"/>
  <c r="H2383" i="5"/>
  <c r="F459" i="7" s="1"/>
  <c r="B2179" i="5"/>
  <c r="B411" i="7" s="1"/>
  <c r="C944" i="5"/>
  <c r="C196" i="7" s="1"/>
  <c r="J2117" i="5"/>
  <c r="G403" i="7" s="1"/>
  <c r="B1185" i="5"/>
  <c r="L241" i="7" s="1"/>
  <c r="L1099" i="5"/>
  <c r="H225" i="7" s="1"/>
  <c r="B2325" i="5"/>
  <c r="B453" i="7" s="1"/>
  <c r="F1615" i="5"/>
  <c r="E322" i="7" s="1"/>
  <c r="H2052" i="5"/>
  <c r="F396" i="7" s="1"/>
  <c r="B729" i="5"/>
  <c r="B2258" i="5"/>
  <c r="B438" i="7" s="1"/>
  <c r="F2533" i="5"/>
  <c r="E498" i="7" s="1"/>
  <c r="D2669" i="5"/>
  <c r="D521" i="7" s="1"/>
  <c r="B2320" i="5"/>
  <c r="B448" i="7" s="1"/>
  <c r="J1765" i="5"/>
  <c r="G351" i="7" s="1"/>
  <c r="B1403" i="5"/>
  <c r="L281" i="7" s="1"/>
  <c r="H1469" i="5"/>
  <c r="F296" i="7" s="1"/>
  <c r="B806" i="5"/>
  <c r="L168" i="7" s="1"/>
  <c r="D293" i="5"/>
  <c r="AC295" i="5" s="1"/>
  <c r="B942" i="5"/>
  <c r="B194" i="7" s="1"/>
  <c r="L2243" i="5"/>
  <c r="H423" i="7" s="1"/>
  <c r="B735" i="5"/>
  <c r="L156" i="7" s="1"/>
  <c r="K8" i="5"/>
  <c r="H2591" i="5"/>
  <c r="F504" i="7" s="1"/>
  <c r="B2392" i="5"/>
  <c r="B468" i="7" s="1"/>
  <c r="J2533" i="5"/>
  <c r="G498" i="7" s="1"/>
  <c r="D1249" i="5"/>
  <c r="D254" i="7" s="1"/>
  <c r="H1840" i="5"/>
  <c r="F362" i="7" s="1"/>
  <c r="T2176" i="5"/>
  <c r="L408" i="7" s="1"/>
  <c r="L651" i="5"/>
  <c r="H139" i="7" s="1"/>
  <c r="B2596" i="5"/>
  <c r="B509" i="7" s="1"/>
  <c r="E1637" i="5"/>
  <c r="M334" i="7" s="1"/>
  <c r="P2244" i="5"/>
  <c r="J424" i="7" s="1"/>
  <c r="J1249" i="5"/>
  <c r="G254" i="7" s="1"/>
  <c r="R2316" i="5"/>
  <c r="K444" i="7" s="1"/>
  <c r="D7" i="5"/>
  <c r="C1840" i="5"/>
  <c r="C362" i="7" s="1"/>
  <c r="C166" i="5"/>
  <c r="C41" i="7" s="1"/>
  <c r="H168" i="5"/>
  <c r="F43" i="7" s="1"/>
  <c r="D1917" i="5"/>
  <c r="D376" i="7" s="1"/>
  <c r="J1763" i="5"/>
  <c r="G349" i="7" s="1"/>
  <c r="B2598" i="5"/>
  <c r="B511" i="7" s="1"/>
  <c r="B889" i="5"/>
  <c r="L192" i="7" s="1"/>
  <c r="L1394" i="5"/>
  <c r="H281" i="7" s="1"/>
  <c r="B954" i="5"/>
  <c r="L194" i="7" s="1"/>
  <c r="C2592" i="5"/>
  <c r="C505" i="7" s="1"/>
  <c r="B182" i="5"/>
  <c r="L46" i="7" s="1"/>
  <c r="D1840" i="5"/>
  <c r="D362" i="7" s="1"/>
  <c r="B1927" i="5"/>
  <c r="L375" i="7" s="1"/>
  <c r="B110" i="5"/>
  <c r="L36" i="7" s="1"/>
  <c r="B1915" i="5"/>
  <c r="B374" i="7" s="1"/>
  <c r="L1021" i="5"/>
  <c r="H210" i="7" s="1"/>
  <c r="D724" i="5"/>
  <c r="D153" i="7" s="1"/>
  <c r="B2319" i="5"/>
  <c r="B447" i="7" s="1"/>
  <c r="H2176" i="5"/>
  <c r="F408" i="7" s="1"/>
  <c r="B1785" i="5"/>
  <c r="L358" i="7" s="1"/>
  <c r="B966" i="5"/>
  <c r="L206" i="7" s="1"/>
  <c r="B1634" i="5"/>
  <c r="L331" i="7" s="1"/>
  <c r="D1691" i="5"/>
  <c r="D337" i="7" s="1"/>
  <c r="L1322" i="5"/>
  <c r="H268" i="7" s="1"/>
  <c r="B513" i="5"/>
  <c r="L112" i="7" s="1"/>
  <c r="H797" i="5"/>
  <c r="F167" i="7" s="1"/>
  <c r="F1320" i="5"/>
  <c r="E266" i="7" s="1"/>
  <c r="J1840" i="5"/>
  <c r="G362" i="7" s="1"/>
  <c r="J1394" i="5"/>
  <c r="G281" i="7" s="1"/>
  <c r="D1692" i="5"/>
  <c r="D338" i="7" s="1"/>
  <c r="J1022" i="5"/>
  <c r="G211" i="7" s="1"/>
  <c r="B1184" i="5"/>
  <c r="L240" i="7" s="1"/>
  <c r="J798" i="5"/>
  <c r="G168" i="7" s="1"/>
  <c r="L1616" i="5"/>
  <c r="H323" i="7" s="1"/>
  <c r="B1774" i="5"/>
  <c r="D505" i="5"/>
  <c r="D113" i="7" s="1"/>
  <c r="B370" i="5"/>
  <c r="B72" i="7" s="1"/>
  <c r="H506" i="5"/>
  <c r="F114" i="7" s="1"/>
  <c r="F1098" i="5"/>
  <c r="E224" i="7" s="1"/>
  <c r="B36" i="5"/>
  <c r="L21" i="7" s="1"/>
  <c r="C1098" i="5"/>
  <c r="C224" i="7" s="1"/>
  <c r="B504" i="5"/>
  <c r="B112" i="7" s="1"/>
  <c r="L1249" i="5"/>
  <c r="H254" i="7" s="1"/>
  <c r="B387" i="5"/>
  <c r="L82" i="7" s="1"/>
  <c r="B1783" i="5"/>
  <c r="L356" i="7" s="1"/>
  <c r="H2175" i="5"/>
  <c r="F407" i="7" s="1"/>
  <c r="B1045" i="5"/>
  <c r="L222" i="7" s="1"/>
  <c r="B1859" i="5"/>
  <c r="L368" i="7" s="1"/>
  <c r="D1985" i="5"/>
  <c r="D386" i="7" s="1"/>
  <c r="B1334" i="5"/>
  <c r="L272" i="7" s="1"/>
  <c r="C14" i="5"/>
  <c r="C11" i="7" s="1"/>
  <c r="L577" i="5"/>
  <c r="H125" i="7" s="1"/>
  <c r="B1709" i="5"/>
  <c r="L346" i="7" s="1"/>
  <c r="H1098" i="5"/>
  <c r="F224" i="7" s="1"/>
  <c r="F1020" i="5"/>
  <c r="E209" i="7" s="1"/>
  <c r="L1468" i="5"/>
  <c r="H295" i="7" s="1"/>
  <c r="B1180" i="5"/>
  <c r="B1030" i="5"/>
  <c r="F724" i="5"/>
  <c r="E153" i="7" s="1"/>
  <c r="C2613" i="5"/>
  <c r="L508" i="7" s="1"/>
  <c r="B963" i="5"/>
  <c r="L203" i="7" s="1"/>
  <c r="W8" i="5"/>
  <c r="F2117" i="5"/>
  <c r="E403" i="7" s="1"/>
  <c r="J942" i="5"/>
  <c r="G194" i="7" s="1"/>
  <c r="C2616" i="5"/>
  <c r="L511" i="7" s="1"/>
  <c r="H870" i="5"/>
  <c r="F181" i="7" s="1"/>
  <c r="B1117" i="5"/>
  <c r="L235" i="7" s="1"/>
  <c r="B187" i="5"/>
  <c r="L51" i="7" s="1"/>
  <c r="H2117" i="5"/>
  <c r="F403" i="7" s="1"/>
  <c r="F168" i="5"/>
  <c r="E43" i="7" s="1"/>
  <c r="B1411" i="5"/>
  <c r="L289" i="7" s="1"/>
  <c r="B669" i="5"/>
  <c r="L149" i="7" s="1"/>
  <c r="B2181" i="5"/>
  <c r="B413" i="7" s="1"/>
  <c r="D1172" i="5"/>
  <c r="D239" i="7" s="1"/>
  <c r="B35" i="5"/>
  <c r="L20" i="7" s="1"/>
  <c r="E670" i="5"/>
  <c r="M150" i="7" s="1"/>
  <c r="O8" i="5"/>
  <c r="C1469" i="5"/>
  <c r="C296" i="7" s="1"/>
  <c r="D167" i="5"/>
  <c r="D42" i="7" s="1"/>
  <c r="C1100" i="5"/>
  <c r="C226" i="7" s="1"/>
  <c r="C2611" i="5"/>
  <c r="L506" i="7" s="1"/>
  <c r="L1393" i="5"/>
  <c r="H280" i="7" s="1"/>
  <c r="F1840" i="5"/>
  <c r="E362" i="7" s="1"/>
  <c r="D1394" i="5"/>
  <c r="D281" i="7" s="1"/>
  <c r="B2254" i="5"/>
  <c r="B434" i="7" s="1"/>
  <c r="C1841" i="5"/>
  <c r="C363" i="7" s="1"/>
  <c r="B2600" i="5"/>
  <c r="B513" i="7" s="1"/>
  <c r="J1616" i="5"/>
  <c r="G323" i="7" s="1"/>
  <c r="N2244" i="5"/>
  <c r="I424" i="7" s="1"/>
  <c r="J1172" i="5"/>
  <c r="G239" i="7" s="1"/>
  <c r="D370" i="5"/>
  <c r="D72" i="7" s="1"/>
  <c r="B1413" i="5"/>
  <c r="L291" i="7" s="1"/>
  <c r="B2056" i="5"/>
  <c r="J506" i="5"/>
  <c r="G114" i="7" s="1"/>
  <c r="H1020" i="5"/>
  <c r="F209" i="7" s="1"/>
  <c r="B1104" i="5"/>
  <c r="L797" i="5"/>
  <c r="H167" i="7" s="1"/>
  <c r="F1172" i="5"/>
  <c r="E239" i="7" s="1"/>
  <c r="H1394" i="5"/>
  <c r="F281" i="7" s="1"/>
  <c r="H2533" i="5"/>
  <c r="F498" i="7" s="1"/>
  <c r="B2391" i="5"/>
  <c r="B467" i="7" s="1"/>
  <c r="D2176" i="5"/>
  <c r="D408" i="7" s="1"/>
  <c r="L1467" i="5"/>
  <c r="H294" i="7" s="1"/>
  <c r="C1468" i="5"/>
  <c r="C295" i="7" s="1"/>
  <c r="B2189" i="5"/>
  <c r="C419" i="7" s="1"/>
  <c r="C1172" i="5"/>
  <c r="C239" i="7" s="1"/>
  <c r="B2441" i="5"/>
  <c r="B1702" i="5"/>
  <c r="L339" i="7" s="1"/>
  <c r="B810" i="5"/>
  <c r="L172" i="7" s="1"/>
  <c r="J651" i="5"/>
  <c r="G139" i="7" s="1"/>
  <c r="B1487" i="5"/>
  <c r="L305" i="7" s="1"/>
  <c r="J1248" i="5"/>
  <c r="G253" i="7" s="1"/>
  <c r="L942" i="5"/>
  <c r="H194" i="7" s="1"/>
  <c r="B886" i="5"/>
  <c r="L189" i="7" s="1"/>
  <c r="L578" i="5"/>
  <c r="H126" i="7" s="1"/>
  <c r="F652" i="5"/>
  <c r="E140" i="7" s="1"/>
  <c r="H1249" i="5"/>
  <c r="F254" i="7" s="1"/>
  <c r="D2384" i="5"/>
  <c r="D460" i="7" s="1"/>
  <c r="B1414" i="5"/>
  <c r="L292" i="7" s="1"/>
  <c r="F871" i="5"/>
  <c r="E182" i="7" s="1"/>
  <c r="F293" i="5"/>
  <c r="AD295" i="5" s="1"/>
  <c r="F1100" i="5"/>
  <c r="E226" i="7" s="1"/>
  <c r="D870" i="5"/>
  <c r="D181" i="7" s="1"/>
  <c r="F1984" i="5"/>
  <c r="E385" i="7" s="1"/>
  <c r="H1021" i="5"/>
  <c r="F210" i="7" s="1"/>
  <c r="J1542" i="5"/>
  <c r="G309" i="7" s="1"/>
  <c r="B967" i="5"/>
  <c r="L207" i="7" s="1"/>
  <c r="B1931" i="5"/>
  <c r="L379" i="7" s="1"/>
  <c r="C869" i="5"/>
  <c r="C180" i="7" s="1"/>
  <c r="D1617" i="5"/>
  <c r="D324" i="7" s="1"/>
  <c r="P2175" i="5"/>
  <c r="J407" i="7" s="1"/>
  <c r="B1034" i="5"/>
  <c r="L211" i="7" s="1"/>
  <c r="C1764" i="5"/>
  <c r="C350" i="7" s="1"/>
  <c r="F2244" i="5"/>
  <c r="E424" i="7" s="1"/>
  <c r="C2384" i="5"/>
  <c r="C460" i="7" s="1"/>
  <c r="F942" i="5"/>
  <c r="E194" i="7" s="1"/>
  <c r="L2116" i="5"/>
  <c r="H402" i="7" s="1"/>
  <c r="J1393" i="5"/>
  <c r="G280" i="7" s="1"/>
  <c r="B2731" i="5"/>
  <c r="B535" i="7" s="1"/>
  <c r="C2316" i="5"/>
  <c r="C444" i="7" s="1"/>
  <c r="B1862" i="5"/>
  <c r="L371" i="7" s="1"/>
  <c r="C371" i="5"/>
  <c r="C73" i="7" s="1"/>
  <c r="B1041" i="5"/>
  <c r="L218" i="7" s="1"/>
  <c r="L2533" i="5"/>
  <c r="H498" i="7" s="1"/>
  <c r="B2440" i="5"/>
  <c r="D14" i="5"/>
  <c r="D11" i="7" s="1"/>
  <c r="L504" i="5"/>
  <c r="H112" i="7" s="1"/>
  <c r="C506" i="5"/>
  <c r="C114" i="7" s="1"/>
  <c r="H724" i="5"/>
  <c r="F153" i="7" s="1"/>
  <c r="J796" i="5"/>
  <c r="G166" i="7" s="1"/>
  <c r="J725" i="5"/>
  <c r="G154" i="7" s="1"/>
  <c r="B1562" i="5"/>
  <c r="L320" i="7" s="1"/>
  <c r="B378" i="5"/>
  <c r="L73" i="7" s="1"/>
  <c r="L1985" i="5"/>
  <c r="H386" i="7" s="1"/>
  <c r="B101" i="5"/>
  <c r="L27" i="7" s="1"/>
  <c r="F578" i="5"/>
  <c r="E126" i="7" s="1"/>
  <c r="C579" i="5"/>
  <c r="C127" i="7" s="1"/>
  <c r="B522" i="5"/>
  <c r="L121" i="7" s="1"/>
  <c r="B1400" i="5"/>
  <c r="B1" i="7"/>
  <c r="F166" i="5"/>
  <c r="AD168" i="5" s="1"/>
  <c r="C1022" i="5"/>
  <c r="C211" i="7" s="1"/>
  <c r="D2117" i="5"/>
  <c r="D403" i="7" s="1"/>
  <c r="C652" i="5"/>
  <c r="C140" i="7" s="1"/>
  <c r="J1100" i="5"/>
  <c r="G226" i="7" s="1"/>
  <c r="C2615" i="5"/>
  <c r="L510" i="7" s="1"/>
  <c r="J1321" i="5"/>
  <c r="G267" i="7" s="1"/>
  <c r="D2244" i="5"/>
  <c r="D424" i="7" s="1"/>
  <c r="C1617" i="5"/>
  <c r="C324" i="7" s="1"/>
  <c r="C2050" i="5"/>
  <c r="C394" i="7" s="1"/>
  <c r="C1099" i="5"/>
  <c r="C225" i="7" s="1"/>
  <c r="B1781" i="5"/>
  <c r="L354" i="7" s="1"/>
  <c r="B1259" i="5"/>
  <c r="L256" i="7" s="1"/>
  <c r="B1480" i="5"/>
  <c r="L298" i="7" s="1"/>
  <c r="B598" i="5"/>
  <c r="L137" i="7" s="1"/>
  <c r="L1248" i="5"/>
  <c r="H253" i="7" s="1"/>
  <c r="L943" i="5"/>
  <c r="H195" i="7" s="1"/>
  <c r="B877" i="5"/>
  <c r="L180" i="7" s="1"/>
  <c r="H1841" i="5"/>
  <c r="F363" i="7" s="1"/>
  <c r="B1039" i="5"/>
  <c r="L216" i="7" s="1"/>
  <c r="B1997" i="5"/>
  <c r="L387" i="7" s="1"/>
  <c r="B2184" i="5"/>
  <c r="B416" i="7" s="1"/>
  <c r="B1337" i="5"/>
  <c r="L275" i="7" s="1"/>
  <c r="D1022" i="5"/>
  <c r="D211" i="7" s="1"/>
  <c r="E1340" i="5"/>
  <c r="M278" i="7" s="1"/>
  <c r="B2059" i="5"/>
  <c r="F294" i="5"/>
  <c r="E58" i="7" s="1"/>
  <c r="B1332" i="5"/>
  <c r="L270" i="7" s="1"/>
  <c r="B304" i="5"/>
  <c r="L57" i="7" s="1"/>
  <c r="B2190" i="5"/>
  <c r="C420" i="7" s="1"/>
  <c r="B881" i="5"/>
  <c r="L184" i="7" s="1"/>
  <c r="B2591" i="5"/>
  <c r="B504" i="7" s="1"/>
  <c r="F1249" i="5"/>
  <c r="E254" i="7" s="1"/>
  <c r="B888" i="5"/>
  <c r="L191" i="7" s="1"/>
  <c r="B380" i="5"/>
  <c r="L75" i="7" s="1"/>
  <c r="B1402" i="5"/>
  <c r="L280" i="7" s="1"/>
  <c r="G8" i="5"/>
  <c r="F943" i="5"/>
  <c r="E195" i="7" s="1"/>
  <c r="B742" i="5"/>
  <c r="L163" i="7" s="1"/>
  <c r="D2175" i="5"/>
  <c r="D407" i="7" s="1"/>
  <c r="D2533" i="5"/>
  <c r="D498" i="7" s="1"/>
  <c r="D1393" i="5"/>
  <c r="D280" i="7" s="1"/>
  <c r="D1098" i="5"/>
  <c r="D224" i="7" s="1"/>
  <c r="D796" i="5"/>
  <c r="D166" i="7" s="1"/>
  <c r="D504" i="5"/>
  <c r="D112" i="7" s="1"/>
  <c r="H1692" i="5"/>
  <c r="F338" i="7" s="1"/>
  <c r="D2116" i="5"/>
  <c r="D402" i="7" s="1"/>
  <c r="D2383" i="5"/>
  <c r="D459" i="7" s="1"/>
  <c r="D1467" i="5"/>
  <c r="D294" i="7" s="1"/>
  <c r="D1171" i="5"/>
  <c r="D238" i="7" s="1"/>
  <c r="D869" i="5"/>
  <c r="D180" i="7" s="1"/>
  <c r="D577" i="5"/>
  <c r="D125" i="7" s="1"/>
  <c r="B516" i="5"/>
  <c r="L115" i="7" s="1"/>
  <c r="B1851" i="5"/>
  <c r="B2120" i="5"/>
  <c r="D1983" i="5"/>
  <c r="D384" i="7" s="1"/>
  <c r="D2315" i="5"/>
  <c r="D443" i="7" s="1"/>
  <c r="D1615" i="5"/>
  <c r="D322" i="7" s="1"/>
  <c r="D1248" i="5"/>
  <c r="D253" i="7" s="1"/>
  <c r="D942" i="5"/>
  <c r="D194" i="7" s="1"/>
  <c r="D651" i="5"/>
  <c r="D139" i="7" s="1"/>
  <c r="D1690" i="5"/>
  <c r="D336" i="7" s="1"/>
  <c r="D2243" i="5"/>
  <c r="D423" i="7" s="1"/>
  <c r="D2591" i="5"/>
  <c r="D504" i="7" s="1"/>
  <c r="D1320" i="5"/>
  <c r="D266" i="7" s="1"/>
  <c r="D1020" i="5"/>
  <c r="D209" i="7" s="1"/>
  <c r="D723" i="5"/>
  <c r="D152" i="7" s="1"/>
  <c r="C167" i="5"/>
  <c r="C42" i="7" s="1"/>
  <c r="F505" i="5"/>
  <c r="E113" i="7" s="1"/>
  <c r="J871" i="5"/>
  <c r="G182" i="7" s="1"/>
  <c r="B1484" i="5"/>
  <c r="L302" i="7" s="1"/>
  <c r="B1043" i="5"/>
  <c r="L220" i="7" s="1"/>
  <c r="B1561" i="5"/>
  <c r="L319" i="7" s="1"/>
  <c r="H1842" i="5"/>
  <c r="F364" i="7" s="1"/>
  <c r="B1338" i="5"/>
  <c r="L276" i="7" s="1"/>
  <c r="H1467" i="5"/>
  <c r="F294" i="7" s="1"/>
  <c r="J2591" i="5"/>
  <c r="G504" i="7" s="1"/>
  <c r="J1468" i="5"/>
  <c r="G295" i="7" s="1"/>
  <c r="C2060" i="5"/>
  <c r="J943" i="5"/>
  <c r="G195" i="7" s="1"/>
  <c r="D578" i="5"/>
  <c r="D126" i="7" s="1"/>
  <c r="F1250" i="5"/>
  <c r="E255" i="7" s="1"/>
  <c r="C1250" i="5"/>
  <c r="C255" i="7" s="1"/>
  <c r="F944" i="5"/>
  <c r="E196" i="7" s="1"/>
  <c r="B98" i="5"/>
  <c r="B37" i="5"/>
  <c r="L22" i="7" s="1"/>
  <c r="H1320" i="5"/>
  <c r="F266" i="7" s="1"/>
  <c r="B804" i="5"/>
  <c r="L166" i="7" s="1"/>
  <c r="B2601" i="5"/>
  <c r="B514" i="7" s="1"/>
  <c r="H2316" i="5"/>
  <c r="F444" i="7" s="1"/>
  <c r="J1841" i="5"/>
  <c r="G363" i="7" s="1"/>
  <c r="B1118" i="5"/>
  <c r="L236" i="7" s="1"/>
  <c r="E112" i="5"/>
  <c r="M38" i="7" s="1"/>
  <c r="L579" i="5"/>
  <c r="H127" i="7" s="1"/>
  <c r="L652" i="5"/>
  <c r="H140" i="7" s="1"/>
  <c r="C295" i="5"/>
  <c r="C59" i="7" s="1"/>
  <c r="L2591" i="5"/>
  <c r="H504" i="7" s="1"/>
  <c r="B2443" i="5"/>
  <c r="C93" i="5"/>
  <c r="C27" i="7" s="1"/>
  <c r="B1267" i="5"/>
  <c r="L264" i="7" s="1"/>
  <c r="B2326" i="5"/>
  <c r="B454" i="7" s="1"/>
  <c r="B1558" i="5"/>
  <c r="L316" i="7" s="1"/>
  <c r="B2256" i="5"/>
  <c r="B436" i="7" s="1"/>
  <c r="P2243" i="5"/>
  <c r="J423" i="7" s="1"/>
  <c r="F1394" i="5"/>
  <c r="E281" i="7" s="1"/>
  <c r="F1099" i="5"/>
  <c r="E225" i="7" s="1"/>
  <c r="B2438" i="5"/>
  <c r="H2534" i="5"/>
  <c r="F499" i="7" s="1"/>
  <c r="B379" i="5"/>
  <c r="L74" i="7" s="1"/>
  <c r="V2244" i="5"/>
  <c r="M424" i="7" s="1"/>
  <c r="J1543" i="5"/>
  <c r="G310" i="7" s="1"/>
  <c r="B1784" i="5"/>
  <c r="L357" i="7" s="1"/>
  <c r="D1842" i="5"/>
  <c r="D364" i="7" s="1"/>
  <c r="C504" i="5"/>
  <c r="C112" i="7" s="1"/>
  <c r="J723" i="5"/>
  <c r="G152" i="7" s="1"/>
  <c r="B1248" i="5"/>
  <c r="B253" i="7" s="1"/>
  <c r="B24" i="5"/>
  <c r="L9" i="7" s="1"/>
  <c r="J1250" i="5"/>
  <c r="G255" i="7" s="1"/>
  <c r="B2389" i="5"/>
  <c r="B465" i="7" s="1"/>
  <c r="L506" i="5"/>
  <c r="H114" i="7" s="1"/>
  <c r="F651" i="5"/>
  <c r="E139" i="7" s="1"/>
  <c r="B2058" i="5"/>
  <c r="L394" i="7" s="1"/>
  <c r="C2533" i="5"/>
  <c r="C498" i="7" s="1"/>
  <c r="J1469" i="5"/>
  <c r="G296" i="7" s="1"/>
  <c r="F13" i="5"/>
  <c r="E10" i="7" s="1"/>
  <c r="C2244" i="5"/>
  <c r="C424" i="7" s="1"/>
  <c r="B584" i="5"/>
  <c r="T2316" i="5"/>
  <c r="L444" i="7" s="1"/>
  <c r="J2592" i="5"/>
  <c r="G505" i="7" s="1"/>
  <c r="B2730" i="5"/>
  <c r="B533" i="7" s="1"/>
  <c r="B2255" i="5"/>
  <c r="B435" i="7" s="1"/>
  <c r="B1552" i="5"/>
  <c r="L310" i="7" s="1"/>
  <c r="E598" i="5"/>
  <c r="M137" i="7" s="1"/>
  <c r="B1615" i="5"/>
  <c r="B322" i="7" s="1"/>
  <c r="H293" i="5"/>
  <c r="AE295" i="5" s="1"/>
  <c r="C1173" i="5"/>
  <c r="C240" i="7" s="1"/>
  <c r="B2535" i="5"/>
  <c r="B500" i="7" s="1"/>
  <c r="J1322" i="5"/>
  <c r="G268" i="7" s="1"/>
  <c r="B1930" i="5"/>
  <c r="L378" i="7" s="1"/>
  <c r="D166" i="5"/>
  <c r="AC168" i="5" s="1"/>
  <c r="P2315" i="5"/>
  <c r="J443" i="7" s="1"/>
  <c r="D652" i="5"/>
  <c r="D140" i="7" s="1"/>
  <c r="E1562" i="5"/>
  <c r="M320" i="7" s="1"/>
  <c r="J7" i="5"/>
  <c r="B1861" i="5"/>
  <c r="L370" i="7" s="1"/>
  <c r="C1320" i="5"/>
  <c r="C266" i="7" s="1"/>
  <c r="L2315" i="5"/>
  <c r="H443" i="7" s="1"/>
  <c r="C505" i="5"/>
  <c r="C113" i="7" s="1"/>
  <c r="B1264" i="5"/>
  <c r="L261" i="7" s="1"/>
  <c r="B1107" i="5"/>
  <c r="L225" i="7" s="1"/>
  <c r="B592" i="5"/>
  <c r="L131" i="7" s="1"/>
  <c r="N7" i="5"/>
  <c r="B1194" i="5"/>
  <c r="L250" i="7" s="1"/>
  <c r="B1195" i="5"/>
  <c r="L251" i="7" s="1"/>
  <c r="F1469" i="5"/>
  <c r="E296" i="7" s="1"/>
  <c r="C2610" i="5"/>
  <c r="L505" i="7" s="1"/>
  <c r="B670" i="5"/>
  <c r="L150" i="7" s="1"/>
  <c r="D294" i="5"/>
  <c r="D58" i="7" s="1"/>
  <c r="C1541" i="5"/>
  <c r="C308" i="7" s="1"/>
  <c r="B1032" i="5"/>
  <c r="L209" i="7" s="1"/>
  <c r="C2243" i="5"/>
  <c r="C423" i="7" s="1"/>
  <c r="C1395" i="5"/>
  <c r="C282" i="7" s="1"/>
  <c r="J2316" i="5"/>
  <c r="G444" i="7" s="1"/>
  <c r="F653" i="5"/>
  <c r="E141" i="7" s="1"/>
  <c r="F1248" i="5"/>
  <c r="E253" i="7" s="1"/>
  <c r="J1173" i="5"/>
  <c r="G240" i="7" s="1"/>
  <c r="C1842" i="5"/>
  <c r="C364" i="7" s="1"/>
  <c r="E1267" i="5"/>
  <c r="M264" i="7" s="1"/>
  <c r="B382" i="5"/>
  <c r="L77" i="7" s="1"/>
  <c r="I8" i="5"/>
  <c r="B1412" i="5"/>
  <c r="L290" i="7" s="1"/>
  <c r="E190" i="5"/>
  <c r="M54" i="7" s="1"/>
  <c r="B2533" i="5"/>
  <c r="B498" i="7" s="1"/>
  <c r="B2393" i="5"/>
  <c r="B469" i="7" s="1"/>
  <c r="B2249" i="5"/>
  <c r="B429" i="7" s="1"/>
  <c r="B2183" i="5"/>
  <c r="B415" i="7" s="1"/>
  <c r="B1479" i="5"/>
  <c r="L297" i="7" s="1"/>
  <c r="B661" i="5"/>
  <c r="L141" i="7" s="1"/>
  <c r="B315" i="5"/>
  <c r="L68" i="7" s="1"/>
  <c r="H651" i="5"/>
  <c r="F139" i="7" s="1"/>
  <c r="B813" i="5"/>
  <c r="L175" i="7" s="1"/>
  <c r="E38" i="5"/>
  <c r="M23" i="7" s="1"/>
  <c r="L725" i="5"/>
  <c r="H154" i="7" s="1"/>
  <c r="H2592" i="5"/>
  <c r="F505" i="7" s="1"/>
  <c r="B2394" i="5"/>
  <c r="B470" i="7" s="1"/>
  <c r="E8" i="5"/>
  <c r="H1541" i="5"/>
  <c r="F308" i="7" s="1"/>
  <c r="B739" i="5"/>
  <c r="L160" i="7" s="1"/>
  <c r="J1617" i="5"/>
  <c r="G324" i="7" s="1"/>
  <c r="B386" i="5"/>
  <c r="L81" i="7" s="1"/>
  <c r="B389" i="5"/>
  <c r="L84" i="7" s="1"/>
  <c r="B7" i="5"/>
  <c r="B1625" i="5"/>
  <c r="L322" i="7" s="1"/>
  <c r="L1983" i="5"/>
  <c r="H384" i="7" s="1"/>
  <c r="B2330" i="5"/>
  <c r="C456" i="7" s="1"/>
  <c r="C1321" i="5"/>
  <c r="C267" i="7" s="1"/>
  <c r="J504" i="5"/>
  <c r="G112" i="7" s="1"/>
  <c r="E316" i="5"/>
  <c r="M69" i="7" s="1"/>
  <c r="B594" i="5"/>
  <c r="L133" i="7" s="1"/>
  <c r="H1171" i="5"/>
  <c r="F238" i="7" s="1"/>
  <c r="V2176" i="5"/>
  <c r="M408" i="7" s="1"/>
  <c r="B2247" i="5"/>
  <c r="B427" i="7" s="1"/>
  <c r="B1404" i="5"/>
  <c r="L282" i="7" s="1"/>
  <c r="B887" i="5"/>
  <c r="L190" i="7" s="1"/>
  <c r="B1406" i="5"/>
  <c r="L284" i="7" s="1"/>
  <c r="B375" i="5"/>
  <c r="L1395" i="5"/>
  <c r="H282" i="7" s="1"/>
  <c r="E1786" i="5"/>
  <c r="M359" i="7" s="1"/>
  <c r="B2050" i="5"/>
  <c r="B394" i="7" s="1"/>
  <c r="B1928" i="5"/>
  <c r="L376" i="7" s="1"/>
  <c r="H1617" i="5"/>
  <c r="F324" i="7" s="1"/>
  <c r="L796" i="5"/>
  <c r="H166" i="7" s="1"/>
  <c r="F1763" i="5"/>
  <c r="E349" i="7" s="1"/>
  <c r="J578" i="5"/>
  <c r="G126" i="7" s="1"/>
  <c r="D13" i="5"/>
  <c r="D10" i="7" s="1"/>
  <c r="B2321" i="5"/>
  <c r="B449" i="7" s="1"/>
  <c r="D1916" i="5"/>
  <c r="D375" i="7" s="1"/>
  <c r="J653" i="5"/>
  <c r="G141" i="7" s="1"/>
  <c r="B1560" i="5"/>
  <c r="L318" i="7" s="1"/>
  <c r="C92" i="5"/>
  <c r="C26" i="7" s="1"/>
  <c r="B1171" i="5"/>
  <c r="B238" i="7" s="1"/>
  <c r="B2604" i="5"/>
  <c r="B517" i="7" s="1"/>
  <c r="H1173" i="5"/>
  <c r="F240" i="7" s="1"/>
  <c r="F1765" i="5"/>
  <c r="E351" i="7" s="1"/>
  <c r="B524" i="5"/>
  <c r="L123" i="7" s="1"/>
  <c r="B2175" i="5"/>
  <c r="B407" i="7" s="1"/>
  <c r="E1701" i="5"/>
  <c r="M338" i="7" s="1"/>
  <c r="B2594" i="5"/>
  <c r="B507" i="7" s="1"/>
  <c r="B2605" i="5"/>
  <c r="B518" i="7" s="1"/>
  <c r="E1488" i="5"/>
  <c r="M306" i="7" s="1"/>
  <c r="B179" i="5"/>
  <c r="L43" i="7" s="1"/>
  <c r="B1779" i="5"/>
  <c r="L352" i="7" s="1"/>
  <c r="H942" i="5"/>
  <c r="F194" i="7" s="1"/>
  <c r="F2052" i="5"/>
  <c r="E396" i="7" s="1"/>
  <c r="H295" i="5"/>
  <c r="F59" i="7" s="1"/>
  <c r="B2603" i="5"/>
  <c r="B516" i="7" s="1"/>
  <c r="B587" i="5"/>
  <c r="L126" i="7" s="1"/>
  <c r="D725" i="5"/>
  <c r="D154" i="7" s="1"/>
  <c r="B1707" i="5"/>
  <c r="L344" i="7" s="1"/>
  <c r="C1615" i="5"/>
  <c r="C322" i="7" s="1"/>
  <c r="P2316" i="5"/>
  <c r="J444" i="7" s="1"/>
  <c r="U8" i="5"/>
  <c r="B186" i="5"/>
  <c r="L50" i="7" s="1"/>
  <c r="B316" i="5"/>
  <c r="L69" i="7" s="1"/>
  <c r="B2318" i="5"/>
  <c r="B446" i="7" s="1"/>
  <c r="H1616" i="5"/>
  <c r="F323" i="7" s="1"/>
  <c r="J1983" i="5"/>
  <c r="G384" i="7" s="1"/>
  <c r="F1841" i="5"/>
  <c r="E363" i="7" s="1"/>
  <c r="B2185" i="5"/>
  <c r="B417" i="7" s="1"/>
  <c r="B191" i="5"/>
  <c r="L55" i="7" s="1"/>
  <c r="T2383" i="5"/>
  <c r="L459" i="7" s="1"/>
  <c r="J1467" i="5"/>
  <c r="G294" i="7" s="1"/>
  <c r="D1322" i="5"/>
  <c r="D268" i="7" s="1"/>
  <c r="C1" i="7"/>
  <c r="M1" i="7" s="1"/>
  <c r="B1330" i="5"/>
  <c r="L268" i="7" s="1"/>
  <c r="F1022" i="5"/>
  <c r="E211" i="7" s="1"/>
  <c r="B307" i="5"/>
  <c r="L60" i="7" s="1"/>
  <c r="P2384" i="5"/>
  <c r="J460" i="7" s="1"/>
  <c r="H652" i="5"/>
  <c r="F140" i="7" s="1"/>
  <c r="H2243" i="5"/>
  <c r="F423" i="7" s="1"/>
  <c r="F167" i="5"/>
  <c r="E42" i="7" s="1"/>
  <c r="L1250" i="5"/>
  <c r="H255" i="7" s="1"/>
  <c r="B2178" i="5"/>
  <c r="B410" i="7" s="1"/>
  <c r="B740" i="5"/>
  <c r="L161" i="7" s="1"/>
  <c r="H167" i="5"/>
  <c r="F42" i="7" s="1"/>
  <c r="C294" i="5"/>
  <c r="C58" i="7" s="1"/>
  <c r="B377" i="5"/>
  <c r="L72" i="7" s="1"/>
  <c r="B104" i="5"/>
  <c r="L30" i="7" s="1"/>
  <c r="E967" i="5"/>
  <c r="M207" i="7" s="1"/>
  <c r="L1171" i="5"/>
  <c r="H238" i="7" s="1"/>
  <c r="B2609" i="5"/>
  <c r="K504" i="7" s="1"/>
  <c r="D1542" i="5"/>
  <c r="D309" i="7" s="1"/>
  <c r="B808" i="5"/>
  <c r="L170" i="7" s="1"/>
  <c r="L1542" i="5"/>
  <c r="H309" i="7" s="1"/>
  <c r="J2534" i="5"/>
  <c r="G499" i="7" s="1"/>
  <c r="J1171" i="5"/>
  <c r="G238" i="7" s="1"/>
  <c r="D12" i="5"/>
  <c r="D9" i="7" s="1"/>
  <c r="P2383" i="5"/>
  <c r="J459" i="7" s="1"/>
  <c r="C1393" i="5"/>
  <c r="C280" i="7" s="1"/>
  <c r="B1339" i="5"/>
  <c r="L277" i="7" s="1"/>
  <c r="B1556" i="5"/>
  <c r="L314" i="7" s="1"/>
  <c r="B2253" i="5"/>
  <c r="B433" i="7" s="1"/>
  <c r="C798" i="5"/>
  <c r="C168" i="7" s="1"/>
  <c r="B109" i="5"/>
  <c r="L35" i="7" s="1"/>
  <c r="D1616" i="5"/>
  <c r="D323" i="7" s="1"/>
  <c r="B1924" i="5"/>
  <c r="B1992" i="5"/>
  <c r="C2614" i="5"/>
  <c r="L509" i="7" s="1"/>
  <c r="L2316" i="5"/>
  <c r="H444" i="7" s="1"/>
  <c r="B1778" i="5"/>
  <c r="L351" i="7" s="1"/>
  <c r="B1476" i="5"/>
  <c r="L294" i="7" s="1"/>
  <c r="B1706" i="5"/>
  <c r="L343" i="7" s="1"/>
  <c r="B1699" i="5"/>
  <c r="L336" i="7" s="1"/>
  <c r="F2051" i="5"/>
  <c r="E395" i="7" s="1"/>
  <c r="J1842" i="5"/>
  <c r="G364" i="7" s="1"/>
  <c r="C1690" i="5"/>
  <c r="C336" i="7" s="1"/>
  <c r="B388" i="5"/>
  <c r="L83" i="7" s="1"/>
  <c r="B1633" i="5"/>
  <c r="L330" i="7" s="1"/>
  <c r="F1467" i="5"/>
  <c r="E294" i="7" s="1"/>
  <c r="H869" i="5"/>
  <c r="F180" i="7" s="1"/>
  <c r="C1917" i="5"/>
  <c r="C376" i="7" s="1"/>
  <c r="B957" i="5"/>
  <c r="L197" i="7" s="1"/>
  <c r="B302" i="5"/>
  <c r="D2050" i="5"/>
  <c r="D394" i="7" s="1"/>
  <c r="D1764" i="5"/>
  <c r="D350" i="7" s="1"/>
  <c r="B1860" i="5"/>
  <c r="L369" i="7" s="1"/>
  <c r="D2052" i="5"/>
  <c r="D396" i="7" s="1"/>
  <c r="D579" i="5"/>
  <c r="D127" i="7" s="1"/>
  <c r="F2534" i="5"/>
  <c r="E499" i="7" s="1"/>
  <c r="B2593" i="5"/>
  <c r="B506" i="7" s="1"/>
  <c r="B189" i="5"/>
  <c r="L53" i="7" s="1"/>
  <c r="B190" i="5"/>
  <c r="L54" i="7" s="1"/>
  <c r="J2176" i="5"/>
  <c r="G408" i="7" s="1"/>
  <c r="B2595" i="5"/>
  <c r="B508" i="7" s="1"/>
  <c r="R7" i="5"/>
  <c r="B1329" i="5"/>
  <c r="L267" i="7" s="1"/>
  <c r="L944" i="5"/>
  <c r="H196" i="7" s="1"/>
  <c r="J2244" i="5"/>
  <c r="G424" i="7" s="1"/>
  <c r="B1263" i="5"/>
  <c r="L260" i="7" s="1"/>
  <c r="B875" i="5"/>
  <c r="F2316" i="5"/>
  <c r="E444" i="7" s="1"/>
  <c r="B2060" i="5"/>
  <c r="B1116" i="5"/>
  <c r="L234" i="7" s="1"/>
  <c r="J1320" i="5"/>
  <c r="G266" i="7" s="1"/>
  <c r="F1842" i="5"/>
  <c r="E364" i="7" s="1"/>
  <c r="B2328" i="5"/>
  <c r="B1627" i="5"/>
  <c r="L324" i="7" s="1"/>
  <c r="F93" i="5"/>
  <c r="E27" i="7" s="1"/>
  <c r="C2534" i="5"/>
  <c r="C499" i="7" s="1"/>
  <c r="C1394" i="5"/>
  <c r="C281" i="7" s="1"/>
  <c r="B1261" i="5"/>
  <c r="L258" i="7" s="1"/>
  <c r="C2609" i="5"/>
  <c r="L504" i="7" s="1"/>
  <c r="M8" i="5"/>
  <c r="F1542" i="5"/>
  <c r="E309" i="7" s="1"/>
  <c r="H2116" i="5"/>
  <c r="F402" i="7" s="1"/>
  <c r="B166" i="5"/>
  <c r="B41" i="7" s="1"/>
  <c r="T2175" i="5"/>
  <c r="L407" i="7" s="1"/>
  <c r="F2592" i="5"/>
  <c r="E505" i="7" s="1"/>
  <c r="F797" i="5"/>
  <c r="E167" i="7" s="1"/>
  <c r="C651" i="5"/>
  <c r="C139" i="7" s="1"/>
  <c r="D94" i="5"/>
  <c r="D28" i="7" s="1"/>
  <c r="J1541" i="5"/>
  <c r="G308" i="7" s="1"/>
  <c r="L2176" i="5"/>
  <c r="H408" i="7" s="1"/>
  <c r="D92" i="5"/>
  <c r="D26" i="7" s="1"/>
  <c r="B1328" i="5"/>
  <c r="L266" i="7" s="1"/>
  <c r="T2243" i="5"/>
  <c r="L423" i="7" s="1"/>
  <c r="B1035" i="5"/>
  <c r="L212" i="7" s="1"/>
  <c r="B723" i="5"/>
  <c r="B152" i="7" s="1"/>
  <c r="B111" i="5"/>
  <c r="L37" i="7" s="1"/>
  <c r="B1708" i="5"/>
  <c r="L345" i="7" s="1"/>
  <c r="C577" i="5"/>
  <c r="C125" i="7" s="1"/>
  <c r="C1248" i="5"/>
  <c r="C253" i="7" s="1"/>
  <c r="B657" i="5"/>
  <c r="B12" i="5"/>
  <c r="B9" i="7" s="1"/>
  <c r="B1853" i="5"/>
  <c r="L362" i="7" s="1"/>
  <c r="C943" i="5"/>
  <c r="C195" i="7" s="1"/>
  <c r="C1765" i="5"/>
  <c r="C351" i="7" s="1"/>
  <c r="H653" i="5"/>
  <c r="F141" i="7" s="1"/>
  <c r="F1395" i="5"/>
  <c r="E282" i="7" s="1"/>
  <c r="J1099" i="5"/>
  <c r="G225" i="7" s="1"/>
  <c r="L870" i="5"/>
  <c r="H181" i="7" s="1"/>
  <c r="L1100" i="5"/>
  <c r="H226" i="7" s="1"/>
  <c r="C12" i="5"/>
  <c r="C9" i="7" s="1"/>
  <c r="H1395" i="5"/>
  <c r="F282" i="7" s="1"/>
  <c r="R2244" i="5"/>
  <c r="K424" i="7" s="1"/>
  <c r="E4" i="5"/>
  <c r="D3" i="7" s="1"/>
  <c r="B188" i="5"/>
  <c r="L52" i="7" s="1"/>
  <c r="B1554" i="5"/>
  <c r="L312" i="7" s="1"/>
  <c r="B384" i="5"/>
  <c r="L79" i="7" s="1"/>
  <c r="B1408" i="5"/>
  <c r="L286" i="7" s="1"/>
  <c r="B733" i="5"/>
  <c r="L154" i="7" s="1"/>
  <c r="L653" i="5"/>
  <c r="H141" i="7" s="1"/>
  <c r="F1173" i="5"/>
  <c r="E240" i="7" s="1"/>
  <c r="J1395" i="5"/>
  <c r="G282" i="7" s="1"/>
  <c r="B1700" i="5"/>
  <c r="L337" i="7" s="1"/>
  <c r="L1321" i="5"/>
  <c r="H267" i="7" s="1"/>
  <c r="H1322" i="5"/>
  <c r="F268" i="7" s="1"/>
  <c r="J579" i="5"/>
  <c r="G127" i="7" s="1"/>
  <c r="H1763" i="5"/>
  <c r="F349" i="7" s="1"/>
  <c r="L7" i="5"/>
  <c r="D295" i="5"/>
  <c r="D59" i="7" s="1"/>
  <c r="B1855" i="5"/>
  <c r="L364" i="7" s="1"/>
  <c r="J1021" i="5"/>
  <c r="G210" i="7" s="1"/>
  <c r="J724" i="5"/>
  <c r="G153" i="7" s="1"/>
  <c r="B2317" i="5"/>
  <c r="B445" i="7" s="1"/>
  <c r="B2671" i="5"/>
  <c r="B523" i="7" s="1"/>
  <c r="F798" i="5"/>
  <c r="E168" i="7" s="1"/>
  <c r="H1250" i="5"/>
  <c r="F255" i="7" s="1"/>
  <c r="B2260" i="5"/>
  <c r="B2187" i="5"/>
  <c r="H294" i="5"/>
  <c r="F58" i="7" s="1"/>
  <c r="H1468" i="5"/>
  <c r="F295" i="7" s="1"/>
  <c r="B2610" i="5"/>
  <c r="K505" i="7" s="1"/>
  <c r="C168" i="5"/>
  <c r="C43" i="7" s="1"/>
  <c r="F579" i="5"/>
  <c r="E127" i="7" s="1"/>
  <c r="C653" i="5"/>
  <c r="C141" i="7" s="1"/>
  <c r="B956" i="5"/>
  <c r="L196" i="7" s="1"/>
  <c r="B38" i="5"/>
  <c r="L23" i="7" s="1"/>
  <c r="B666" i="5"/>
  <c r="L146" i="7" s="1"/>
  <c r="F1393" i="5"/>
  <c r="E280" i="7" s="1"/>
  <c r="B2669" i="5"/>
  <c r="B521" i="7" s="1"/>
  <c r="H1099" i="5"/>
  <c r="F225" i="7" s="1"/>
  <c r="C796" i="5"/>
  <c r="C166" i="7" s="1"/>
  <c r="L1022" i="5"/>
  <c r="H211" i="7" s="1"/>
  <c r="B595" i="5"/>
  <c r="L134" i="7" s="1"/>
  <c r="B2404" i="5" l="1"/>
  <c r="C476" i="7" s="1"/>
  <c r="T476" i="5"/>
  <c r="B468" i="5"/>
  <c r="B464" i="5"/>
  <c r="E475" i="5"/>
  <c r="B472" i="5"/>
  <c r="B462" i="5"/>
  <c r="F455" i="5"/>
  <c r="D455" i="5"/>
  <c r="C455" i="5"/>
  <c r="F454" i="5"/>
  <c r="B471" i="5"/>
  <c r="D454" i="5"/>
  <c r="F456" i="5"/>
  <c r="B474" i="5"/>
  <c r="D456" i="5"/>
  <c r="S452" i="5"/>
  <c r="B475" i="5"/>
  <c r="B467" i="5"/>
  <c r="B466" i="5"/>
  <c r="C454" i="5"/>
  <c r="B454" i="5"/>
  <c r="C456" i="5"/>
  <c r="B465" i="5"/>
  <c r="B473" i="5"/>
  <c r="B469" i="5"/>
  <c r="H473" i="7"/>
  <c r="H492" i="7"/>
  <c r="F472" i="7"/>
  <c r="F491" i="7"/>
  <c r="D474" i="7"/>
  <c r="D493" i="7"/>
  <c r="D473" i="7"/>
  <c r="D492" i="7"/>
  <c r="F474" i="7"/>
  <c r="F493" i="7"/>
  <c r="H474" i="7"/>
  <c r="H493" i="7"/>
  <c r="W2185" i="5"/>
  <c r="M417" i="7" s="1"/>
  <c r="D472" i="7"/>
  <c r="D491" i="7"/>
  <c r="F473" i="7"/>
  <c r="F492" i="7"/>
  <c r="H472" i="7"/>
  <c r="H491" i="7"/>
  <c r="B2381" i="5"/>
  <c r="T2531" i="5" s="1"/>
  <c r="B361" i="7"/>
  <c r="B503" i="7"/>
  <c r="B71" i="7"/>
  <c r="B1688" i="5"/>
  <c r="T1761" i="5" s="1"/>
  <c r="B1913" i="5"/>
  <c r="S1981" i="5" s="1"/>
  <c r="B111" i="7"/>
  <c r="B8" i="7"/>
  <c r="B474" i="7"/>
  <c r="B493" i="7"/>
  <c r="B472" i="7"/>
  <c r="B491" i="7"/>
  <c r="B164" i="5"/>
  <c r="S291" i="5" s="1"/>
  <c r="B348" i="7"/>
  <c r="B471" i="7"/>
  <c r="B490" i="7"/>
  <c r="D57" i="7"/>
  <c r="B90" i="5"/>
  <c r="S164" i="5" s="1"/>
  <c r="B473" i="7"/>
  <c r="B492" i="7"/>
  <c r="B237" i="7"/>
  <c r="B406" i="7"/>
  <c r="B2434" i="5"/>
  <c r="B488" i="7" s="1"/>
  <c r="B2430" i="5"/>
  <c r="B484" i="7" s="1"/>
  <c r="B2429" i="5"/>
  <c r="B483" i="7" s="1"/>
  <c r="B2428" i="5"/>
  <c r="B482" i="7" s="1"/>
  <c r="B2433" i="5"/>
  <c r="B487" i="7" s="1"/>
  <c r="B2435" i="5"/>
  <c r="B489" i="7" s="1"/>
  <c r="B2432" i="5"/>
  <c r="B486" i="7" s="1"/>
  <c r="B2431" i="5"/>
  <c r="B485" i="7" s="1"/>
  <c r="B2427" i="5"/>
  <c r="B481" i="7" s="1"/>
  <c r="B2445" i="5"/>
  <c r="C495" i="7" s="1"/>
  <c r="E2241" i="5"/>
  <c r="F422" i="7" s="1"/>
  <c r="E2313" i="5"/>
  <c r="F442" i="7" s="1"/>
  <c r="E2438" i="5"/>
  <c r="T940" i="5"/>
  <c r="T817" i="5"/>
  <c r="D1709" i="5"/>
  <c r="W2321" i="5"/>
  <c r="M449" i="7" s="1"/>
  <c r="W2254" i="5"/>
  <c r="M434" i="7" s="1"/>
  <c r="L395" i="7"/>
  <c r="L399" i="7"/>
  <c r="T2405" i="5"/>
  <c r="B2398" i="5"/>
  <c r="E2397" i="5"/>
  <c r="D471" i="7" s="1"/>
  <c r="B2399" i="5"/>
  <c r="B2400" i="5"/>
  <c r="B2397" i="5"/>
  <c r="B2402" i="5"/>
  <c r="AE168" i="5"/>
  <c r="U1415" i="5"/>
  <c r="B293" i="7"/>
  <c r="E26" i="7"/>
  <c r="S40" i="5"/>
  <c r="D41" i="7"/>
  <c r="T2725" i="5"/>
  <c r="T1788" i="5"/>
  <c r="U1196" i="5"/>
  <c r="T1046" i="5"/>
  <c r="B223" i="7"/>
  <c r="T794" i="5"/>
  <c r="B151" i="7"/>
  <c r="T1318" i="5"/>
  <c r="T368" i="5"/>
  <c r="AC14" i="5"/>
  <c r="E9" i="7"/>
  <c r="T2539" i="5"/>
  <c r="T649" i="5"/>
  <c r="F57" i="7"/>
  <c r="D6" i="7"/>
  <c r="T2064" i="5"/>
  <c r="T390" i="5"/>
  <c r="T525" i="5"/>
  <c r="E41" i="7"/>
  <c r="S502" i="5"/>
  <c r="T318" i="5"/>
  <c r="T1119" i="5"/>
  <c r="T1246" i="5"/>
  <c r="B265" i="7"/>
  <c r="U1268" i="5"/>
  <c r="T1391" i="5"/>
  <c r="B279" i="7"/>
  <c r="T1465" i="5"/>
  <c r="U1341" i="5"/>
  <c r="T599" i="5"/>
  <c r="B138" i="7"/>
  <c r="T721" i="5"/>
  <c r="T2241" i="5"/>
  <c r="T2123" i="5"/>
  <c r="T2191" i="5"/>
  <c r="T2313" i="5"/>
  <c r="B165" i="7"/>
  <c r="T744" i="5"/>
  <c r="T867" i="5"/>
  <c r="T968" i="5"/>
  <c r="T1096" i="5"/>
  <c r="B321" i="7"/>
  <c r="T1688" i="5"/>
  <c r="U1563" i="5"/>
  <c r="T1931" i="5"/>
  <c r="W2257" i="5"/>
  <c r="M437" i="7" s="1"/>
  <c r="T1613" i="5"/>
  <c r="T1863" i="5"/>
  <c r="T2617" i="5"/>
  <c r="AD2617" i="5" s="1"/>
  <c r="AE2617" i="5" s="1"/>
  <c r="T2446" i="5"/>
  <c r="B422" i="7"/>
  <c r="B307" i="7"/>
  <c r="B383" i="7"/>
  <c r="U1711" i="5"/>
  <c r="D1701" i="5"/>
  <c r="T2331" i="5"/>
  <c r="T2381" i="5"/>
  <c r="T2114" i="5"/>
  <c r="B208" i="7"/>
  <c r="D1700" i="5"/>
  <c r="T1018" i="5"/>
  <c r="T1998" i="5"/>
  <c r="T2589" i="5"/>
  <c r="D112" i="5"/>
  <c r="M498" i="7"/>
  <c r="D516" i="7"/>
  <c r="C2426" i="5"/>
  <c r="C480" i="7" s="1"/>
  <c r="C2425" i="5"/>
  <c r="C479" i="7" s="1"/>
  <c r="D2425" i="5"/>
  <c r="D479" i="7" s="1"/>
  <c r="E2423" i="5"/>
  <c r="F478" i="7" s="1"/>
  <c r="H2426" i="5"/>
  <c r="F480" i="7" s="1"/>
  <c r="H2425" i="5"/>
  <c r="F479" i="7" s="1"/>
  <c r="T2423" i="5"/>
  <c r="L2426" i="5"/>
  <c r="H480" i="7" s="1"/>
  <c r="L2425" i="5"/>
  <c r="H479" i="7" s="1"/>
  <c r="B2425" i="5"/>
  <c r="B479" i="7" s="1"/>
  <c r="D2426" i="5"/>
  <c r="D480" i="7" s="1"/>
  <c r="E57" i="7"/>
  <c r="L396" i="7"/>
  <c r="AC94" i="5"/>
  <c r="T1638" i="5" l="1"/>
  <c r="S114" i="5"/>
  <c r="D490" i="7"/>
</calcChain>
</file>

<file path=xl/sharedStrings.xml><?xml version="1.0" encoding="utf-8"?>
<sst xmlns="http://schemas.openxmlformats.org/spreadsheetml/2006/main" count="132" uniqueCount="77">
  <si>
    <t>1А</t>
  </si>
  <si>
    <t>2А</t>
  </si>
  <si>
    <t>1Б</t>
  </si>
  <si>
    <t>2Б</t>
  </si>
  <si>
    <t>А</t>
  </si>
  <si>
    <t>Б</t>
  </si>
  <si>
    <t>ENG</t>
  </si>
  <si>
    <t>7.1.</t>
  </si>
  <si>
    <t>5.1.</t>
  </si>
  <si>
    <t>5.2.</t>
  </si>
  <si>
    <t>5.3.</t>
  </si>
  <si>
    <t>7.2.</t>
  </si>
  <si>
    <t>8.1.</t>
  </si>
  <si>
    <t>4.0 - 4.9</t>
  </si>
  <si>
    <t>4.3.</t>
  </si>
  <si>
    <t>3А.3</t>
  </si>
  <si>
    <t>3А.5</t>
  </si>
  <si>
    <t>3.0 - 3.1</t>
  </si>
  <si>
    <t>4.0 - 4.2</t>
  </si>
  <si>
    <t>1.0 - 1.1</t>
  </si>
  <si>
    <t>4.0 - 4.1</t>
  </si>
  <si>
    <t>5.0 - 5.1</t>
  </si>
  <si>
    <t>3.0 - 3.3</t>
  </si>
  <si>
    <t>4.0 - 4.4</t>
  </si>
  <si>
    <t>5.0 - 5.5</t>
  </si>
  <si>
    <t>6.0 - 6.6</t>
  </si>
  <si>
    <t>1.0.</t>
  </si>
  <si>
    <t>7.0 - 7.1</t>
  </si>
  <si>
    <t>2.0 - 2.2</t>
  </si>
  <si>
    <t>2А.0 - 2А.1</t>
  </si>
  <si>
    <t>3А.0 - 3А.2</t>
  </si>
  <si>
    <t>7.0 - 7.2</t>
  </si>
  <si>
    <t>3.0 - 3.6</t>
  </si>
  <si>
    <t>6.0 - 6.1</t>
  </si>
  <si>
    <t>6А.1</t>
  </si>
  <si>
    <t>6А.5</t>
  </si>
  <si>
    <t>5А.1 - 5А.3</t>
  </si>
  <si>
    <t>5Б.3</t>
  </si>
  <si>
    <t>3А.1 - 3А.2</t>
  </si>
  <si>
    <t>1.0 - 1.3</t>
  </si>
  <si>
    <t>3.0 - 3.5</t>
  </si>
  <si>
    <t>4.0 - 4.8</t>
  </si>
  <si>
    <t>5.0 - 5.6</t>
  </si>
  <si>
    <t>6.0 - 6.4</t>
  </si>
  <si>
    <t>8.0 - 8.5</t>
  </si>
  <si>
    <t>1.0 - 1.8</t>
  </si>
  <si>
    <t>2.1 - 2.4</t>
  </si>
  <si>
    <t>3.0 - 3.4</t>
  </si>
  <si>
    <t>1.0 - 1.6</t>
  </si>
  <si>
    <t>2.1 - 2.3</t>
  </si>
  <si>
    <t>1.0 - 1.5</t>
  </si>
  <si>
    <t>1.6 - 1.8</t>
  </si>
  <si>
    <t>4.5 - 4.6</t>
  </si>
  <si>
    <t>L1.0 - 1.1</t>
  </si>
  <si>
    <t>L3.0 - 3.2</t>
  </si>
  <si>
    <t>L4.0 - 4.1</t>
  </si>
  <si>
    <t>L5.0 - 5.1</t>
  </si>
  <si>
    <t>L6.0 - 6.1</t>
  </si>
  <si>
    <t>Ціна 1</t>
  </si>
  <si>
    <t>Ціна 2</t>
  </si>
  <si>
    <t>Ціна 3</t>
  </si>
  <si>
    <t>Ціна 4</t>
  </si>
  <si>
    <t>Ціна 5</t>
  </si>
  <si>
    <t>Ціна 6</t>
  </si>
  <si>
    <t>Ціна 7</t>
  </si>
  <si>
    <t>Ціна 8</t>
  </si>
  <si>
    <t>без ПДВ</t>
  </si>
  <si>
    <t>UA</t>
  </si>
  <si>
    <t xml:space="preserve"> </t>
  </si>
  <si>
    <t>Ціна 9</t>
  </si>
  <si>
    <t>Ціна 10</t>
  </si>
  <si>
    <t>1.0-1.1</t>
  </si>
  <si>
    <t>1А.1</t>
  </si>
  <si>
    <t>2.0-2.1</t>
  </si>
  <si>
    <t>2А.1</t>
  </si>
  <si>
    <t>3.0-3.1</t>
  </si>
  <si>
    <t>замок Magnet чорн.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</si>
</sst>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#,##0.0"/>
    <numFmt numFmtId="167" formatCode="#,##0\ [$грн.-422]"/>
  </numFmts>
  <fonts count="55">
    <font>
      <sz val="10"/>
      <name val="Arial Cyr"/>
      <charset val="204"/>
    </font>
    <font>
      <sz val="10"/>
      <name val="Arial Cyr"/>
      <charset val="204"/>
    </font>
    <font>
      <b/>
      <sz val="8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Arial Cyr"/>
      <charset val="204"/>
    </font>
    <font>
      <sz val="8"/>
      <name val="Times New Roman"/>
      <family val="1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9"/>
      <name val="Arial Cyr"/>
      <charset val="204"/>
    </font>
    <font>
      <sz val="10"/>
      <color indexed="9"/>
      <name val="Arial Cyr"/>
      <charset val="204"/>
    </font>
    <font>
      <sz val="8"/>
      <color indexed="22"/>
      <name val="Arial Cyr"/>
      <charset val="204"/>
    </font>
    <font>
      <b/>
      <sz val="10"/>
      <color indexed="17"/>
      <name val="Arial"/>
      <family val="2"/>
      <charset val="204"/>
    </font>
    <font>
      <sz val="8"/>
      <name val="Arial"/>
      <family val="2"/>
      <charset val="204"/>
    </font>
    <font>
      <b/>
      <sz val="10"/>
      <color indexed="17"/>
      <name val="Times New Roman"/>
      <family val="1"/>
      <charset val="204"/>
    </font>
    <font>
      <b/>
      <i/>
      <sz val="10"/>
      <name val="Arial Cyr"/>
      <charset val="204"/>
    </font>
    <font>
      <i/>
      <sz val="8"/>
      <name val="Arial Cyr"/>
      <charset val="204"/>
    </font>
    <font>
      <u/>
      <sz val="8.5"/>
      <color indexed="12"/>
      <name val="Arial Cyr"/>
      <charset val="204"/>
    </font>
    <font>
      <sz val="10"/>
      <name val="Door_Gordana"/>
      <charset val="204"/>
    </font>
    <font>
      <b/>
      <sz val="10"/>
      <name val="Door_Gordana"/>
      <charset val="204"/>
    </font>
    <font>
      <sz val="10"/>
      <name val="Times New Roman"/>
      <family val="1"/>
      <charset val="204"/>
    </font>
    <font>
      <b/>
      <u/>
      <sz val="10"/>
      <color indexed="12"/>
      <name val="Arial Cyr"/>
      <charset val="204"/>
    </font>
    <font>
      <b/>
      <sz val="9"/>
      <color indexed="17"/>
      <name val="Times New Roman"/>
      <family val="1"/>
      <charset val="204"/>
    </font>
    <font>
      <b/>
      <i/>
      <sz val="8"/>
      <color indexed="12"/>
      <name val="Times New Roman"/>
      <family val="1"/>
      <charset val="204"/>
    </font>
    <font>
      <b/>
      <sz val="8"/>
      <name val="Arial"/>
      <family val="2"/>
      <charset val="204"/>
    </font>
    <font>
      <b/>
      <i/>
      <sz val="8"/>
      <name val="Times New Roman"/>
      <family val="1"/>
      <charset val="204"/>
    </font>
    <font>
      <b/>
      <sz val="8"/>
      <name val="Arial Cyr"/>
      <charset val="204"/>
    </font>
    <font>
      <b/>
      <sz val="8"/>
      <color indexed="10"/>
      <name val="Times New Roman"/>
      <family val="1"/>
      <charset val="204"/>
    </font>
    <font>
      <b/>
      <sz val="10"/>
      <color indexed="9"/>
      <name val="Times New Roman"/>
      <family val="1"/>
      <charset val="204"/>
    </font>
    <font>
      <b/>
      <sz val="8"/>
      <color indexed="10"/>
      <name val="Arial"/>
      <family val="2"/>
      <charset val="204"/>
    </font>
    <font>
      <b/>
      <sz val="8"/>
      <color indexed="12"/>
      <name val="Times New Roman"/>
      <family val="1"/>
      <charset val="204"/>
    </font>
    <font>
      <b/>
      <sz val="7"/>
      <color indexed="12"/>
      <name val="Times New Roman"/>
      <family val="1"/>
      <charset val="204"/>
    </font>
    <font>
      <sz val="8"/>
      <color indexed="12"/>
      <name val="Times New Roman"/>
      <family val="1"/>
      <charset val="204"/>
    </font>
    <font>
      <sz val="8"/>
      <color indexed="10"/>
      <name val="Times New Roman"/>
      <family val="1"/>
      <charset val="204"/>
    </font>
    <font>
      <i/>
      <sz val="8"/>
      <color indexed="12"/>
      <name val="Times New Roman"/>
      <family val="1"/>
      <charset val="204"/>
    </font>
    <font>
      <sz val="8"/>
      <color indexed="9"/>
      <name val="Arial"/>
      <family val="2"/>
      <charset val="204"/>
    </font>
    <font>
      <b/>
      <sz val="8"/>
      <color indexed="12"/>
      <name val="Arial"/>
      <family val="2"/>
      <charset val="204"/>
    </font>
    <font>
      <sz val="8"/>
      <color indexed="23"/>
      <name val="Arial Cyr"/>
      <charset val="204"/>
    </font>
    <font>
      <b/>
      <i/>
      <sz val="8"/>
      <color indexed="23"/>
      <name val="Arial Cyr"/>
      <charset val="204"/>
    </font>
    <font>
      <sz val="10"/>
      <color indexed="23"/>
      <name val="Arial Cyr"/>
      <charset val="204"/>
    </font>
    <font>
      <b/>
      <sz val="10"/>
      <color indexed="23"/>
      <name val="Arial Cyr"/>
      <charset val="204"/>
    </font>
    <font>
      <b/>
      <sz val="10"/>
      <color indexed="10"/>
      <name val="Times New Roman"/>
      <family val="1"/>
      <charset val="204"/>
    </font>
    <font>
      <sz val="8"/>
      <color indexed="22"/>
      <name val="Times New Roman"/>
      <family val="1"/>
      <charset val="204"/>
    </font>
    <font>
      <b/>
      <i/>
      <sz val="10"/>
      <name val="Times New Roman"/>
      <family val="1"/>
      <charset val="204"/>
    </font>
    <font>
      <i/>
      <sz val="8"/>
      <color indexed="23"/>
      <name val="Times New Roman"/>
      <family val="1"/>
      <charset val="204"/>
    </font>
    <font>
      <sz val="10"/>
      <color indexed="10"/>
      <name val="Arial Cyr"/>
      <charset val="204"/>
    </font>
    <font>
      <sz val="10"/>
      <color indexed="10"/>
      <name val="Arial"/>
      <family val="2"/>
      <charset val="204"/>
    </font>
    <font>
      <b/>
      <sz val="6"/>
      <name val="Times New Roman"/>
      <family val="1"/>
      <charset val="204"/>
    </font>
    <font>
      <b/>
      <sz val="10"/>
      <color indexed="10"/>
      <name val="Arial Cyr"/>
      <charset val="204"/>
    </font>
    <font>
      <b/>
      <sz val="10"/>
      <color indexed="12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b/>
      <sz val="8"/>
      <color rgb="FFFF0000"/>
      <name val="Arial"/>
      <family val="2"/>
      <charset val="204"/>
    </font>
    <font>
      <sz val="10"/>
      <color rgb="FFFF0000"/>
      <name val="Arial Cyr"/>
      <charset val="204"/>
    </font>
    <font>
      <sz val="8"/>
      <color theme="1"/>
      <name val="Times New Roman"/>
      <family val="1"/>
      <charset val="204"/>
    </font>
    <font>
      <sz val="8"/>
      <color theme="1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7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567">
    <xf numFmtId="0" fontId="0" fillId="0" borderId="0" xfId="0"/>
    <xf numFmtId="0" fontId="0" fillId="0" borderId="0" xfId="0" applyProtection="1">
      <protection hidden="1"/>
    </xf>
    <xf numFmtId="9" fontId="10" fillId="0" borderId="0" xfId="0" applyNumberFormat="1" applyFont="1" applyProtection="1">
      <protection hidden="1"/>
    </xf>
    <xf numFmtId="0" fontId="10" fillId="2" borderId="0" xfId="0" applyFont="1" applyFill="1" applyProtection="1">
      <protection hidden="1"/>
    </xf>
    <xf numFmtId="0" fontId="9" fillId="0" borderId="0" xfId="0" applyFont="1" applyProtection="1">
      <protection hidden="1"/>
    </xf>
    <xf numFmtId="0" fontId="8" fillId="0" borderId="0" xfId="0" applyFont="1" applyAlignment="1" applyProtection="1">
      <protection hidden="1"/>
    </xf>
    <xf numFmtId="0" fontId="7" fillId="0" borderId="1" xfId="0" applyFont="1" applyBorder="1" applyAlignment="1" applyProtection="1">
      <alignment horizontal="center" wrapText="1"/>
      <protection hidden="1"/>
    </xf>
    <xf numFmtId="0" fontId="7" fillId="3" borderId="2" xfId="0" applyFont="1" applyFill="1" applyBorder="1" applyAlignment="1" applyProtection="1">
      <alignment horizontal="center" wrapText="1"/>
      <protection hidden="1"/>
    </xf>
    <xf numFmtId="0" fontId="0" fillId="0" borderId="0" xfId="0" applyFill="1" applyProtection="1">
      <protection hidden="1"/>
    </xf>
    <xf numFmtId="0" fontId="2" fillId="0" borderId="3" xfId="0" applyFont="1" applyFill="1" applyBorder="1" applyAlignment="1" applyProtection="1">
      <alignment horizontal="center" wrapText="1"/>
      <protection hidden="1"/>
    </xf>
    <xf numFmtId="0" fontId="2" fillId="0" borderId="0" xfId="0" applyFont="1" applyFill="1" applyBorder="1" applyAlignment="1" applyProtection="1">
      <alignment horizontal="center" wrapText="1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6" fillId="0" borderId="4" xfId="0" applyFont="1" applyBorder="1" applyAlignment="1" applyProtection="1">
      <alignment horizontal="left" vertical="center" indent="2"/>
      <protection hidden="1"/>
    </xf>
    <xf numFmtId="0" fontId="4" fillId="0" borderId="5" xfId="0" applyFont="1" applyBorder="1" applyAlignment="1" applyProtection="1">
      <alignment horizontal="right" vertical="center"/>
      <protection hidden="1"/>
    </xf>
    <xf numFmtId="3" fontId="6" fillId="0" borderId="4" xfId="0" applyNumberFormat="1" applyFont="1" applyBorder="1" applyAlignment="1" applyProtection="1">
      <alignment horizontal="center" vertical="center" wrapText="1"/>
      <protection hidden="1"/>
    </xf>
    <xf numFmtId="0" fontId="6" fillId="0" borderId="6" xfId="0" applyFont="1" applyBorder="1" applyAlignment="1" applyProtection="1">
      <alignment horizontal="left" vertical="center" indent="2"/>
      <protection hidden="1"/>
    </xf>
    <xf numFmtId="0" fontId="4" fillId="0" borderId="7" xfId="0" applyFont="1" applyBorder="1" applyAlignment="1" applyProtection="1">
      <alignment horizontal="right" vertical="center"/>
      <protection hidden="1"/>
    </xf>
    <xf numFmtId="3" fontId="6" fillId="0" borderId="6" xfId="0" applyNumberFormat="1" applyFont="1" applyBorder="1" applyAlignment="1" applyProtection="1">
      <alignment horizontal="center" vertical="center" wrapText="1"/>
      <protection hidden="1"/>
    </xf>
    <xf numFmtId="2" fontId="11" fillId="0" borderId="0" xfId="0" applyNumberFormat="1" applyFont="1" applyAlignment="1" applyProtection="1">
      <alignment horizontal="center" vertical="center"/>
      <protection hidden="1"/>
    </xf>
    <xf numFmtId="4" fontId="0" fillId="0" borderId="0" xfId="0" applyNumberFormat="1" applyProtection="1">
      <protection hidden="1"/>
    </xf>
    <xf numFmtId="4" fontId="5" fillId="0" borderId="0" xfId="0" applyNumberFormat="1" applyFont="1" applyFill="1" applyProtection="1">
      <protection hidden="1"/>
    </xf>
    <xf numFmtId="3" fontId="0" fillId="0" borderId="0" xfId="0" applyNumberFormat="1" applyProtection="1">
      <protection hidden="1"/>
    </xf>
    <xf numFmtId="0" fontId="6" fillId="0" borderId="8" xfId="0" applyFont="1" applyBorder="1" applyAlignment="1" applyProtection="1">
      <alignment horizontal="left" vertical="center" indent="2"/>
      <protection hidden="1"/>
    </xf>
    <xf numFmtId="0" fontId="4" fillId="0" borderId="9" xfId="0" applyFont="1" applyBorder="1" applyAlignment="1" applyProtection="1">
      <alignment horizontal="right" vertical="center"/>
      <protection hidden="1"/>
    </xf>
    <xf numFmtId="3" fontId="6" fillId="0" borderId="8" xfId="0" applyNumberFormat="1" applyFont="1" applyBorder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/>
      <protection hidden="1"/>
    </xf>
    <xf numFmtId="0" fontId="15" fillId="0" borderId="0" xfId="0" applyFont="1" applyProtection="1">
      <protection hidden="1"/>
    </xf>
    <xf numFmtId="3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Protection="1">
      <protection hidden="1"/>
    </xf>
    <xf numFmtId="0" fontId="20" fillId="0" borderId="0" xfId="0" applyFont="1" applyFill="1" applyProtection="1">
      <protection hidden="1"/>
    </xf>
    <xf numFmtId="0" fontId="18" fillId="0" borderId="0" xfId="0" applyFont="1" applyProtection="1">
      <protection hidden="1"/>
    </xf>
    <xf numFmtId="0" fontId="20" fillId="0" borderId="0" xfId="0" applyFont="1" applyProtection="1"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0" borderId="0" xfId="0" applyFont="1" applyAlignment="1" applyProtection="1">
      <protection hidden="1"/>
    </xf>
    <xf numFmtId="0" fontId="19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0" fillId="0" borderId="0" xfId="0" applyBorder="1" applyProtection="1">
      <protection hidden="1"/>
    </xf>
    <xf numFmtId="0" fontId="8" fillId="0" borderId="0" xfId="0" applyFont="1" applyBorder="1" applyAlignment="1" applyProtection="1">
      <alignment horizontal="center"/>
      <protection hidden="1"/>
    </xf>
    <xf numFmtId="3" fontId="0" fillId="0" borderId="0" xfId="0" applyNumberFormat="1" applyFill="1" applyProtection="1">
      <protection hidden="1"/>
    </xf>
    <xf numFmtId="3" fontId="11" fillId="0" borderId="0" xfId="0" applyNumberFormat="1" applyFont="1" applyAlignment="1" applyProtection="1">
      <alignment horizontal="center" vertical="center"/>
      <protection hidden="1"/>
    </xf>
    <xf numFmtId="3" fontId="8" fillId="0" borderId="0" xfId="0" applyNumberFormat="1" applyFont="1" applyProtection="1">
      <protection hidden="1"/>
    </xf>
    <xf numFmtId="0" fontId="8" fillId="0" borderId="0" xfId="0" applyFont="1" applyFill="1" applyProtection="1">
      <protection hidden="1"/>
    </xf>
    <xf numFmtId="4" fontId="11" fillId="0" borderId="0" xfId="0" applyNumberFormat="1" applyFont="1" applyAlignment="1" applyProtection="1">
      <alignment horizontal="center" vertical="center"/>
      <protection hidden="1"/>
    </xf>
    <xf numFmtId="0" fontId="8" fillId="0" borderId="0" xfId="0" applyFont="1" applyProtection="1"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0" fontId="0" fillId="0" borderId="0" xfId="0" applyFill="1" applyBorder="1" applyProtection="1">
      <protection hidden="1"/>
    </xf>
    <xf numFmtId="0" fontId="6" fillId="0" borderId="1" xfId="0" applyFont="1" applyBorder="1" applyAlignment="1" applyProtection="1">
      <alignment horizontal="left" vertical="center" indent="2"/>
      <protection hidden="1"/>
    </xf>
    <xf numFmtId="0" fontId="4" fillId="0" borderId="2" xfId="0" applyFont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 wrapText="1"/>
      <protection hidden="1"/>
    </xf>
    <xf numFmtId="3" fontId="8" fillId="0" borderId="0" xfId="0" applyNumberFormat="1" applyFont="1" applyFill="1" applyBorder="1" applyProtection="1">
      <protection hidden="1"/>
    </xf>
    <xf numFmtId="3" fontId="6" fillId="0" borderId="10" xfId="0" applyNumberFormat="1" applyFont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/>
      <protection hidden="1"/>
    </xf>
    <xf numFmtId="0" fontId="4" fillId="0" borderId="0" xfId="0" applyFont="1" applyFill="1" applyBorder="1" applyAlignment="1" applyProtection="1">
      <alignment horizontal="center" vertical="center" wrapText="1"/>
      <protection hidden="1"/>
    </xf>
    <xf numFmtId="2" fontId="0" fillId="0" borderId="0" xfId="0" applyNumberFormat="1" applyFill="1" applyBorder="1" applyProtection="1">
      <protection hidden="1"/>
    </xf>
    <xf numFmtId="4" fontId="8" fillId="0" borderId="0" xfId="0" applyNumberFormat="1" applyFont="1" applyAlignment="1" applyProtection="1">
      <alignment horizontal="center"/>
      <protection hidden="1"/>
    </xf>
    <xf numFmtId="4" fontId="1" fillId="0" borderId="0" xfId="0" applyNumberFormat="1" applyFont="1" applyAlignment="1" applyProtection="1">
      <alignment horizontal="center"/>
      <protection hidden="1"/>
    </xf>
    <xf numFmtId="4" fontId="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protection hidden="1"/>
    </xf>
    <xf numFmtId="0" fontId="6" fillId="4" borderId="1" xfId="0" applyFont="1" applyFill="1" applyBorder="1" applyAlignment="1" applyProtection="1">
      <alignment horizontal="left" vertical="center" wrapText="1" indent="2"/>
      <protection hidden="1"/>
    </xf>
    <xf numFmtId="0" fontId="6" fillId="0" borderId="12" xfId="0" applyFont="1" applyFill="1" applyBorder="1" applyAlignment="1" applyProtection="1">
      <alignment vertical="center" wrapText="1"/>
      <protection hidden="1"/>
    </xf>
    <xf numFmtId="0" fontId="4" fillId="0" borderId="13" xfId="0" applyFont="1" applyBorder="1" applyAlignment="1" applyProtection="1">
      <alignment horizontal="left" vertical="center" wrapText="1" indent="1"/>
      <protection hidden="1"/>
    </xf>
    <xf numFmtId="4" fontId="2" fillId="3" borderId="1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1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3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left" vertical="center" wrapText="1" indent="1"/>
      <protection hidden="1"/>
    </xf>
    <xf numFmtId="166" fontId="6" fillId="0" borderId="8" xfId="0" applyNumberFormat="1" applyFont="1" applyBorder="1" applyAlignment="1" applyProtection="1">
      <alignment horizontal="center" vertical="center" wrapText="1"/>
      <protection hidden="1"/>
    </xf>
    <xf numFmtId="4" fontId="2" fillId="3" borderId="15" xfId="0" applyNumberFormat="1" applyFont="1" applyFill="1" applyBorder="1" applyAlignment="1" applyProtection="1">
      <alignment horizontal="center" vertical="center" wrapText="1"/>
      <protection hidden="1"/>
    </xf>
    <xf numFmtId="9" fontId="8" fillId="3" borderId="11" xfId="0" applyNumberFormat="1" applyFont="1" applyFill="1" applyBorder="1" applyAlignment="1" applyProtection="1">
      <alignment horizontal="center"/>
      <protection locked="0" hidden="1"/>
    </xf>
    <xf numFmtId="0" fontId="13" fillId="0" borderId="0" xfId="0" applyFont="1" applyProtection="1">
      <protection hidden="1"/>
    </xf>
    <xf numFmtId="9" fontId="12" fillId="0" borderId="0" xfId="2" applyFont="1" applyProtection="1">
      <protection hidden="1"/>
    </xf>
    <xf numFmtId="0" fontId="17" fillId="0" borderId="16" xfId="1" applyBorder="1" applyAlignment="1" applyProtection="1">
      <alignment horizontal="left" indent="1"/>
      <protection hidden="1"/>
    </xf>
    <xf numFmtId="0" fontId="13" fillId="0" borderId="16" xfId="0" applyFont="1" applyBorder="1" applyAlignment="1" applyProtection="1">
      <alignment horizontal="right"/>
      <protection hidden="1"/>
    </xf>
    <xf numFmtId="167" fontId="13" fillId="0" borderId="16" xfId="0" applyNumberFormat="1" applyFont="1" applyBorder="1" applyAlignment="1" applyProtection="1">
      <alignment horizontal="left"/>
      <protection hidden="1"/>
    </xf>
    <xf numFmtId="0" fontId="17" fillId="0" borderId="17" xfId="1" applyBorder="1" applyAlignment="1" applyProtection="1">
      <alignment horizontal="left" indent="1"/>
      <protection hidden="1"/>
    </xf>
    <xf numFmtId="0" fontId="13" fillId="0" borderId="17" xfId="0" applyFont="1" applyBorder="1" applyAlignment="1" applyProtection="1">
      <alignment horizontal="right"/>
      <protection hidden="1"/>
    </xf>
    <xf numFmtId="167" fontId="13" fillId="0" borderId="17" xfId="0" applyNumberFormat="1" applyFont="1" applyBorder="1" applyAlignment="1" applyProtection="1">
      <alignment horizontal="left"/>
      <protection hidden="1"/>
    </xf>
    <xf numFmtId="0" fontId="13" fillId="0" borderId="0" xfId="0" applyFont="1" applyAlignment="1" applyProtection="1">
      <alignment horizontal="left" indent="2"/>
      <protection hidden="1"/>
    </xf>
    <xf numFmtId="0" fontId="13" fillId="0" borderId="0" xfId="0" applyFont="1" applyAlignment="1" applyProtection="1">
      <alignment horizontal="left" indent="3"/>
      <protection hidden="1"/>
    </xf>
    <xf numFmtId="0" fontId="13" fillId="0" borderId="0" xfId="0" applyFont="1" applyAlignment="1" applyProtection="1">
      <alignment horizontal="left" indent="1"/>
      <protection hidden="1"/>
    </xf>
    <xf numFmtId="2" fontId="24" fillId="0" borderId="0" xfId="0" applyNumberFormat="1" applyFont="1" applyProtection="1">
      <protection hidden="1"/>
    </xf>
    <xf numFmtId="4" fontId="0" fillId="0" borderId="0" xfId="0" applyNumberFormat="1" applyAlignment="1" applyProtection="1">
      <protection hidden="1"/>
    </xf>
    <xf numFmtId="4" fontId="0" fillId="0" borderId="0" xfId="0" applyNumberFormat="1" applyFill="1" applyProtection="1">
      <protection hidden="1"/>
    </xf>
    <xf numFmtId="4" fontId="2" fillId="3" borderId="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8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center" wrapText="1"/>
      <protection hidden="1"/>
    </xf>
    <xf numFmtId="0" fontId="17" fillId="0" borderId="16" xfId="1" applyFont="1" applyBorder="1" applyAlignment="1" applyProtection="1">
      <alignment horizontal="left" indent="1"/>
      <protection hidden="1"/>
    </xf>
    <xf numFmtId="0" fontId="5" fillId="0" borderId="0" xfId="0" applyFont="1" applyProtection="1">
      <protection hidden="1"/>
    </xf>
    <xf numFmtId="14" fontId="26" fillId="0" borderId="0" xfId="0" applyNumberFormat="1" applyFont="1" applyAlignment="1" applyProtection="1">
      <alignment horizontal="center"/>
      <protection hidden="1"/>
    </xf>
    <xf numFmtId="2" fontId="8" fillId="0" borderId="0" xfId="0" applyNumberFormat="1" applyFont="1" applyAlignment="1" applyProtection="1">
      <protection hidden="1"/>
    </xf>
    <xf numFmtId="4" fontId="2" fillId="3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9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9" xfId="0" applyFont="1" applyBorder="1" applyAlignment="1" applyProtection="1">
      <alignment horizontal="right"/>
      <protection hidden="1"/>
    </xf>
    <xf numFmtId="3" fontId="6" fillId="0" borderId="0" xfId="0" applyNumberFormat="1" applyFont="1" applyBorder="1" applyAlignment="1" applyProtection="1">
      <alignment horizontal="center" vertical="center" wrapText="1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 indent="1"/>
      <protection hidden="1"/>
    </xf>
    <xf numFmtId="0" fontId="4" fillId="0" borderId="14" xfId="0" applyFont="1" applyBorder="1" applyAlignment="1" applyProtection="1">
      <alignment horizontal="left" vertical="center" wrapText="1" indent="1"/>
      <protection hidden="1"/>
    </xf>
    <xf numFmtId="0" fontId="15" fillId="0" borderId="0" xfId="0" applyFont="1" applyBorder="1" applyProtection="1">
      <protection hidden="1"/>
    </xf>
    <xf numFmtId="0" fontId="11" fillId="0" borderId="0" xfId="0" applyFont="1" applyFill="1" applyBorder="1" applyAlignment="1" applyProtection="1">
      <alignment horizontal="center" vertical="center"/>
      <protection hidden="1"/>
    </xf>
    <xf numFmtId="3" fontId="6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6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8" xfId="0" applyNumberFormat="1" applyFont="1" applyFill="1" applyBorder="1" applyAlignment="1" applyProtection="1">
      <alignment horizontal="center" vertical="center" wrapText="1"/>
      <protection hidden="1"/>
    </xf>
    <xf numFmtId="2" fontId="5" fillId="0" borderId="0" xfId="0" applyNumberFormat="1" applyFont="1" applyAlignment="1" applyProtection="1">
      <alignment horizontal="center" vertical="center"/>
      <protection hidden="1"/>
    </xf>
    <xf numFmtId="4" fontId="6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0" borderId="20" xfId="0" applyFont="1" applyBorder="1" applyAlignment="1" applyProtection="1">
      <alignment horizontal="left" vertical="center" indent="2"/>
      <protection hidden="1"/>
    </xf>
    <xf numFmtId="0" fontId="6" fillId="0" borderId="9" xfId="0" applyFont="1" applyBorder="1" applyAlignment="1" applyProtection="1">
      <alignment horizontal="left" vertical="center" indent="2"/>
      <protection hidden="1"/>
    </xf>
    <xf numFmtId="166" fontId="6" fillId="0" borderId="6" xfId="0" applyNumberFormat="1" applyFont="1" applyBorder="1" applyAlignment="1" applyProtection="1">
      <alignment horizontal="center" vertical="center" wrapText="1"/>
      <protection hidden="1"/>
    </xf>
    <xf numFmtId="0" fontId="29" fillId="0" borderId="17" xfId="0" applyFont="1" applyBorder="1" applyAlignment="1" applyProtection="1">
      <alignment horizontal="left"/>
      <protection hidden="1"/>
    </xf>
    <xf numFmtId="0" fontId="29" fillId="0" borderId="16" xfId="0" applyFont="1" applyBorder="1" applyAlignment="1" applyProtection="1">
      <alignment horizontal="left"/>
      <protection hidden="1"/>
    </xf>
    <xf numFmtId="0" fontId="29" fillId="0" borderId="0" xfId="0" applyFont="1" applyAlignment="1" applyProtection="1">
      <alignment horizontal="right"/>
      <protection hidden="1"/>
    </xf>
    <xf numFmtId="0" fontId="30" fillId="0" borderId="0" xfId="0" applyFont="1" applyBorder="1" applyAlignment="1" applyProtection="1">
      <alignment vertical="top" wrapText="1"/>
      <protection hidden="1"/>
    </xf>
    <xf numFmtId="0" fontId="6" fillId="0" borderId="21" xfId="0" applyFont="1" applyBorder="1" applyAlignment="1" applyProtection="1">
      <alignment horizontal="left" vertical="center" indent="2"/>
      <protection hidden="1"/>
    </xf>
    <xf numFmtId="0" fontId="23" fillId="0" borderId="0" xfId="1" applyFont="1" applyAlignment="1" applyProtection="1">
      <alignment horizontal="right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14" fillId="0" borderId="0" xfId="0" applyFont="1" applyFill="1" applyBorder="1" applyAlignment="1" applyProtection="1">
      <alignment horizontal="left" wrapText="1"/>
      <protection hidden="1"/>
    </xf>
    <xf numFmtId="0" fontId="2" fillId="5" borderId="3" xfId="0" applyFont="1" applyFill="1" applyBorder="1" applyAlignment="1" applyProtection="1">
      <alignment horizontal="center" wrapText="1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28" fillId="0" borderId="3" xfId="0" applyFont="1" applyFill="1" applyBorder="1" applyAlignment="1" applyProtection="1">
      <alignment horizontal="center"/>
      <protection hidden="1"/>
    </xf>
    <xf numFmtId="0" fontId="0" fillId="5" borderId="3" xfId="0" applyFill="1" applyBorder="1" applyProtection="1">
      <protection hidden="1"/>
    </xf>
    <xf numFmtId="0" fontId="6" fillId="4" borderId="5" xfId="0" applyFont="1" applyFill="1" applyBorder="1" applyAlignment="1" applyProtection="1">
      <alignment horizontal="right" vertical="center" wrapText="1"/>
      <protection hidden="1"/>
    </xf>
    <xf numFmtId="0" fontId="6" fillId="4" borderId="7" xfId="0" applyFont="1" applyFill="1" applyBorder="1" applyAlignment="1" applyProtection="1">
      <alignment horizontal="right" vertical="center" wrapText="1"/>
      <protection hidden="1"/>
    </xf>
    <xf numFmtId="0" fontId="6" fillId="4" borderId="9" xfId="0" applyFont="1" applyFill="1" applyBorder="1" applyAlignment="1" applyProtection="1">
      <alignment horizontal="right" vertical="center" wrapText="1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8" fillId="0" borderId="3" xfId="0" applyFont="1" applyBorder="1" applyAlignment="1" applyProtection="1">
      <alignment horizontal="center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3" fontId="6" fillId="0" borderId="5" xfId="0" applyNumberFormat="1" applyFont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center" vertical="center" wrapText="1"/>
      <protection hidden="1"/>
    </xf>
    <xf numFmtId="3" fontId="6" fillId="0" borderId="9" xfId="0" applyNumberFormat="1" applyFont="1" applyBorder="1" applyAlignment="1" applyProtection="1">
      <alignment horizontal="center" vertical="center" wrapText="1"/>
      <protection hidden="1"/>
    </xf>
    <xf numFmtId="166" fontId="6" fillId="0" borderId="7" xfId="0" applyNumberFormat="1" applyFont="1" applyBorder="1" applyAlignment="1" applyProtection="1">
      <alignment horizontal="center" vertical="center" wrapText="1"/>
      <protection hidden="1"/>
    </xf>
    <xf numFmtId="4" fontId="32" fillId="3" borderId="13" xfId="1" applyNumberFormat="1" applyFont="1" applyFill="1" applyBorder="1" applyAlignment="1" applyProtection="1">
      <alignment horizontal="left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Alignment="1" applyProtection="1">
      <alignment horizontal="center"/>
      <protection hidden="1"/>
    </xf>
    <xf numFmtId="2" fontId="5" fillId="0" borderId="0" xfId="0" applyNumberFormat="1" applyFont="1" applyFill="1" applyBorder="1" applyAlignment="1" applyProtection="1">
      <alignment horizontal="center" vertical="center"/>
      <protection hidden="1"/>
    </xf>
    <xf numFmtId="4" fontId="0" fillId="0" borderId="0" xfId="0" applyNumberFormat="1" applyFill="1" applyBorder="1" applyProtection="1">
      <protection hidden="1"/>
    </xf>
    <xf numFmtId="0" fontId="23" fillId="0" borderId="0" xfId="1" applyFont="1" applyBorder="1" applyAlignment="1" applyProtection="1">
      <alignment horizontal="right"/>
      <protection hidden="1"/>
    </xf>
    <xf numFmtId="0" fontId="20" fillId="0" borderId="0" xfId="0" applyFont="1" applyFill="1" applyBorder="1" applyProtection="1"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9" fontId="22" fillId="0" borderId="0" xfId="0" applyNumberFormat="1" applyFont="1" applyFill="1" applyBorder="1" applyAlignment="1" applyProtection="1">
      <alignment horizontal="left" wrapText="1"/>
      <protection hidden="1"/>
    </xf>
    <xf numFmtId="9" fontId="14" fillId="0" borderId="0" xfId="0" applyNumberFormat="1" applyFont="1" applyFill="1" applyBorder="1" applyAlignment="1" applyProtection="1">
      <alignment horizontal="left" wrapText="1"/>
      <protection hidden="1"/>
    </xf>
    <xf numFmtId="0" fontId="23" fillId="0" borderId="0" xfId="1" applyFont="1" applyFill="1" applyBorder="1" applyAlignment="1" applyProtection="1">
      <protection hidden="1"/>
    </xf>
    <xf numFmtId="0" fontId="6" fillId="0" borderId="11" xfId="0" applyFont="1" applyBorder="1" applyAlignment="1" applyProtection="1">
      <alignment horizontal="left" vertical="center" indent="2"/>
      <protection hidden="1"/>
    </xf>
    <xf numFmtId="0" fontId="28" fillId="0" borderId="0" xfId="0" applyFont="1" applyFill="1" applyBorder="1" applyAlignment="1" applyProtection="1">
      <alignment horizontal="center"/>
      <protection hidden="1"/>
    </xf>
    <xf numFmtId="0" fontId="23" fillId="0" borderId="0" xfId="1" applyFont="1" applyFill="1" applyBorder="1" applyAlignment="1" applyProtection="1">
      <alignment horizontal="right"/>
      <protection hidden="1"/>
    </xf>
    <xf numFmtId="3" fontId="33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4" xfId="0" applyFont="1" applyFill="1" applyBorder="1" applyAlignment="1" applyProtection="1">
      <alignment horizontal="right" vertical="center" wrapText="1"/>
      <protection hidden="1"/>
    </xf>
    <xf numFmtId="0" fontId="6" fillId="4" borderId="13" xfId="0" applyFont="1" applyFill="1" applyBorder="1" applyAlignment="1" applyProtection="1">
      <alignment horizontal="right" vertical="center" wrapText="1"/>
      <protection hidden="1"/>
    </xf>
    <xf numFmtId="0" fontId="6" fillId="4" borderId="15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6" fillId="4" borderId="9" xfId="0" applyFont="1" applyFill="1" applyBorder="1" applyAlignment="1" applyProtection="1">
      <alignment horizontal="center" vertical="center" wrapText="1"/>
      <protection hidden="1"/>
    </xf>
    <xf numFmtId="0" fontId="2" fillId="4" borderId="21" xfId="0" applyFont="1" applyFill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right" vertical="center"/>
      <protection hidden="1"/>
    </xf>
    <xf numFmtId="0" fontId="4" fillId="0" borderId="13" xfId="0" applyFont="1" applyBorder="1" applyAlignment="1" applyProtection="1">
      <alignment horizontal="right" vertical="center"/>
      <protection hidden="1"/>
    </xf>
    <xf numFmtId="0" fontId="4" fillId="0" borderId="15" xfId="0" applyFont="1" applyBorder="1" applyAlignment="1" applyProtection="1">
      <alignment horizontal="right" vertical="center"/>
      <protection hidden="1"/>
    </xf>
    <xf numFmtId="0" fontId="6" fillId="4" borderId="27" xfId="0" applyFont="1" applyFill="1" applyBorder="1" applyAlignment="1" applyProtection="1">
      <alignment horizontal="right" vertical="center" wrapText="1"/>
      <protection hidden="1"/>
    </xf>
    <xf numFmtId="0" fontId="2" fillId="4" borderId="5" xfId="0" applyFont="1" applyFill="1" applyBorder="1" applyAlignment="1" applyProtection="1">
      <alignment horizontal="center" vertical="center" wrapText="1"/>
      <protection hidden="1"/>
    </xf>
    <xf numFmtId="0" fontId="6" fillId="4" borderId="7" xfId="0" applyFont="1" applyFill="1" applyBorder="1" applyAlignment="1" applyProtection="1">
      <alignment horizontal="center" vertical="center" wrapText="1"/>
      <protection hidden="1"/>
    </xf>
    <xf numFmtId="0" fontId="2" fillId="4" borderId="28" xfId="0" applyFont="1" applyFill="1" applyBorder="1" applyAlignment="1" applyProtection="1">
      <alignment horizontal="center" vertical="center" wrapText="1"/>
      <protection hidden="1"/>
    </xf>
    <xf numFmtId="0" fontId="20" fillId="5" borderId="29" xfId="0" applyFont="1" applyFill="1" applyBorder="1" applyProtection="1">
      <protection hidden="1"/>
    </xf>
    <xf numFmtId="0" fontId="4" fillId="0" borderId="30" xfId="0" applyFont="1" applyBorder="1" applyAlignment="1" applyProtection="1">
      <alignment horizontal="right" vertical="center"/>
      <protection hidden="1"/>
    </xf>
    <xf numFmtId="0" fontId="6" fillId="4" borderId="14" xfId="0" applyFont="1" applyFill="1" applyBorder="1" applyAlignment="1" applyProtection="1">
      <alignment horizontal="center" vertical="center" wrapText="1"/>
      <protection hidden="1"/>
    </xf>
    <xf numFmtId="0" fontId="4" fillId="0" borderId="27" xfId="0" applyFont="1" applyBorder="1" applyAlignment="1" applyProtection="1">
      <alignment horizontal="right" vertical="center"/>
      <protection hidden="1"/>
    </xf>
    <xf numFmtId="0" fontId="6" fillId="4" borderId="9" xfId="0" applyFont="1" applyFill="1" applyBorder="1" applyAlignment="1" applyProtection="1">
      <alignment horizontal="center" vertical="center"/>
      <protection hidden="1"/>
    </xf>
    <xf numFmtId="0" fontId="6" fillId="0" borderId="0" xfId="0" applyFont="1" applyBorder="1" applyAlignment="1" applyProtection="1">
      <alignment horizontal="left" vertical="center" indent="2"/>
      <protection hidden="1"/>
    </xf>
    <xf numFmtId="0" fontId="4" fillId="0" borderId="0" xfId="0" applyFont="1" applyBorder="1" applyAlignment="1" applyProtection="1">
      <alignment horizontal="right" vertical="center"/>
      <protection hidden="1"/>
    </xf>
    <xf numFmtId="0" fontId="4" fillId="0" borderId="14" xfId="0" applyFont="1" applyBorder="1" applyAlignment="1" applyProtection="1">
      <alignment horizontal="center" vertical="center" wrapText="1"/>
      <protection hidden="1"/>
    </xf>
    <xf numFmtId="0" fontId="4" fillId="0" borderId="15" xfId="0" applyFont="1" applyBorder="1" applyAlignment="1" applyProtection="1">
      <alignment horizontal="center" vertical="center" wrapText="1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13" xfId="0" applyFont="1" applyBorder="1" applyAlignment="1" applyProtection="1">
      <alignment horizontal="center" vertical="center" wrapText="1"/>
      <protection hidden="1"/>
    </xf>
    <xf numFmtId="3" fontId="2" fillId="0" borderId="17" xfId="0" applyNumberFormat="1" applyFont="1" applyFill="1" applyBorder="1" applyAlignment="1" applyProtection="1">
      <alignment horizontal="center" vertical="center" wrapText="1"/>
      <protection hidden="1"/>
    </xf>
    <xf numFmtId="0" fontId="17" fillId="0" borderId="16" xfId="1" applyBorder="1" applyAlignment="1" applyProtection="1">
      <alignment horizontal="left" indent="1"/>
    </xf>
    <xf numFmtId="4" fontId="2" fillId="0" borderId="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9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 indent="1"/>
      <protection hidden="1"/>
    </xf>
    <xf numFmtId="3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0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Alignment="1" applyProtection="1">
      <alignment horizontal="right"/>
      <protection hidden="1"/>
    </xf>
    <xf numFmtId="0" fontId="35" fillId="0" borderId="0" xfId="0" applyFont="1" applyProtection="1">
      <protection hidden="1"/>
    </xf>
    <xf numFmtId="9" fontId="13" fillId="0" borderId="0" xfId="0" applyNumberFormat="1" applyFont="1" applyProtection="1">
      <protection hidden="1"/>
    </xf>
    <xf numFmtId="0" fontId="36" fillId="6" borderId="3" xfId="0" applyFont="1" applyFill="1" applyBorder="1" applyAlignment="1" applyProtection="1">
      <alignment horizontal="center"/>
      <protection locked="0" hidden="1"/>
    </xf>
    <xf numFmtId="2" fontId="38" fillId="0" borderId="0" xfId="0" applyNumberFormat="1" applyFont="1" applyAlignment="1" applyProtection="1">
      <protection hidden="1"/>
    </xf>
    <xf numFmtId="0" fontId="1" fillId="0" borderId="0" xfId="0" applyFont="1" applyAlignment="1" applyProtection="1">
      <alignment horizontal="right"/>
      <protection hidden="1"/>
    </xf>
    <xf numFmtId="165" fontId="1" fillId="0" borderId="16" xfId="0" applyNumberFormat="1" applyFont="1" applyFill="1" applyBorder="1" applyAlignment="1" applyProtection="1">
      <alignment horizontal="center"/>
      <protection locked="0" hidden="1"/>
    </xf>
    <xf numFmtId="0" fontId="39" fillId="0" borderId="0" xfId="0" applyFont="1" applyAlignment="1" applyProtection="1">
      <alignment horizontal="right"/>
      <protection hidden="1"/>
    </xf>
    <xf numFmtId="0" fontId="39" fillId="0" borderId="0" xfId="0" applyFont="1" applyProtection="1">
      <protection hidden="1"/>
    </xf>
    <xf numFmtId="9" fontId="40" fillId="0" borderId="19" xfId="0" applyNumberFormat="1" applyFont="1" applyFill="1" applyBorder="1" applyAlignment="1" applyProtection="1">
      <alignment horizontal="center"/>
      <protection locked="0" hidden="1"/>
    </xf>
    <xf numFmtId="0" fontId="15" fillId="7" borderId="0" xfId="0" applyFont="1" applyFill="1" applyBorder="1" applyProtection="1">
      <protection hidden="1"/>
    </xf>
    <xf numFmtId="0" fontId="8" fillId="7" borderId="0" xfId="0" applyFont="1" applyFill="1" applyBorder="1" applyAlignment="1" applyProtection="1">
      <alignment horizontal="center"/>
      <protection hidden="1"/>
    </xf>
    <xf numFmtId="4" fontId="8" fillId="7" borderId="0" xfId="0" applyNumberFormat="1" applyFont="1" applyFill="1" applyBorder="1" applyAlignment="1" applyProtection="1">
      <alignment horizontal="center"/>
      <protection hidden="1"/>
    </xf>
    <xf numFmtId="0" fontId="41" fillId="0" borderId="0" xfId="0" applyFont="1" applyAlignment="1" applyProtection="1">
      <alignment horizontal="right"/>
      <protection hidden="1"/>
    </xf>
    <xf numFmtId="0" fontId="42" fillId="0" borderId="0" xfId="0" applyFont="1" applyAlignment="1" applyProtection="1">
      <alignment horizontal="center" vertical="center"/>
      <protection hidden="1"/>
    </xf>
    <xf numFmtId="0" fontId="6" fillId="0" borderId="0" xfId="0" applyFont="1" applyAlignment="1" applyProtection="1">
      <alignment wrapText="1"/>
      <protection hidden="1"/>
    </xf>
    <xf numFmtId="0" fontId="6" fillId="0" borderId="0" xfId="0" applyFont="1" applyAlignment="1" applyProtection="1">
      <protection hidden="1"/>
    </xf>
    <xf numFmtId="3" fontId="20" fillId="0" borderId="0" xfId="0" applyNumberFormat="1" applyFont="1" applyAlignment="1" applyProtection="1">
      <protection hidden="1"/>
    </xf>
    <xf numFmtId="3" fontId="20" fillId="0" borderId="0" xfId="0" applyNumberFormat="1" applyFont="1" applyFill="1" applyBorder="1" applyProtection="1">
      <protection hidden="1"/>
    </xf>
    <xf numFmtId="4" fontId="20" fillId="0" borderId="0" xfId="0" applyNumberFormat="1" applyFont="1" applyFill="1" applyBorder="1" applyProtection="1">
      <protection hidden="1"/>
    </xf>
    <xf numFmtId="3" fontId="6" fillId="0" borderId="0" xfId="0" applyNumberFormat="1" applyFont="1" applyFill="1" applyProtection="1">
      <protection hidden="1"/>
    </xf>
    <xf numFmtId="3" fontId="20" fillId="0" borderId="0" xfId="0" applyNumberFormat="1" applyFont="1" applyProtection="1">
      <protection hidden="1"/>
    </xf>
    <xf numFmtId="3" fontId="42" fillId="0" borderId="0" xfId="0" applyNumberFormat="1" applyFont="1" applyAlignment="1" applyProtection="1">
      <alignment horizontal="center" vertical="center"/>
      <protection hidden="1"/>
    </xf>
    <xf numFmtId="0" fontId="43" fillId="0" borderId="0" xfId="0" applyFont="1" applyProtection="1">
      <protection hidden="1"/>
    </xf>
    <xf numFmtId="0" fontId="6" fillId="0" borderId="16" xfId="0" applyFont="1" applyBorder="1" applyAlignment="1" applyProtection="1">
      <protection hidden="1"/>
    </xf>
    <xf numFmtId="0" fontId="3" fillId="0" borderId="0" xfId="0" applyFont="1" applyFill="1" applyProtection="1">
      <protection hidden="1"/>
    </xf>
    <xf numFmtId="4" fontId="42" fillId="0" borderId="0" xfId="0" applyNumberFormat="1" applyFont="1" applyAlignment="1" applyProtection="1">
      <alignment horizontal="center" vertical="center"/>
      <protection hidden="1"/>
    </xf>
    <xf numFmtId="0" fontId="20" fillId="0" borderId="17" xfId="0" applyFont="1" applyBorder="1" applyProtection="1">
      <protection hidden="1"/>
    </xf>
    <xf numFmtId="0" fontId="3" fillId="0" borderId="0" xfId="0" applyFont="1" applyProtection="1">
      <protection hidden="1"/>
    </xf>
    <xf numFmtId="0" fontId="6" fillId="0" borderId="27" xfId="0" applyFont="1" applyBorder="1" applyAlignment="1" applyProtection="1">
      <alignment horizontal="right"/>
      <protection hidden="1"/>
    </xf>
    <xf numFmtId="0" fontId="3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/>
      <protection hidden="1"/>
    </xf>
    <xf numFmtId="0" fontId="20" fillId="0" borderId="0" xfId="0" applyFont="1" applyFill="1" applyBorder="1" applyAlignment="1" applyProtection="1">
      <alignment horizontal="right"/>
      <protection hidden="1"/>
    </xf>
    <xf numFmtId="0" fontId="2" fillId="0" borderId="0" xfId="0" applyFont="1" applyBorder="1" applyAlignment="1" applyProtection="1">
      <alignment horizontal="center" vertical="top" wrapText="1"/>
      <protection hidden="1"/>
    </xf>
    <xf numFmtId="0" fontId="3" fillId="0" borderId="16" xfId="0" applyFont="1" applyBorder="1" applyAlignment="1" applyProtection="1">
      <protection hidden="1"/>
    </xf>
    <xf numFmtId="0" fontId="6" fillId="0" borderId="16" xfId="0" applyFont="1" applyBorder="1" applyAlignment="1" applyProtection="1">
      <alignment horizontal="right" indent="1"/>
      <protection hidden="1"/>
    </xf>
    <xf numFmtId="9" fontId="6" fillId="0" borderId="16" xfId="0" applyNumberFormat="1" applyFont="1" applyBorder="1" applyAlignment="1" applyProtection="1">
      <alignment horizontal="left"/>
      <protection hidden="1"/>
    </xf>
    <xf numFmtId="0" fontId="6" fillId="0" borderId="17" xfId="0" applyFont="1" applyBorder="1" applyAlignment="1" applyProtection="1">
      <alignment horizontal="right" indent="1"/>
      <protection hidden="1"/>
    </xf>
    <xf numFmtId="165" fontId="6" fillId="0" borderId="17" xfId="0" applyNumberFormat="1" applyFont="1" applyBorder="1" applyAlignment="1" applyProtection="1">
      <alignment horizontal="left"/>
      <protection hidden="1"/>
    </xf>
    <xf numFmtId="0" fontId="20" fillId="0" borderId="17" xfId="0" applyFont="1" applyBorder="1" applyAlignment="1" applyProtection="1">
      <alignment horizontal="right" indent="1"/>
      <protection hidden="1"/>
    </xf>
    <xf numFmtId="9" fontId="6" fillId="0" borderId="17" xfId="0" applyNumberFormat="1" applyFont="1" applyBorder="1" applyAlignment="1" applyProtection="1">
      <alignment horizontal="left"/>
      <protection hidden="1"/>
    </xf>
    <xf numFmtId="0" fontId="20" fillId="0" borderId="16" xfId="0" applyFont="1" applyBorder="1" applyProtection="1">
      <protection hidden="1"/>
    </xf>
    <xf numFmtId="0" fontId="6" fillId="0" borderId="5" xfId="0" applyFont="1" applyBorder="1" applyAlignment="1" applyProtection="1">
      <alignment horizontal="left" vertical="center" indent="2"/>
      <protection hidden="1"/>
    </xf>
    <xf numFmtId="0" fontId="8" fillId="0" borderId="0" xfId="0" applyFont="1" applyAlignment="1" applyProtection="1">
      <alignment horizontal="right"/>
      <protection hidden="1"/>
    </xf>
    <xf numFmtId="0" fontId="0" fillId="0" borderId="0" xfId="0" applyAlignment="1" applyProtection="1">
      <alignment horizontal="right"/>
      <protection hidden="1"/>
    </xf>
    <xf numFmtId="4" fontId="32" fillId="3" borderId="15" xfId="1" applyNumberFormat="1" applyFont="1" applyFill="1" applyBorder="1" applyAlignment="1" applyProtection="1">
      <alignment horizontal="left" vertical="center" wrapText="1"/>
      <protection hidden="1"/>
    </xf>
    <xf numFmtId="4" fontId="8" fillId="0" borderId="0" xfId="0" applyNumberFormat="1" applyFont="1" applyAlignment="1" applyProtection="1">
      <alignment horizontal="right"/>
      <protection hidden="1"/>
    </xf>
    <xf numFmtId="2" fontId="8" fillId="0" borderId="0" xfId="0" applyNumberFormat="1" applyFont="1" applyAlignment="1" applyProtection="1">
      <alignment horizontal="right"/>
      <protection hidden="1"/>
    </xf>
    <xf numFmtId="164" fontId="8" fillId="0" borderId="0" xfId="0" applyNumberFormat="1" applyFont="1" applyAlignment="1" applyProtection="1">
      <alignment horizontal="right"/>
      <protection hidden="1"/>
    </xf>
    <xf numFmtId="2" fontId="5" fillId="0" borderId="0" xfId="0" applyNumberFormat="1" applyFont="1" applyAlignment="1" applyProtection="1">
      <alignment horizontal="right"/>
      <protection hidden="1"/>
    </xf>
    <xf numFmtId="4" fontId="0" fillId="0" borderId="0" xfId="0" applyNumberFormat="1" applyAlignment="1" applyProtection="1">
      <alignment horizontal="right"/>
      <protection hidden="1"/>
    </xf>
    <xf numFmtId="2" fontId="5" fillId="0" borderId="0" xfId="0" applyNumberFormat="1" applyFont="1" applyAlignment="1" applyProtection="1">
      <protection hidden="1"/>
    </xf>
    <xf numFmtId="2" fontId="5" fillId="0" borderId="0" xfId="0" applyNumberFormat="1" applyFont="1" applyFill="1" applyBorder="1" applyProtection="1">
      <protection hidden="1"/>
    </xf>
    <xf numFmtId="0" fontId="6" fillId="4" borderId="33" xfId="0" applyFont="1" applyFill="1" applyBorder="1" applyAlignment="1" applyProtection="1">
      <alignment horizontal="center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39" xfId="0" applyFont="1" applyFill="1" applyBorder="1" applyAlignment="1" applyProtection="1">
      <alignment horizontal="center" vertical="center" wrapText="1"/>
      <protection hidden="1"/>
    </xf>
    <xf numFmtId="0" fontId="6" fillId="4" borderId="38" xfId="0" applyFont="1" applyFill="1" applyBorder="1" applyAlignment="1" applyProtection="1">
      <alignment horizontal="center" vertical="center" wrapText="1"/>
      <protection hidden="1"/>
    </xf>
    <xf numFmtId="4" fontId="2" fillId="0" borderId="40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1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39" xfId="0" applyNumberFormat="1" applyFont="1" applyFill="1" applyBorder="1" applyAlignment="1" applyProtection="1">
      <alignment horizontal="right" vertical="center" wrapText="1" indent="1"/>
      <protection hidden="1"/>
    </xf>
    <xf numFmtId="4" fontId="2" fillId="3" borderId="4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3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44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22" xfId="0" applyNumberFormat="1" applyFont="1" applyBorder="1" applyAlignment="1" applyProtection="1">
      <alignment horizontal="center" vertical="center" wrapText="1"/>
      <protection hidden="1"/>
    </xf>
    <xf numFmtId="3" fontId="6" fillId="0" borderId="17" xfId="0" applyNumberFormat="1" applyFont="1" applyBorder="1" applyAlignment="1" applyProtection="1">
      <alignment horizontal="center" vertical="center" wrapText="1"/>
      <protection hidden="1"/>
    </xf>
    <xf numFmtId="3" fontId="6" fillId="0" borderId="23" xfId="0" applyNumberFormat="1" applyFont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3" fontId="6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17" xfId="0" applyFont="1" applyFill="1" applyBorder="1" applyAlignment="1" applyProtection="1">
      <protection hidden="1"/>
    </xf>
    <xf numFmtId="0" fontId="6" fillId="0" borderId="1" xfId="0" applyFont="1" applyFill="1" applyBorder="1" applyAlignment="1" applyProtection="1">
      <alignment horizontal="left" vertical="center" indent="2"/>
      <protection hidden="1"/>
    </xf>
    <xf numFmtId="4" fontId="8" fillId="0" borderId="0" xfId="0" applyNumberFormat="1" applyFont="1" applyFill="1" applyBorder="1" applyProtection="1">
      <protection hidden="1"/>
    </xf>
    <xf numFmtId="0" fontId="1" fillId="0" borderId="0" xfId="0" applyFont="1" applyAlignment="1" applyProtection="1">
      <protection hidden="1"/>
    </xf>
    <xf numFmtId="2" fontId="0" fillId="0" borderId="0" xfId="0" applyNumberFormat="1" applyFill="1" applyProtection="1">
      <protection hidden="1"/>
    </xf>
    <xf numFmtId="0" fontId="6" fillId="0" borderId="45" xfId="0" applyFont="1" applyBorder="1" applyAlignment="1" applyProtection="1">
      <alignment horizontal="left" vertical="center" indent="2"/>
      <protection hidden="1"/>
    </xf>
    <xf numFmtId="0" fontId="4" fillId="0" borderId="46" xfId="0" applyFont="1" applyBorder="1" applyAlignment="1" applyProtection="1">
      <alignment horizontal="right" vertical="center"/>
      <protection hidden="1"/>
    </xf>
    <xf numFmtId="4" fontId="2" fillId="0" borderId="46" xfId="0" applyNumberFormat="1" applyFont="1" applyFill="1" applyBorder="1" applyAlignment="1" applyProtection="1">
      <alignment horizontal="right" vertical="center" wrapText="1" indent="1"/>
      <protection hidden="1"/>
    </xf>
    <xf numFmtId="9" fontId="8" fillId="0" borderId="0" xfId="2" applyFont="1" applyAlignment="1" applyProtection="1">
      <alignment horizontal="right"/>
      <protection hidden="1"/>
    </xf>
    <xf numFmtId="0" fontId="4" fillId="0" borderId="15" xfId="0" applyFont="1" applyBorder="1" applyAlignment="1" applyProtection="1">
      <alignment horizontal="center" vertical="center"/>
      <protection hidden="1"/>
    </xf>
    <xf numFmtId="0" fontId="45" fillId="0" borderId="0" xfId="0" applyFont="1" applyProtection="1">
      <protection hidden="1"/>
    </xf>
    <xf numFmtId="9" fontId="45" fillId="0" borderId="0" xfId="0" applyNumberFormat="1" applyFont="1" applyProtection="1">
      <protection hidden="1"/>
    </xf>
    <xf numFmtId="9" fontId="46" fillId="0" borderId="0" xfId="0" applyNumberFormat="1" applyFont="1" applyProtection="1">
      <protection hidden="1"/>
    </xf>
    <xf numFmtId="0" fontId="0" fillId="0" borderId="11" xfId="0" applyBorder="1" applyProtection="1">
      <protection hidden="1"/>
    </xf>
    <xf numFmtId="2" fontId="5" fillId="0" borderId="0" xfId="0" applyNumberFormat="1" applyFont="1" applyFill="1" applyAlignment="1" applyProtection="1">
      <alignment horizontal="center" vertical="center"/>
      <protection hidden="1"/>
    </xf>
    <xf numFmtId="4" fontId="2" fillId="0" borderId="1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 indent="1"/>
      <protection hidden="1"/>
    </xf>
    <xf numFmtId="2" fontId="48" fillId="0" borderId="0" xfId="0" applyNumberFormat="1" applyFont="1" applyProtection="1">
      <protection hidden="1"/>
    </xf>
    <xf numFmtId="0" fontId="1" fillId="0" borderId="0" xfId="0" applyFont="1" applyProtection="1">
      <protection hidden="1"/>
    </xf>
    <xf numFmtId="0" fontId="50" fillId="5" borderId="29" xfId="0" applyFont="1" applyFill="1" applyBorder="1" applyProtection="1">
      <protection hidden="1"/>
    </xf>
    <xf numFmtId="4" fontId="32" fillId="3" borderId="7" xfId="1" applyNumberFormat="1" applyFont="1" applyFill="1" applyBorder="1" applyAlignment="1" applyProtection="1">
      <alignment horizontal="left" vertical="center" wrapText="1"/>
      <protection hidden="1"/>
    </xf>
    <xf numFmtId="9" fontId="0" fillId="0" borderId="0" xfId="2" applyFont="1" applyProtection="1">
      <protection hidden="1"/>
    </xf>
    <xf numFmtId="0" fontId="0" fillId="0" borderId="11" xfId="0" applyFill="1" applyBorder="1" applyProtection="1">
      <protection hidden="1"/>
    </xf>
    <xf numFmtId="4" fontId="2" fillId="3" borderId="34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6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7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 indent="1"/>
      <protection hidden="1"/>
    </xf>
    <xf numFmtId="0" fontId="23" fillId="0" borderId="0" xfId="1" applyFont="1" applyAlignment="1" applyProtection="1"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0" fontId="6" fillId="4" borderId="24" xfId="0" applyFont="1" applyFill="1" applyBorder="1" applyAlignment="1" applyProtection="1">
      <alignment horizontal="left" vertical="center" wrapText="1" indent="2"/>
      <protection hidden="1"/>
    </xf>
    <xf numFmtId="0" fontId="6" fillId="4" borderId="25" xfId="0" applyFont="1" applyFill="1" applyBorder="1" applyAlignment="1" applyProtection="1">
      <alignment horizontal="left" vertical="center" wrapText="1" indent="2"/>
      <protection hidden="1"/>
    </xf>
    <xf numFmtId="0" fontId="6" fillId="4" borderId="26" xfId="0" applyFont="1" applyFill="1" applyBorder="1" applyAlignment="1" applyProtection="1">
      <alignment horizontal="left" vertical="center" wrapText="1" indent="2"/>
      <protection hidden="1"/>
    </xf>
    <xf numFmtId="2" fontId="0" fillId="0" borderId="0" xfId="2" applyNumberFormat="1" applyFont="1" applyProtection="1">
      <protection hidden="1"/>
    </xf>
    <xf numFmtId="0" fontId="0" fillId="0" borderId="0" xfId="0" applyBorder="1" applyAlignment="1"/>
    <xf numFmtId="0" fontId="6" fillId="0" borderId="7" xfId="0" applyFont="1" applyBorder="1" applyAlignment="1" applyProtection="1">
      <alignment horizontal="left" vertical="center" indent="2"/>
      <protection hidden="1"/>
    </xf>
    <xf numFmtId="0" fontId="6" fillId="0" borderId="32" xfId="0" applyFont="1" applyBorder="1" applyAlignment="1" applyProtection="1">
      <alignment horizontal="left" vertical="center" indent="2"/>
      <protection hidden="1"/>
    </xf>
    <xf numFmtId="0" fontId="4" fillId="0" borderId="32" xfId="0" applyFont="1" applyBorder="1" applyAlignment="1" applyProtection="1">
      <alignment horizontal="right" vertical="center"/>
      <protection hidden="1"/>
    </xf>
    <xf numFmtId="0" fontId="4" fillId="0" borderId="0" xfId="0" applyFont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protection hidden="1"/>
    </xf>
    <xf numFmtId="0" fontId="17" fillId="0" borderId="0" xfId="1" applyFill="1" applyAlignment="1" applyProtection="1">
      <protection hidden="1"/>
    </xf>
    <xf numFmtId="4" fontId="2" fillId="0" borderId="5" xfId="0" applyNumberFormat="1" applyFont="1" applyFill="1" applyBorder="1" applyAlignment="1" applyProtection="1">
      <alignment horizontal="center" vertical="center" wrapText="1"/>
      <protection hidden="1"/>
    </xf>
    <xf numFmtId="4" fontId="2" fillId="0" borderId="9" xfId="0" applyNumberFormat="1" applyFont="1" applyFill="1" applyBorder="1" applyAlignment="1" applyProtection="1">
      <alignment horizontal="center" vertical="center" wrapText="1"/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7" fontId="51" fillId="0" borderId="17" xfId="0" applyNumberFormat="1" applyFont="1" applyBorder="1" applyAlignment="1" applyProtection="1">
      <alignment horizontal="left"/>
      <protection hidden="1"/>
    </xf>
    <xf numFmtId="0" fontId="4" fillId="0" borderId="31" xfId="0" applyFont="1" applyBorder="1" applyAlignment="1" applyProtection="1">
      <alignment horizontal="right" vertical="center"/>
      <protection hidden="1"/>
    </xf>
    <xf numFmtId="0" fontId="17" fillId="0" borderId="0" xfId="1" applyAlignment="1" applyProtection="1">
      <protection hidden="1"/>
    </xf>
    <xf numFmtId="4" fontId="2" fillId="3" borderId="15" xfId="1" applyNumberFormat="1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2" fillId="0" borderId="32" xfId="0" applyFont="1" applyFill="1" applyBorder="1" applyAlignment="1" applyProtection="1">
      <alignment vertical="center" wrapText="1"/>
      <protection hidden="1"/>
    </xf>
    <xf numFmtId="0" fontId="4" fillId="0" borderId="11" xfId="0" applyFont="1" applyBorder="1" applyAlignment="1" applyProtection="1">
      <alignment horizontal="right" vertical="center"/>
      <protection hidden="1"/>
    </xf>
    <xf numFmtId="4" fontId="0" fillId="0" borderId="12" xfId="0" applyNumberFormat="1" applyFill="1" applyBorder="1" applyProtection="1">
      <protection hidden="1"/>
    </xf>
    <xf numFmtId="0" fontId="4" fillId="0" borderId="2" xfId="0" applyFont="1" applyBorder="1" applyAlignment="1" applyProtection="1">
      <alignment horizontal="right" vertical="center"/>
      <protection hidden="1"/>
    </xf>
    <xf numFmtId="4" fontId="2" fillId="0" borderId="8" xfId="0" applyNumberFormat="1" applyFont="1" applyFill="1" applyBorder="1" applyAlignment="1" applyProtection="1">
      <alignment horizontal="right" vertical="center" wrapText="1" inden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 indent="1"/>
      <protection hidden="1"/>
    </xf>
    <xf numFmtId="0" fontId="0" fillId="9" borderId="11" xfId="0" applyFill="1" applyBorder="1" applyProtection="1">
      <protection hidden="1"/>
    </xf>
    <xf numFmtId="1" fontId="0" fillId="0" borderId="0" xfId="0" applyNumberFormat="1" applyProtection="1">
      <protection hidden="1"/>
    </xf>
    <xf numFmtId="1" fontId="0" fillId="0" borderId="0" xfId="2" applyNumberFormat="1" applyFont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6" fillId="0" borderId="5" xfId="0" applyFont="1" applyFill="1" applyBorder="1" applyAlignment="1" applyProtection="1">
      <alignment horizontal="left" vertical="center" indent="2"/>
      <protection hidden="1"/>
    </xf>
    <xf numFmtId="0" fontId="6" fillId="0" borderId="9" xfId="0" applyFont="1" applyFill="1" applyBorder="1" applyAlignment="1" applyProtection="1">
      <alignment horizontal="left" vertical="center" indent="2"/>
      <protection hidden="1"/>
    </xf>
    <xf numFmtId="0" fontId="3" fillId="0" borderId="0" xfId="0" applyFont="1" applyBorder="1" applyAlignment="1" applyProtection="1">
      <protection hidden="1"/>
    </xf>
    <xf numFmtId="0" fontId="20" fillId="0" borderId="0" xfId="0" applyFont="1" applyBorder="1" applyProtection="1">
      <protection hidden="1"/>
    </xf>
    <xf numFmtId="0" fontId="6" fillId="0" borderId="16" xfId="0" applyFont="1" applyFill="1" applyBorder="1" applyAlignment="1" applyProtection="1">
      <alignment vertical="center" wrapText="1"/>
      <protection hidden="1"/>
    </xf>
    <xf numFmtId="0" fontId="6" fillId="0" borderId="14" xfId="0" applyFont="1" applyBorder="1" applyAlignment="1" applyProtection="1">
      <alignment horizontal="right" vertical="center"/>
      <protection hidden="1"/>
    </xf>
    <xf numFmtId="0" fontId="6" fillId="0" borderId="13" xfId="0" applyFont="1" applyBorder="1" applyAlignment="1" applyProtection="1">
      <alignment horizontal="right" vertical="center"/>
      <protection hidden="1"/>
    </xf>
    <xf numFmtId="0" fontId="20" fillId="5" borderId="29" xfId="0" applyFont="1" applyFill="1" applyBorder="1" applyAlignment="1" applyProtection="1">
      <alignment vertical="center"/>
      <protection hidden="1"/>
    </xf>
    <xf numFmtId="0" fontId="20" fillId="5" borderId="2" xfId="0" applyFont="1" applyFill="1" applyBorder="1" applyAlignment="1" applyProtection="1">
      <alignment vertical="center"/>
      <protection hidden="1"/>
    </xf>
    <xf numFmtId="0" fontId="6" fillId="0" borderId="16" xfId="0" applyFont="1" applyBorder="1" applyAlignment="1" applyProtection="1">
      <alignment vertical="center"/>
      <protection hidden="1"/>
    </xf>
    <xf numFmtId="0" fontId="6" fillId="0" borderId="27" xfId="0" applyFont="1" applyBorder="1" applyAlignment="1" applyProtection="1">
      <alignment horizontal="right" vertical="center"/>
      <protection hidden="1"/>
    </xf>
    <xf numFmtId="4" fontId="2" fillId="0" borderId="28" xfId="0" applyNumberFormat="1" applyFont="1" applyFill="1" applyBorder="1" applyAlignment="1" applyProtection="1">
      <alignment horizontal="right" vertical="center" wrapText="1"/>
      <protection hidden="1"/>
    </xf>
    <xf numFmtId="0" fontId="6" fillId="0" borderId="17" xfId="0" applyFont="1" applyBorder="1" applyAlignment="1" applyProtection="1">
      <alignment vertical="center"/>
      <protection hidden="1"/>
    </xf>
    <xf numFmtId="4" fontId="2" fillId="0" borderId="7" xfId="0" applyNumberFormat="1" applyFont="1" applyFill="1" applyBorder="1" applyAlignment="1" applyProtection="1">
      <alignment horizontal="right" vertical="center" wrapText="1"/>
      <protection hidden="1"/>
    </xf>
    <xf numFmtId="3" fontId="20" fillId="0" borderId="0" xfId="0" applyNumberFormat="1" applyFont="1" applyAlignment="1" applyProtection="1">
      <alignment vertical="center"/>
      <protection hidden="1"/>
    </xf>
    <xf numFmtId="3" fontId="20" fillId="0" borderId="0" xfId="0" applyNumberFormat="1" applyFont="1" applyFill="1" applyBorder="1" applyAlignment="1" applyProtection="1">
      <alignment vertical="center"/>
      <protection hidden="1"/>
    </xf>
    <xf numFmtId="4" fontId="20" fillId="0" borderId="0" xfId="0" applyNumberFormat="1" applyFont="1" applyFill="1" applyBorder="1" applyAlignment="1" applyProtection="1">
      <alignment vertical="center"/>
      <protection hidden="1"/>
    </xf>
    <xf numFmtId="0" fontId="20" fillId="0" borderId="0" xfId="0" applyFont="1" applyAlignment="1" applyProtection="1">
      <alignment vertical="center"/>
      <protection hidden="1"/>
    </xf>
    <xf numFmtId="4" fontId="2" fillId="0" borderId="9" xfId="0" applyNumberFormat="1" applyFont="1" applyFill="1" applyBorder="1" applyAlignment="1" applyProtection="1">
      <alignment horizontal="right" vertical="center" wrapText="1"/>
      <protection hidden="1"/>
    </xf>
    <xf numFmtId="0" fontId="25" fillId="5" borderId="29" xfId="1" applyFont="1" applyFill="1" applyBorder="1" applyAlignment="1" applyProtection="1">
      <alignment vertical="center"/>
      <protection hidden="1"/>
    </xf>
    <xf numFmtId="0" fontId="25" fillId="5" borderId="2" xfId="1" applyFont="1" applyFill="1" applyBorder="1" applyAlignment="1" applyProtection="1">
      <alignment vertical="center"/>
      <protection hidden="1"/>
    </xf>
    <xf numFmtId="0" fontId="6" fillId="0" borderId="22" xfId="0" applyFont="1" applyBorder="1" applyAlignment="1" applyProtection="1">
      <alignment vertical="center"/>
      <protection hidden="1"/>
    </xf>
    <xf numFmtId="4" fontId="2" fillId="0" borderId="5" xfId="0" applyNumberFormat="1" applyFont="1" applyFill="1" applyBorder="1" applyAlignment="1" applyProtection="1">
      <alignment horizontal="right" vertical="center" wrapText="1"/>
      <protection hidden="1"/>
    </xf>
    <xf numFmtId="3" fontId="6" fillId="0" borderId="0" xfId="0" applyNumberFormat="1" applyFont="1" applyFill="1" applyAlignment="1" applyProtection="1">
      <alignment vertical="center"/>
      <protection hidden="1"/>
    </xf>
    <xf numFmtId="0" fontId="6" fillId="0" borderId="17" xfId="0" applyFont="1" applyBorder="1" applyAlignment="1" applyProtection="1">
      <alignment horizontal="right" vertical="center"/>
      <protection hidden="1"/>
    </xf>
    <xf numFmtId="4" fontId="2" fillId="0" borderId="0" xfId="0" applyNumberFormat="1" applyFont="1" applyFill="1" applyBorder="1" applyAlignment="1" applyProtection="1">
      <alignment horizontal="left" vertical="center" wrapText="1"/>
      <protection hidden="1"/>
    </xf>
    <xf numFmtId="0" fontId="20" fillId="0" borderId="0" xfId="0" applyFont="1" applyFill="1" applyAlignment="1" applyProtection="1">
      <alignment vertical="center"/>
      <protection hidden="1"/>
    </xf>
    <xf numFmtId="4" fontId="47" fillId="0" borderId="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vertical="center"/>
      <protection hidden="1"/>
    </xf>
    <xf numFmtId="4" fontId="20" fillId="0" borderId="0" xfId="0" applyNumberFormat="1" applyFont="1" applyAlignment="1" applyProtection="1">
      <alignment vertical="center"/>
      <protection hidden="1"/>
    </xf>
    <xf numFmtId="4" fontId="2" fillId="0" borderId="11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8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4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5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43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13" xfId="0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 applyProtection="1">
      <alignment vertical="center"/>
      <protection hidden="1"/>
    </xf>
    <xf numFmtId="4" fontId="2" fillId="0" borderId="36" xfId="0" applyNumberFormat="1" applyFont="1" applyFill="1" applyBorder="1" applyAlignment="1" applyProtection="1">
      <alignment horizontal="right" vertical="center" wrapText="1"/>
      <protection hidden="1"/>
    </xf>
    <xf numFmtId="4" fontId="2" fillId="0" borderId="37" xfId="0" applyNumberFormat="1" applyFont="1" applyFill="1" applyBorder="1" applyAlignment="1" applyProtection="1">
      <alignment horizontal="right" vertical="center" wrapText="1"/>
      <protection hidden="1"/>
    </xf>
    <xf numFmtId="2" fontId="20" fillId="0" borderId="0" xfId="0" applyNumberFormat="1" applyFont="1" applyAlignment="1" applyProtection="1">
      <alignment horizontal="right" vertical="center"/>
      <protection hidden="1"/>
    </xf>
    <xf numFmtId="0" fontId="20" fillId="0" borderId="0" xfId="0" applyFont="1" applyFill="1" applyBorder="1" applyAlignment="1" applyProtection="1">
      <alignment horizontal="right" vertical="center"/>
      <protection hidden="1"/>
    </xf>
    <xf numFmtId="0" fontId="20" fillId="0" borderId="0" xfId="0" applyFont="1" applyAlignment="1" applyProtection="1">
      <alignment horizontal="right" vertical="center"/>
      <protection hidden="1"/>
    </xf>
    <xf numFmtId="0" fontId="6" fillId="0" borderId="0" xfId="0" applyFont="1" applyFill="1" applyBorder="1" applyAlignment="1" applyProtection="1">
      <alignment horizontal="right" vertical="center"/>
      <protection hidden="1"/>
    </xf>
    <xf numFmtId="0" fontId="6" fillId="0" borderId="16" xfId="0" applyFont="1" applyBorder="1" applyAlignment="1" applyProtection="1">
      <alignment horizontal="right" vertical="center"/>
      <protection hidden="1"/>
    </xf>
    <xf numFmtId="10" fontId="0" fillId="0" borderId="0" xfId="0" applyNumberFormat="1" applyFill="1" applyProtection="1">
      <protection hidden="1"/>
    </xf>
    <xf numFmtId="10" fontId="0" fillId="0" borderId="0" xfId="0" applyNumberFormat="1" applyProtection="1">
      <protection hidden="1"/>
    </xf>
    <xf numFmtId="9" fontId="0" fillId="0" borderId="0" xfId="0" applyNumberFormat="1" applyProtection="1">
      <protection hidden="1"/>
    </xf>
    <xf numFmtId="9" fontId="0" fillId="0" borderId="0" xfId="0" applyNumberFormat="1" applyFill="1" applyBorder="1" applyProtection="1">
      <protection hidden="1"/>
    </xf>
    <xf numFmtId="0" fontId="0" fillId="0" borderId="0" xfId="2" applyNumberFormat="1" applyFont="1" applyProtection="1">
      <protection hidden="1"/>
    </xf>
    <xf numFmtId="0" fontId="0" fillId="0" borderId="0" xfId="0" applyNumberFormat="1" applyProtection="1">
      <protection hidden="1"/>
    </xf>
    <xf numFmtId="10" fontId="0" fillId="0" borderId="0" xfId="0" applyNumberFormat="1" applyFill="1" applyBorder="1" applyProtection="1">
      <protection hidden="1"/>
    </xf>
    <xf numFmtId="0" fontId="0" fillId="0" borderId="0" xfId="0" applyAlignment="1" applyProtection="1">
      <protection hidden="1"/>
    </xf>
    <xf numFmtId="0" fontId="52" fillId="9" borderId="11" xfId="0" applyFont="1" applyFill="1" applyBorder="1" applyProtection="1">
      <protection hidden="1"/>
    </xf>
    <xf numFmtId="3" fontId="0" fillId="9" borderId="11" xfId="0" applyNumberFormat="1" applyFill="1" applyBorder="1" applyProtection="1">
      <protection hidden="1"/>
    </xf>
    <xf numFmtId="0" fontId="0" fillId="9" borderId="49" xfId="0" applyFill="1" applyBorder="1" applyProtection="1">
      <protection hidden="1"/>
    </xf>
    <xf numFmtId="0" fontId="0" fillId="9" borderId="50" xfId="0" applyFill="1" applyBorder="1" applyProtection="1">
      <protection hidden="1"/>
    </xf>
    <xf numFmtId="0" fontId="52" fillId="9" borderId="49" xfId="0" applyFont="1" applyFill="1" applyBorder="1" applyProtection="1">
      <protection hidden="1"/>
    </xf>
    <xf numFmtId="0" fontId="53" fillId="0" borderId="0" xfId="0" applyFont="1" applyFill="1" applyBorder="1" applyAlignment="1" applyProtection="1">
      <alignment vertical="center"/>
      <protection hidden="1"/>
    </xf>
    <xf numFmtId="0" fontId="54" fillId="0" borderId="0" xfId="0" applyFont="1" applyAlignment="1" applyProtection="1">
      <alignment horizontal="center" vertical="center"/>
      <protection hidden="1"/>
    </xf>
    <xf numFmtId="10" fontId="0" fillId="0" borderId="11" xfId="0" applyNumberFormat="1" applyBorder="1" applyProtection="1">
      <protection hidden="1"/>
    </xf>
    <xf numFmtId="9" fontId="0" fillId="0" borderId="0" xfId="2" applyNumberFormat="1" applyFont="1" applyProtection="1">
      <protection hidden="1"/>
    </xf>
    <xf numFmtId="10" fontId="0" fillId="0" borderId="0" xfId="2" applyNumberFormat="1" applyFont="1" applyProtection="1">
      <protection hidden="1"/>
    </xf>
    <xf numFmtId="3" fontId="0" fillId="0" borderId="0" xfId="0" applyNumberFormat="1" applyFill="1" applyBorder="1" applyProtection="1">
      <protection hidden="1"/>
    </xf>
    <xf numFmtId="4" fontId="2" fillId="3" borderId="22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17" xfId="0" applyNumberFormat="1" applyFont="1" applyFill="1" applyBorder="1" applyAlignment="1" applyProtection="1">
      <alignment horizontal="center" vertical="center" wrapText="1"/>
      <protection hidden="1"/>
    </xf>
    <xf numFmtId="4" fontId="2" fillId="3" borderId="23" xfId="0" applyNumberFormat="1" applyFont="1" applyFill="1" applyBorder="1" applyAlignment="1" applyProtection="1">
      <alignment horizontal="center" vertical="center" wrapText="1"/>
      <protection hidden="1"/>
    </xf>
    <xf numFmtId="3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6" xfId="0" applyNumberFormat="1" applyFont="1" applyFill="1" applyBorder="1" applyAlignment="1" applyProtection="1">
      <alignment horizontal="right" vertical="center" wrapText="1"/>
      <protection hidden="1"/>
    </xf>
    <xf numFmtId="166" fontId="6" fillId="0" borderId="7" xfId="0" applyNumberFormat="1" applyFont="1" applyBorder="1" applyAlignment="1" applyProtection="1">
      <alignment horizontal="right" vertical="center" wrapText="1"/>
      <protection hidden="1"/>
    </xf>
    <xf numFmtId="3" fontId="6" fillId="0" borderId="9" xfId="0" applyNumberFormat="1" applyFont="1" applyBorder="1" applyAlignment="1" applyProtection="1">
      <alignment horizontal="right" vertical="center" wrapText="1"/>
      <protection hidden="1"/>
    </xf>
    <xf numFmtId="3" fontId="6" fillId="0" borderId="5" xfId="0" applyNumberFormat="1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23" fillId="0" borderId="0" xfId="1" applyFont="1" applyAlignment="1" applyProtection="1">
      <alignment horizontal="right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16" fillId="0" borderId="13" xfId="0" applyFont="1" applyFill="1" applyBorder="1" applyAlignment="1" applyProtection="1">
      <protection hidden="1"/>
    </xf>
    <xf numFmtId="3" fontId="6" fillId="0" borderId="4" xfId="0" applyNumberFormat="1" applyFont="1" applyBorder="1" applyAlignment="1" applyProtection="1">
      <alignment horizontal="right" vertical="center" wrapText="1"/>
      <protection hidden="1"/>
    </xf>
    <xf numFmtId="166" fontId="6" fillId="0" borderId="6" xfId="0" applyNumberFormat="1" applyFont="1" applyBorder="1" applyAlignment="1" applyProtection="1">
      <alignment horizontal="right" vertical="center" wrapText="1"/>
      <protection hidden="1"/>
    </xf>
    <xf numFmtId="3" fontId="6" fillId="0" borderId="8" xfId="0" applyNumberFormat="1" applyFont="1" applyBorder="1" applyAlignment="1" applyProtection="1">
      <alignment horizontal="right" vertical="center" wrapText="1"/>
      <protection hidden="1"/>
    </xf>
    <xf numFmtId="0" fontId="14" fillId="0" borderId="0" xfId="0" applyFont="1" applyFill="1" applyBorder="1" applyAlignment="1" applyProtection="1">
      <alignment horizontal="right" wrapText="1"/>
      <protection hidden="1"/>
    </xf>
    <xf numFmtId="0" fontId="8" fillId="7" borderId="0" xfId="0" applyFont="1" applyFill="1" applyBorder="1" applyAlignment="1" applyProtection="1">
      <alignment horizontal="right"/>
      <protection hidden="1"/>
    </xf>
    <xf numFmtId="0" fontId="19" fillId="0" borderId="0" xfId="0" applyFont="1" applyAlignment="1" applyProtection="1">
      <alignment horizontal="right"/>
      <protection hidden="1"/>
    </xf>
    <xf numFmtId="0" fontId="8" fillId="0" borderId="0" xfId="0" applyFont="1" applyBorder="1" applyAlignment="1" applyProtection="1">
      <alignment horizontal="right"/>
      <protection hidden="1"/>
    </xf>
    <xf numFmtId="0" fontId="0" fillId="0" borderId="0" xfId="0" applyFill="1" applyAlignment="1" applyProtection="1">
      <alignment horizontal="right"/>
      <protection hidden="1"/>
    </xf>
    <xf numFmtId="0" fontId="22" fillId="0" borderId="0" xfId="0" applyFont="1" applyFill="1" applyBorder="1" applyAlignment="1" applyProtection="1">
      <alignment horizontal="right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0" fontId="4" fillId="0" borderId="0" xfId="0" applyFont="1" applyFill="1" applyBorder="1" applyAlignment="1" applyProtection="1">
      <alignment horizontal="right" vertical="center" wrapText="1"/>
      <protection hidden="1"/>
    </xf>
    <xf numFmtId="0" fontId="4" fillId="0" borderId="5" xfId="0" applyFont="1" applyBorder="1" applyAlignment="1" applyProtection="1">
      <alignment horizontal="right" vertical="center" wrapText="1"/>
      <protection hidden="1"/>
    </xf>
    <xf numFmtId="0" fontId="4" fillId="0" borderId="9" xfId="0" applyFont="1" applyBorder="1" applyAlignment="1" applyProtection="1">
      <alignment horizontal="right" vertical="center" wrapText="1"/>
      <protection hidden="1"/>
    </xf>
    <xf numFmtId="0" fontId="4" fillId="0" borderId="7" xfId="0" applyFont="1" applyBorder="1" applyAlignment="1" applyProtection="1">
      <alignment horizontal="right" vertical="center" wrapText="1"/>
      <protection hidden="1"/>
    </xf>
    <xf numFmtId="0" fontId="4" fillId="0" borderId="25" xfId="0" applyFont="1" applyBorder="1" applyAlignment="1" applyProtection="1">
      <alignment horizontal="right" vertical="center" wrapText="1"/>
      <protection hidden="1"/>
    </xf>
    <xf numFmtId="0" fontId="4" fillId="0" borderId="26" xfId="0" applyFont="1" applyBorder="1" applyAlignment="1" applyProtection="1">
      <alignment horizontal="right" vertical="center" wrapText="1"/>
      <protection hidden="1"/>
    </xf>
    <xf numFmtId="0" fontId="4" fillId="0" borderId="24" xfId="0" applyFont="1" applyBorder="1" applyAlignment="1" applyProtection="1">
      <alignment horizontal="right" vertical="center" wrapText="1"/>
      <protection hidden="1"/>
    </xf>
    <xf numFmtId="0" fontId="6" fillId="4" borderId="2" xfId="0" applyFont="1" applyFill="1" applyBorder="1" applyAlignment="1" applyProtection="1">
      <alignment horizontal="right" vertical="center" wrapText="1"/>
      <protection hidden="1"/>
    </xf>
    <xf numFmtId="0" fontId="4" fillId="0" borderId="14" xfId="0" applyFont="1" applyBorder="1" applyAlignment="1" applyProtection="1">
      <alignment horizontal="right" vertical="center" wrapText="1"/>
      <protection hidden="1"/>
    </xf>
    <xf numFmtId="0" fontId="4" fillId="0" borderId="13" xfId="0" applyFont="1" applyBorder="1" applyAlignment="1" applyProtection="1">
      <alignment horizontal="right" vertical="center" wrapText="1"/>
      <protection hidden="1"/>
    </xf>
    <xf numFmtId="0" fontId="4" fillId="0" borderId="15" xfId="0" applyFont="1" applyBorder="1" applyAlignment="1" applyProtection="1">
      <alignment horizontal="right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20" fillId="5" borderId="32" xfId="0" applyFont="1" applyFill="1" applyBorder="1" applyProtection="1">
      <protection hidden="1"/>
    </xf>
    <xf numFmtId="0" fontId="20" fillId="0" borderId="13" xfId="0" applyFont="1" applyBorder="1" applyProtection="1">
      <protection hidden="1"/>
    </xf>
    <xf numFmtId="0" fontId="3" fillId="0" borderId="15" xfId="0" applyFont="1" applyBorder="1" applyAlignment="1" applyProtection="1">
      <alignment horizont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left" vertical="center" indent="2"/>
      <protection hidden="1"/>
    </xf>
    <xf numFmtId="0" fontId="0" fillId="9" borderId="24" xfId="0" applyFill="1" applyBorder="1" applyProtection="1">
      <protection hidden="1"/>
    </xf>
    <xf numFmtId="0" fontId="0" fillId="0" borderId="24" xfId="0" applyBorder="1" applyProtection="1">
      <protection hidden="1"/>
    </xf>
    <xf numFmtId="0" fontId="0" fillId="0" borderId="0" xfId="2" applyNumberFormat="1" applyFont="1" applyFill="1" applyBorder="1" applyProtection="1">
      <protection hidden="1"/>
    </xf>
    <xf numFmtId="2" fontId="0" fillId="0" borderId="0" xfId="2" applyNumberFormat="1" applyFont="1" applyFill="1" applyBorder="1" applyProtection="1">
      <protection hidden="1"/>
    </xf>
    <xf numFmtId="0" fontId="0" fillId="0" borderId="0" xfId="2" applyNumberFormat="1" applyFont="1" applyFill="1" applyProtection="1">
      <protection hidden="1"/>
    </xf>
    <xf numFmtId="2" fontId="0" fillId="0" borderId="0" xfId="2" applyNumberFormat="1" applyFont="1" applyFill="1" applyProtection="1">
      <protection hidden="1"/>
    </xf>
    <xf numFmtId="4" fontId="2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protection hidden="1"/>
    </xf>
    <xf numFmtId="0" fontId="6" fillId="0" borderId="0" xfId="0" applyFont="1" applyBorder="1" applyAlignment="1" applyProtection="1">
      <alignment horizontal="right"/>
      <protection hidden="1"/>
    </xf>
    <xf numFmtId="0" fontId="20" fillId="5" borderId="2" xfId="0" applyFont="1" applyFill="1" applyBorder="1" applyProtection="1">
      <protection hidden="1"/>
    </xf>
    <xf numFmtId="4" fontId="2" fillId="0" borderId="4" xfId="0" applyNumberFormat="1" applyFont="1" applyFill="1" applyBorder="1" applyAlignment="1" applyProtection="1">
      <alignment horizontal="right" vertical="center" wrapText="1" inden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Alignment="1" applyProtection="1">
      <alignment horizontal="right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6" fillId="0" borderId="12" xfId="0" applyFont="1" applyBorder="1" applyAlignment="1" applyProtection="1">
      <alignment horizontal="left" vertical="center" indent="2"/>
      <protection hidden="1"/>
    </xf>
    <xf numFmtId="0" fontId="20" fillId="0" borderId="30" xfId="0" applyFont="1" applyBorder="1" applyProtection="1">
      <protection hidden="1"/>
    </xf>
    <xf numFmtId="4" fontId="2" fillId="0" borderId="25" xfId="0" applyNumberFormat="1" applyFont="1" applyFill="1" applyBorder="1" applyAlignment="1" applyProtection="1">
      <alignment horizontal="right" vertical="center" wrapText="1" indent="1"/>
      <protection hidden="1"/>
    </xf>
    <xf numFmtId="0" fontId="3" fillId="0" borderId="32" xfId="0" applyFont="1" applyBorder="1" applyAlignment="1" applyProtection="1">
      <alignment horizontal="center"/>
      <protection hidden="1"/>
    </xf>
    <xf numFmtId="0" fontId="6" fillId="4" borderId="40" xfId="0" applyFont="1" applyFill="1" applyBorder="1" applyAlignment="1" applyProtection="1">
      <alignment horizontal="right" vertical="center" wrapText="1"/>
      <protection hidden="1"/>
    </xf>
    <xf numFmtId="0" fontId="2" fillId="4" borderId="40" xfId="0" applyFont="1" applyFill="1" applyBorder="1" applyAlignment="1" applyProtection="1">
      <alignment horizontal="center" vertical="center" wrapText="1"/>
      <protection hidden="1"/>
    </xf>
    <xf numFmtId="0" fontId="2" fillId="4" borderId="35" xfId="0" applyFont="1" applyFill="1" applyBorder="1" applyAlignment="1" applyProtection="1">
      <alignment horizontal="center" vertical="center" wrapText="1"/>
      <protection hidden="1"/>
    </xf>
    <xf numFmtId="0" fontId="6" fillId="4" borderId="41" xfId="0" applyFont="1" applyFill="1" applyBorder="1" applyAlignment="1" applyProtection="1">
      <alignment horizontal="right" vertical="center" wrapText="1"/>
      <protection hidden="1"/>
    </xf>
    <xf numFmtId="0" fontId="2" fillId="4" borderId="41" xfId="0" applyFont="1" applyFill="1" applyBorder="1" applyAlignment="1" applyProtection="1">
      <alignment horizontal="center" vertical="center" wrapText="1"/>
      <protection hidden="1"/>
    </xf>
    <xf numFmtId="0" fontId="2" fillId="4" borderId="37" xfId="0" applyFont="1" applyFill="1" applyBorder="1" applyAlignment="1" applyProtection="1">
      <alignment horizontal="center" vertical="center" wrapText="1"/>
      <protection hidden="1"/>
    </xf>
    <xf numFmtId="0" fontId="6" fillId="4" borderId="39" xfId="0" applyFont="1" applyFill="1" applyBorder="1" applyAlignment="1" applyProtection="1">
      <alignment horizontal="right" vertical="center" wrapText="1"/>
      <protection hidden="1"/>
    </xf>
    <xf numFmtId="0" fontId="2" fillId="4" borderId="39" xfId="0" applyFont="1" applyFill="1" applyBorder="1" applyAlignment="1" applyProtection="1">
      <alignment horizontal="center" vertical="center" wrapText="1"/>
      <protection hidden="1"/>
    </xf>
    <xf numFmtId="0" fontId="2" fillId="4" borderId="38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Border="1" applyAlignment="1" applyProtection="1">
      <alignment horizontal="left" vertical="top" wrapText="1"/>
      <protection hidden="1"/>
    </xf>
    <xf numFmtId="0" fontId="49" fillId="0" borderId="3" xfId="0" applyFont="1" applyFill="1" applyBorder="1" applyAlignment="1" applyProtection="1">
      <alignment horizontal="left" wrapText="1"/>
      <protection hidden="1"/>
    </xf>
    <xf numFmtId="0" fontId="16" fillId="0" borderId="16" xfId="0" applyFont="1" applyBorder="1" applyAlignment="1" applyProtection="1">
      <alignment horizontal="right" indent="2"/>
      <protection hidden="1"/>
    </xf>
    <xf numFmtId="0" fontId="16" fillId="0" borderId="27" xfId="0" applyFont="1" applyBorder="1" applyAlignment="1" applyProtection="1">
      <alignment horizontal="right" indent="2"/>
      <protection hidden="1"/>
    </xf>
    <xf numFmtId="0" fontId="34" fillId="0" borderId="0" xfId="1" applyFont="1" applyFill="1" applyAlignment="1" applyProtection="1">
      <alignment horizontal="right"/>
      <protection hidden="1"/>
    </xf>
    <xf numFmtId="0" fontId="6" fillId="4" borderId="8" xfId="0" applyFont="1" applyFill="1" applyBorder="1" applyAlignment="1" applyProtection="1">
      <alignment horizontal="center" vertical="center" wrapText="1"/>
      <protection hidden="1"/>
    </xf>
    <xf numFmtId="0" fontId="6" fillId="4" borderId="44" xfId="0" applyFont="1" applyFill="1" applyBorder="1" applyAlignment="1" applyProtection="1">
      <alignment horizontal="center" vertical="center" wrapText="1"/>
      <protection hidden="1"/>
    </xf>
    <xf numFmtId="0" fontId="6" fillId="4" borderId="23" xfId="0" applyFont="1" applyFill="1" applyBorder="1" applyAlignment="1" applyProtection="1">
      <alignment horizontal="center" vertical="center" wrapText="1"/>
      <protection hidden="1"/>
    </xf>
    <xf numFmtId="0" fontId="6" fillId="4" borderId="15" xfId="0" applyFont="1" applyFill="1" applyBorder="1" applyAlignment="1" applyProtection="1">
      <alignment horizontal="center" vertical="center" wrapText="1"/>
      <protection hidden="1"/>
    </xf>
    <xf numFmtId="9" fontId="14" fillId="5" borderId="3" xfId="0" applyNumberFormat="1" applyFont="1" applyFill="1" applyBorder="1" applyAlignment="1" applyProtection="1">
      <alignment horizontal="left" wrapText="1"/>
      <protection hidden="1"/>
    </xf>
    <xf numFmtId="0" fontId="14" fillId="5" borderId="3" xfId="0" applyFont="1" applyFill="1" applyBorder="1" applyAlignment="1" applyProtection="1">
      <alignment horizontal="left" wrapText="1"/>
      <protection hidden="1"/>
    </xf>
    <xf numFmtId="0" fontId="49" fillId="5" borderId="3" xfId="0" applyFont="1" applyFill="1" applyBorder="1" applyAlignment="1" applyProtection="1">
      <alignment horizontal="left" wrapText="1"/>
      <protection hidden="1"/>
    </xf>
    <xf numFmtId="0" fontId="28" fillId="5" borderId="3" xfId="0" applyFont="1" applyFill="1" applyBorder="1" applyAlignment="1" applyProtection="1">
      <alignment horizontal="center"/>
      <protection hidden="1"/>
    </xf>
    <xf numFmtId="0" fontId="34" fillId="5" borderId="3" xfId="1" applyFont="1" applyFill="1" applyBorder="1" applyAlignment="1" applyProtection="1">
      <alignment horizontal="right"/>
      <protection hidden="1"/>
    </xf>
    <xf numFmtId="0" fontId="2" fillId="4" borderId="4" xfId="0" applyFont="1" applyFill="1" applyBorder="1" applyAlignment="1" applyProtection="1">
      <alignment horizontal="center" vertical="center" wrapText="1"/>
      <protection hidden="1"/>
    </xf>
    <xf numFmtId="0" fontId="2" fillId="4" borderId="22" xfId="0" applyFont="1" applyFill="1" applyBorder="1" applyAlignment="1" applyProtection="1">
      <alignment horizontal="center" vertical="center" wrapText="1"/>
      <protection hidden="1"/>
    </xf>
    <xf numFmtId="0" fontId="2" fillId="4" borderId="14" xfId="0" applyFont="1" applyFill="1" applyBorder="1" applyAlignment="1" applyProtection="1">
      <alignment horizontal="center" vertical="center" wrapText="1"/>
      <protection hidden="1"/>
    </xf>
    <xf numFmtId="0" fontId="16" fillId="0" borderId="17" xfId="0" applyFont="1" applyFill="1" applyBorder="1" applyAlignment="1" applyProtection="1">
      <alignment horizontal="right"/>
      <protection hidden="1"/>
    </xf>
    <xf numFmtId="0" fontId="16" fillId="0" borderId="13" xfId="0" applyFont="1" applyFill="1" applyBorder="1" applyAlignment="1" applyProtection="1">
      <alignment horizontal="right"/>
      <protection hidden="1"/>
    </xf>
    <xf numFmtId="0" fontId="23" fillId="0" borderId="0" xfId="1" applyFont="1" applyAlignment="1" applyProtection="1">
      <alignment horizontal="right"/>
      <protection hidden="1"/>
    </xf>
    <xf numFmtId="0" fontId="0" fillId="0" borderId="0" xfId="0" applyAlignment="1"/>
    <xf numFmtId="0" fontId="6" fillId="4" borderId="6" xfId="0" applyFont="1" applyFill="1" applyBorder="1" applyAlignment="1" applyProtection="1">
      <alignment horizontal="center" vertical="center" wrapText="1"/>
      <protection hidden="1"/>
    </xf>
    <xf numFmtId="0" fontId="6" fillId="4" borderId="13" xfId="0" applyFont="1" applyFill="1" applyBorder="1" applyAlignment="1" applyProtection="1">
      <alignment horizontal="center" vertical="center" wrapText="1"/>
      <protection hidden="1"/>
    </xf>
    <xf numFmtId="0" fontId="6" fillId="0" borderId="1" xfId="0" applyFont="1" applyBorder="1" applyAlignment="1" applyProtection="1">
      <alignment horizontal="center" wrapText="1"/>
      <protection hidden="1"/>
    </xf>
    <xf numFmtId="0" fontId="6" fillId="0" borderId="2" xfId="0" applyFont="1" applyBorder="1" applyAlignment="1" applyProtection="1">
      <alignment horizontal="center" wrapText="1"/>
      <protection hidden="1"/>
    </xf>
    <xf numFmtId="0" fontId="6" fillId="4" borderId="24" xfId="0" applyFont="1" applyFill="1" applyBorder="1" applyAlignment="1" applyProtection="1">
      <alignment horizontal="center" vertical="center" wrapText="1"/>
      <protection hidden="1"/>
    </xf>
    <xf numFmtId="0" fontId="6" fillId="4" borderId="25" xfId="0" applyFont="1" applyFill="1" applyBorder="1" applyAlignment="1" applyProtection="1">
      <alignment horizontal="center" vertical="center" wrapText="1"/>
      <protection hidden="1"/>
    </xf>
    <xf numFmtId="0" fontId="6" fillId="4" borderId="26" xfId="0" applyFont="1" applyFill="1" applyBorder="1" applyAlignment="1" applyProtection="1">
      <alignment horizontal="center" vertical="center" wrapText="1"/>
      <protection hidden="1"/>
    </xf>
    <xf numFmtId="9" fontId="22" fillId="5" borderId="3" xfId="0" applyNumberFormat="1" applyFont="1" applyFill="1" applyBorder="1" applyAlignment="1" applyProtection="1">
      <alignment horizontal="left" wrapText="1"/>
      <protection hidden="1"/>
    </xf>
    <xf numFmtId="0" fontId="22" fillId="5" borderId="3" xfId="0" applyFont="1" applyFill="1" applyBorder="1" applyAlignment="1" applyProtection="1">
      <alignment horizontal="left" wrapText="1"/>
      <protection hidden="1"/>
    </xf>
    <xf numFmtId="0" fontId="16" fillId="0" borderId="16" xfId="0" applyFont="1" applyFill="1" applyBorder="1" applyAlignment="1" applyProtection="1">
      <alignment horizontal="right"/>
      <protection hidden="1"/>
    </xf>
    <xf numFmtId="0" fontId="16" fillId="0" borderId="27" xfId="0" applyFont="1" applyFill="1" applyBorder="1" applyAlignment="1" applyProtection="1">
      <alignment horizontal="right"/>
      <protection hidden="1"/>
    </xf>
    <xf numFmtId="0" fontId="0" fillId="0" borderId="3" xfId="0" applyBorder="1" applyAlignment="1">
      <alignment wrapText="1"/>
    </xf>
    <xf numFmtId="0" fontId="23" fillId="5" borderId="3" xfId="1" applyFont="1" applyFill="1" applyBorder="1" applyAlignment="1" applyProtection="1">
      <alignment horizontal="right"/>
      <protection hidden="1"/>
    </xf>
    <xf numFmtId="0" fontId="6" fillId="4" borderId="51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6" fillId="4" borderId="17" xfId="0" applyFont="1" applyFill="1" applyBorder="1" applyAlignment="1" applyProtection="1">
      <alignment horizontal="center" vertical="center" wrapText="1"/>
      <protection hidden="1"/>
    </xf>
    <xf numFmtId="0" fontId="23" fillId="0" borderId="0" xfId="1" applyFont="1" applyFill="1" applyAlignment="1" applyProtection="1">
      <alignment horizontal="right"/>
      <protection hidden="1"/>
    </xf>
    <xf numFmtId="0" fontId="34" fillId="0" borderId="0" xfId="1" applyFont="1" applyAlignment="1" applyProtection="1">
      <alignment horizontal="right"/>
      <protection hidden="1"/>
    </xf>
    <xf numFmtId="0" fontId="6" fillId="0" borderId="45" xfId="0" applyFont="1" applyFill="1" applyBorder="1" applyAlignment="1" applyProtection="1">
      <alignment horizontal="center" vertical="center"/>
      <protection hidden="1"/>
    </xf>
    <xf numFmtId="0" fontId="6" fillId="0" borderId="46" xfId="0" applyFont="1" applyFill="1" applyBorder="1" applyAlignment="1" applyProtection="1">
      <alignment horizontal="center" vertical="center"/>
      <protection hidden="1"/>
    </xf>
    <xf numFmtId="0" fontId="21" fillId="5" borderId="10" xfId="1" applyFont="1" applyFill="1" applyBorder="1" applyAlignment="1" applyProtection="1">
      <alignment horizontal="center" vertical="center"/>
      <protection hidden="1"/>
    </xf>
    <xf numFmtId="0" fontId="21" fillId="5" borderId="18" xfId="1" applyFont="1" applyFill="1" applyBorder="1" applyAlignment="1" applyProtection="1">
      <alignment horizontal="center" vertical="center"/>
      <protection hidden="1"/>
    </xf>
    <xf numFmtId="0" fontId="0" fillId="0" borderId="3" xfId="0" applyBorder="1" applyAlignment="1"/>
    <xf numFmtId="0" fontId="8" fillId="0" borderId="0" xfId="0" applyFont="1" applyAlignment="1" applyProtection="1">
      <alignment horizontal="left"/>
      <protection hidden="1"/>
    </xf>
    <xf numFmtId="0" fontId="37" fillId="0" borderId="0" xfId="0" applyFont="1" applyAlignment="1" applyProtection="1">
      <alignment horizontal="left" wrapText="1"/>
      <protection hidden="1"/>
    </xf>
    <xf numFmtId="0" fontId="37" fillId="0" borderId="0" xfId="0" applyFont="1" applyAlignment="1" applyProtection="1">
      <alignment horizontal="left"/>
      <protection hidden="1"/>
    </xf>
    <xf numFmtId="0" fontId="6" fillId="4" borderId="15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vertical="center" wrapText="1"/>
      <protection hidden="1"/>
    </xf>
    <xf numFmtId="0" fontId="6" fillId="4" borderId="2" xfId="0" applyFont="1" applyFill="1" applyBorder="1" applyAlignment="1" applyProtection="1">
      <alignment horizontal="center" vertical="center" wrapText="1"/>
      <protection hidden="1"/>
    </xf>
    <xf numFmtId="0" fontId="4" fillId="0" borderId="24" xfId="0" applyFont="1" applyBorder="1" applyAlignment="1" applyProtection="1">
      <alignment horizontal="right" vertical="center"/>
      <protection hidden="1"/>
    </xf>
    <xf numFmtId="0" fontId="4" fillId="0" borderId="26" xfId="0" applyFont="1" applyBorder="1" applyAlignment="1" applyProtection="1">
      <alignment horizontal="right" vertical="center"/>
      <protection hidden="1"/>
    </xf>
    <xf numFmtId="3" fontId="2" fillId="0" borderId="3" xfId="0" applyNumberFormat="1" applyFont="1" applyFill="1" applyBorder="1" applyAlignment="1" applyProtection="1">
      <alignment horizontal="left" vertical="center" wrapText="1"/>
      <protection hidden="1"/>
    </xf>
    <xf numFmtId="0" fontId="6" fillId="4" borderId="10" xfId="0" applyFont="1" applyFill="1" applyBorder="1" applyAlignment="1" applyProtection="1">
      <alignment horizontal="left" vertical="center" wrapText="1" indent="2"/>
      <protection hidden="1"/>
    </xf>
    <xf numFmtId="0" fontId="6" fillId="4" borderId="12" xfId="0" applyFont="1" applyFill="1" applyBorder="1" applyAlignment="1" applyProtection="1">
      <alignment horizontal="left" vertical="center" wrapText="1" indent="2"/>
      <protection hidden="1"/>
    </xf>
    <xf numFmtId="0" fontId="6" fillId="4" borderId="45" xfId="0" applyFont="1" applyFill="1" applyBorder="1" applyAlignment="1" applyProtection="1">
      <alignment horizontal="left" vertical="center" wrapText="1" indent="2"/>
      <protection hidden="1"/>
    </xf>
    <xf numFmtId="0" fontId="3" fillId="5" borderId="1" xfId="0" applyFont="1" applyFill="1" applyBorder="1" applyAlignment="1" applyProtection="1">
      <alignment horizontal="left" wrapText="1"/>
      <protection hidden="1"/>
    </xf>
    <xf numFmtId="0" fontId="3" fillId="5" borderId="29" xfId="0" applyFont="1" applyFill="1" applyBorder="1" applyAlignment="1" applyProtection="1">
      <alignment horizontal="left" wrapText="1"/>
      <protection hidden="1"/>
    </xf>
    <xf numFmtId="9" fontId="3" fillId="5" borderId="1" xfId="0" applyNumberFormat="1" applyFont="1" applyFill="1" applyBorder="1" applyAlignment="1" applyProtection="1">
      <alignment horizontal="left" wrapText="1"/>
      <protection hidden="1"/>
    </xf>
    <xf numFmtId="0" fontId="3" fillId="5" borderId="10" xfId="0" applyFont="1" applyFill="1" applyBorder="1" applyAlignment="1" applyProtection="1">
      <alignment horizontal="left" wrapText="1"/>
      <protection hidden="1"/>
    </xf>
    <xf numFmtId="0" fontId="3" fillId="5" borderId="32" xfId="0" applyFont="1" applyFill="1" applyBorder="1" applyAlignment="1" applyProtection="1">
      <alignment horizontal="left" wrapText="1"/>
      <protection hidden="1"/>
    </xf>
    <xf numFmtId="0" fontId="6" fillId="4" borderId="4" xfId="0" applyFont="1" applyFill="1" applyBorder="1" applyAlignment="1" applyProtection="1">
      <alignment horizontal="left" vertical="center" wrapText="1" indent="2"/>
      <protection hidden="1"/>
    </xf>
    <xf numFmtId="0" fontId="6" fillId="4" borderId="6" xfId="0" applyFont="1" applyFill="1" applyBorder="1" applyAlignment="1" applyProtection="1">
      <alignment horizontal="left" vertical="center" wrapText="1" indent="2"/>
      <protection hidden="1"/>
    </xf>
    <xf numFmtId="0" fontId="6" fillId="4" borderId="8" xfId="0" applyFont="1" applyFill="1" applyBorder="1" applyAlignment="1" applyProtection="1">
      <alignment horizontal="left" vertical="center" wrapText="1" indent="2"/>
      <protection hidden="1"/>
    </xf>
    <xf numFmtId="9" fontId="3" fillId="5" borderId="29" xfId="0" applyNumberFormat="1" applyFont="1" applyFill="1" applyBorder="1" applyAlignment="1" applyProtection="1">
      <alignment horizontal="left" wrapText="1"/>
      <protection hidden="1"/>
    </xf>
    <xf numFmtId="3" fontId="2" fillId="0" borderId="29" xfId="0" applyNumberFormat="1" applyFont="1" applyFill="1" applyBorder="1" applyAlignment="1" applyProtection="1">
      <alignment horizontal="left" vertical="center" wrapText="1"/>
      <protection hidden="1"/>
    </xf>
    <xf numFmtId="0" fontId="2" fillId="0" borderId="22" xfId="0" applyFont="1" applyBorder="1" applyAlignment="1" applyProtection="1">
      <alignment horizontal="center" vertical="center"/>
      <protection hidden="1"/>
    </xf>
    <xf numFmtId="0" fontId="25" fillId="5" borderId="29" xfId="1" applyFont="1" applyFill="1" applyBorder="1" applyAlignment="1" applyProtection="1">
      <alignment horizontal="right" vertical="center"/>
      <protection hidden="1"/>
    </xf>
    <xf numFmtId="0" fontId="25" fillId="5" borderId="2" xfId="1" applyFont="1" applyFill="1" applyBorder="1" applyAlignment="1" applyProtection="1">
      <alignment horizontal="right" vertical="center"/>
      <protection hidden="1"/>
    </xf>
    <xf numFmtId="9" fontId="3" fillId="5" borderId="1" xfId="0" applyNumberFormat="1" applyFont="1" applyFill="1" applyBorder="1" applyAlignment="1" applyProtection="1">
      <alignment wrapText="1"/>
      <protection hidden="1"/>
    </xf>
    <xf numFmtId="9" fontId="3" fillId="5" borderId="29" xfId="0" applyNumberFormat="1" applyFont="1" applyFill="1" applyBorder="1" applyAlignment="1" applyProtection="1">
      <alignment wrapText="1"/>
      <protection hidden="1"/>
    </xf>
    <xf numFmtId="0" fontId="6" fillId="4" borderId="10" xfId="0" applyFont="1" applyFill="1" applyBorder="1" applyAlignment="1" applyProtection="1">
      <alignment horizontal="center" vertical="center" wrapText="1"/>
      <protection hidden="1"/>
    </xf>
    <xf numFmtId="0" fontId="6" fillId="4" borderId="45" xfId="0" applyFont="1" applyFill="1" applyBorder="1" applyAlignment="1" applyProtection="1">
      <alignment horizontal="center" vertical="center" wrapText="1"/>
      <protection hidden="1"/>
    </xf>
    <xf numFmtId="0" fontId="6" fillId="4" borderId="34" xfId="0" applyFont="1" applyFill="1" applyBorder="1" applyAlignment="1" applyProtection="1">
      <alignment horizontal="left" vertical="center" wrapText="1" indent="2"/>
      <protection hidden="1"/>
    </xf>
    <xf numFmtId="0" fontId="6" fillId="4" borderId="36" xfId="0" applyFont="1" applyFill="1" applyBorder="1" applyAlignment="1" applyProtection="1">
      <alignment horizontal="left" vertical="center" wrapText="1" indent="2"/>
      <protection hidden="1"/>
    </xf>
    <xf numFmtId="0" fontId="6" fillId="4" borderId="33" xfId="0" applyFont="1" applyFill="1" applyBorder="1" applyAlignment="1" applyProtection="1">
      <alignment horizontal="left" vertical="center" wrapText="1" indent="2"/>
      <protection hidden="1"/>
    </xf>
    <xf numFmtId="0" fontId="3" fillId="0" borderId="0" xfId="0" applyFont="1" applyAlignment="1" applyProtection="1">
      <alignment horizontal="left"/>
      <protection hidden="1"/>
    </xf>
    <xf numFmtId="2" fontId="44" fillId="0" borderId="0" xfId="0" applyNumberFormat="1" applyFont="1" applyAlignment="1" applyProtection="1">
      <alignment horizontal="left"/>
      <protection hidden="1"/>
    </xf>
    <xf numFmtId="0" fontId="6" fillId="4" borderId="1" xfId="0" applyFont="1" applyFill="1" applyBorder="1" applyAlignment="1" applyProtection="1">
      <alignment horizontal="center" vertical="center"/>
      <protection hidden="1"/>
    </xf>
    <xf numFmtId="0" fontId="6" fillId="4" borderId="2" xfId="0" applyFont="1" applyFill="1" applyBorder="1" applyAlignment="1" applyProtection="1">
      <alignment horizontal="center" vertical="center"/>
      <protection hidden="1"/>
    </xf>
    <xf numFmtId="0" fontId="6" fillId="4" borderId="1" xfId="0" applyFont="1" applyFill="1" applyBorder="1" applyAlignment="1" applyProtection="1">
      <alignment horizontal="center" wrapText="1"/>
      <protection hidden="1"/>
    </xf>
    <xf numFmtId="0" fontId="6" fillId="4" borderId="29" xfId="0" applyFont="1" applyFill="1" applyBorder="1" applyAlignment="1" applyProtection="1">
      <alignment horizontal="center" wrapText="1"/>
      <protection hidden="1"/>
    </xf>
    <xf numFmtId="0" fontId="6" fillId="4" borderId="2" xfId="0" applyFont="1" applyFill="1" applyBorder="1" applyAlignment="1" applyProtection="1">
      <alignment horizontal="center" wrapText="1"/>
      <protection hidden="1"/>
    </xf>
  </cellXfs>
  <cellStyles count="3">
    <cellStyle name="Гиперссылка" xfId="1" builtinId="8"/>
    <cellStyle name="Обычный" xfId="0" builtinId="0"/>
    <cellStyle name="Процентный" xfId="2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8.png"/><Relationship Id="rId21" Type="http://schemas.openxmlformats.org/officeDocument/2006/relationships/image" Target="../media/image22.jpeg"/><Relationship Id="rId42" Type="http://schemas.openxmlformats.org/officeDocument/2006/relationships/image" Target="../media/image43.png"/><Relationship Id="rId63" Type="http://schemas.openxmlformats.org/officeDocument/2006/relationships/image" Target="../media/image64.jpeg"/><Relationship Id="rId84" Type="http://schemas.openxmlformats.org/officeDocument/2006/relationships/image" Target="../media/image85.png"/><Relationship Id="rId138" Type="http://schemas.openxmlformats.org/officeDocument/2006/relationships/image" Target="../media/image139.png"/><Relationship Id="rId159" Type="http://schemas.openxmlformats.org/officeDocument/2006/relationships/image" Target="../media/image160.png"/><Relationship Id="rId170" Type="http://schemas.openxmlformats.org/officeDocument/2006/relationships/image" Target="../media/image171.jpeg"/><Relationship Id="rId191" Type="http://schemas.openxmlformats.org/officeDocument/2006/relationships/image" Target="../media/image192.jpeg"/><Relationship Id="rId107" Type="http://schemas.openxmlformats.org/officeDocument/2006/relationships/image" Target="../media/image108.png"/><Relationship Id="rId11" Type="http://schemas.openxmlformats.org/officeDocument/2006/relationships/image" Target="../media/image12.jpeg"/><Relationship Id="rId32" Type="http://schemas.openxmlformats.org/officeDocument/2006/relationships/image" Target="../media/image33.jpeg"/><Relationship Id="rId53" Type="http://schemas.openxmlformats.org/officeDocument/2006/relationships/image" Target="../media/image54.png"/><Relationship Id="rId74" Type="http://schemas.openxmlformats.org/officeDocument/2006/relationships/image" Target="../media/image75.jpeg"/><Relationship Id="rId128" Type="http://schemas.openxmlformats.org/officeDocument/2006/relationships/image" Target="../media/image129.png"/><Relationship Id="rId149" Type="http://schemas.openxmlformats.org/officeDocument/2006/relationships/image" Target="../media/image150.jpeg"/><Relationship Id="rId5" Type="http://schemas.openxmlformats.org/officeDocument/2006/relationships/image" Target="../media/image6.jpeg"/><Relationship Id="rId95" Type="http://schemas.openxmlformats.org/officeDocument/2006/relationships/image" Target="../media/image96.jpeg"/><Relationship Id="rId160" Type="http://schemas.openxmlformats.org/officeDocument/2006/relationships/image" Target="../media/image161.png"/><Relationship Id="rId181" Type="http://schemas.openxmlformats.org/officeDocument/2006/relationships/image" Target="../media/image182.png"/><Relationship Id="rId22" Type="http://schemas.openxmlformats.org/officeDocument/2006/relationships/image" Target="../media/image23.jpeg"/><Relationship Id="rId43" Type="http://schemas.openxmlformats.org/officeDocument/2006/relationships/image" Target="../media/image44.png"/><Relationship Id="rId64" Type="http://schemas.openxmlformats.org/officeDocument/2006/relationships/image" Target="../media/image65.jpeg"/><Relationship Id="rId118" Type="http://schemas.openxmlformats.org/officeDocument/2006/relationships/image" Target="../media/image119.png"/><Relationship Id="rId139" Type="http://schemas.openxmlformats.org/officeDocument/2006/relationships/image" Target="../media/image140.png"/><Relationship Id="rId85" Type="http://schemas.openxmlformats.org/officeDocument/2006/relationships/image" Target="../media/image86.png"/><Relationship Id="rId150" Type="http://schemas.openxmlformats.org/officeDocument/2006/relationships/image" Target="../media/image151.png"/><Relationship Id="rId171" Type="http://schemas.openxmlformats.org/officeDocument/2006/relationships/image" Target="../media/image172.jpeg"/><Relationship Id="rId192" Type="http://schemas.openxmlformats.org/officeDocument/2006/relationships/image" Target="../media/image193.jpeg"/><Relationship Id="rId12" Type="http://schemas.openxmlformats.org/officeDocument/2006/relationships/image" Target="../media/image13.jpeg"/><Relationship Id="rId33" Type="http://schemas.openxmlformats.org/officeDocument/2006/relationships/image" Target="../media/image34.png"/><Relationship Id="rId108" Type="http://schemas.openxmlformats.org/officeDocument/2006/relationships/image" Target="../media/image109.png"/><Relationship Id="rId129" Type="http://schemas.openxmlformats.org/officeDocument/2006/relationships/image" Target="../media/image130.png"/><Relationship Id="rId54" Type="http://schemas.openxmlformats.org/officeDocument/2006/relationships/image" Target="../media/image55.jpeg"/><Relationship Id="rId75" Type="http://schemas.openxmlformats.org/officeDocument/2006/relationships/image" Target="../media/image76.jpeg"/><Relationship Id="rId96" Type="http://schemas.openxmlformats.org/officeDocument/2006/relationships/image" Target="../media/image97.png"/><Relationship Id="rId140" Type="http://schemas.openxmlformats.org/officeDocument/2006/relationships/image" Target="../media/image141.png"/><Relationship Id="rId161" Type="http://schemas.openxmlformats.org/officeDocument/2006/relationships/image" Target="../media/image162.png"/><Relationship Id="rId182" Type="http://schemas.openxmlformats.org/officeDocument/2006/relationships/image" Target="../media/image183.png"/><Relationship Id="rId6" Type="http://schemas.openxmlformats.org/officeDocument/2006/relationships/image" Target="../media/image7.jpeg"/><Relationship Id="rId23" Type="http://schemas.openxmlformats.org/officeDocument/2006/relationships/image" Target="../media/image24.jpeg"/><Relationship Id="rId119" Type="http://schemas.openxmlformats.org/officeDocument/2006/relationships/image" Target="../media/image120.png"/><Relationship Id="rId44" Type="http://schemas.openxmlformats.org/officeDocument/2006/relationships/image" Target="../media/image45.png"/><Relationship Id="rId65" Type="http://schemas.openxmlformats.org/officeDocument/2006/relationships/image" Target="../media/image66.jpeg"/><Relationship Id="rId86" Type="http://schemas.openxmlformats.org/officeDocument/2006/relationships/image" Target="../media/image87.png"/><Relationship Id="rId130" Type="http://schemas.openxmlformats.org/officeDocument/2006/relationships/image" Target="../media/image131.png"/><Relationship Id="rId151" Type="http://schemas.openxmlformats.org/officeDocument/2006/relationships/image" Target="../media/image152.png"/><Relationship Id="rId172" Type="http://schemas.openxmlformats.org/officeDocument/2006/relationships/image" Target="../media/image173.jpeg"/><Relationship Id="rId193" Type="http://schemas.openxmlformats.org/officeDocument/2006/relationships/image" Target="../media/image194.jpeg"/><Relationship Id="rId13" Type="http://schemas.openxmlformats.org/officeDocument/2006/relationships/image" Target="../media/image14.jpeg"/><Relationship Id="rId109" Type="http://schemas.openxmlformats.org/officeDocument/2006/relationships/image" Target="../media/image110.png"/><Relationship Id="rId34" Type="http://schemas.openxmlformats.org/officeDocument/2006/relationships/image" Target="../media/image35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6" Type="http://schemas.openxmlformats.org/officeDocument/2006/relationships/image" Target="../media/image77.jpeg"/><Relationship Id="rId97" Type="http://schemas.openxmlformats.org/officeDocument/2006/relationships/image" Target="../media/image98.png"/><Relationship Id="rId104" Type="http://schemas.openxmlformats.org/officeDocument/2006/relationships/image" Target="../media/image105.png"/><Relationship Id="rId120" Type="http://schemas.openxmlformats.org/officeDocument/2006/relationships/image" Target="../media/image121.png"/><Relationship Id="rId125" Type="http://schemas.openxmlformats.org/officeDocument/2006/relationships/image" Target="../media/image126.png"/><Relationship Id="rId141" Type="http://schemas.openxmlformats.org/officeDocument/2006/relationships/image" Target="../media/image142.jpeg"/><Relationship Id="rId146" Type="http://schemas.openxmlformats.org/officeDocument/2006/relationships/image" Target="../media/image147.png"/><Relationship Id="rId167" Type="http://schemas.openxmlformats.org/officeDocument/2006/relationships/image" Target="../media/image168.jpeg"/><Relationship Id="rId188" Type="http://schemas.openxmlformats.org/officeDocument/2006/relationships/image" Target="../media/image189.png"/><Relationship Id="rId7" Type="http://schemas.openxmlformats.org/officeDocument/2006/relationships/image" Target="../media/image8.jpeg"/><Relationship Id="rId71" Type="http://schemas.openxmlformats.org/officeDocument/2006/relationships/image" Target="../media/image72.emf"/><Relationship Id="rId92" Type="http://schemas.openxmlformats.org/officeDocument/2006/relationships/image" Target="../media/image93.png"/><Relationship Id="rId162" Type="http://schemas.openxmlformats.org/officeDocument/2006/relationships/image" Target="../media/image163.png"/><Relationship Id="rId183" Type="http://schemas.openxmlformats.org/officeDocument/2006/relationships/image" Target="../media/image184.png"/><Relationship Id="rId2" Type="http://schemas.openxmlformats.org/officeDocument/2006/relationships/image" Target="../media/image3.jpeg"/><Relationship Id="rId29" Type="http://schemas.openxmlformats.org/officeDocument/2006/relationships/image" Target="../media/image30.jpeg"/><Relationship Id="rId24" Type="http://schemas.openxmlformats.org/officeDocument/2006/relationships/image" Target="../media/image25.jpeg"/><Relationship Id="rId40" Type="http://schemas.openxmlformats.org/officeDocument/2006/relationships/image" Target="../media/image41.jpeg"/><Relationship Id="rId45" Type="http://schemas.openxmlformats.org/officeDocument/2006/relationships/image" Target="../media/image46.png"/><Relationship Id="rId66" Type="http://schemas.openxmlformats.org/officeDocument/2006/relationships/image" Target="../media/image67.png"/><Relationship Id="rId87" Type="http://schemas.openxmlformats.org/officeDocument/2006/relationships/image" Target="../media/image88.png"/><Relationship Id="rId110" Type="http://schemas.openxmlformats.org/officeDocument/2006/relationships/image" Target="../media/image111.png"/><Relationship Id="rId115" Type="http://schemas.openxmlformats.org/officeDocument/2006/relationships/image" Target="../media/image116.png"/><Relationship Id="rId131" Type="http://schemas.openxmlformats.org/officeDocument/2006/relationships/image" Target="../media/image132.png"/><Relationship Id="rId136" Type="http://schemas.openxmlformats.org/officeDocument/2006/relationships/image" Target="../media/image137.png"/><Relationship Id="rId157" Type="http://schemas.openxmlformats.org/officeDocument/2006/relationships/image" Target="../media/image158.png"/><Relationship Id="rId178" Type="http://schemas.openxmlformats.org/officeDocument/2006/relationships/image" Target="../media/image179.png"/><Relationship Id="rId61" Type="http://schemas.openxmlformats.org/officeDocument/2006/relationships/image" Target="../media/image62.jpeg"/><Relationship Id="rId82" Type="http://schemas.openxmlformats.org/officeDocument/2006/relationships/image" Target="../media/image83.png"/><Relationship Id="rId152" Type="http://schemas.openxmlformats.org/officeDocument/2006/relationships/image" Target="../media/image153.jpeg"/><Relationship Id="rId173" Type="http://schemas.openxmlformats.org/officeDocument/2006/relationships/image" Target="../media/image174.jpeg"/><Relationship Id="rId194" Type="http://schemas.openxmlformats.org/officeDocument/2006/relationships/image" Target="../media/image195.jpeg"/><Relationship Id="rId19" Type="http://schemas.openxmlformats.org/officeDocument/2006/relationships/image" Target="../media/image20.jpeg"/><Relationship Id="rId14" Type="http://schemas.openxmlformats.org/officeDocument/2006/relationships/image" Target="../media/image15.jpeg"/><Relationship Id="rId30" Type="http://schemas.openxmlformats.org/officeDocument/2006/relationships/image" Target="../media/image31.jpeg"/><Relationship Id="rId35" Type="http://schemas.openxmlformats.org/officeDocument/2006/relationships/image" Target="../media/image36.png"/><Relationship Id="rId56" Type="http://schemas.openxmlformats.org/officeDocument/2006/relationships/image" Target="../media/image57.jpeg"/><Relationship Id="rId77" Type="http://schemas.openxmlformats.org/officeDocument/2006/relationships/image" Target="../media/image78.jpeg"/><Relationship Id="rId100" Type="http://schemas.openxmlformats.org/officeDocument/2006/relationships/image" Target="../media/image101.png"/><Relationship Id="rId105" Type="http://schemas.openxmlformats.org/officeDocument/2006/relationships/image" Target="../media/image106.png"/><Relationship Id="rId126" Type="http://schemas.openxmlformats.org/officeDocument/2006/relationships/image" Target="../media/image127.png"/><Relationship Id="rId147" Type="http://schemas.openxmlformats.org/officeDocument/2006/relationships/image" Target="../media/image148.png"/><Relationship Id="rId168" Type="http://schemas.openxmlformats.org/officeDocument/2006/relationships/image" Target="../media/image169.jpeg"/><Relationship Id="rId8" Type="http://schemas.openxmlformats.org/officeDocument/2006/relationships/image" Target="../media/image9.jpeg"/><Relationship Id="rId51" Type="http://schemas.openxmlformats.org/officeDocument/2006/relationships/image" Target="../media/image52.png"/><Relationship Id="rId72" Type="http://schemas.openxmlformats.org/officeDocument/2006/relationships/image" Target="../media/image73.jpeg"/><Relationship Id="rId93" Type="http://schemas.openxmlformats.org/officeDocument/2006/relationships/image" Target="../media/image94.png"/><Relationship Id="rId98" Type="http://schemas.openxmlformats.org/officeDocument/2006/relationships/image" Target="../media/image99.png"/><Relationship Id="rId121" Type="http://schemas.openxmlformats.org/officeDocument/2006/relationships/image" Target="../media/image122.png"/><Relationship Id="rId142" Type="http://schemas.openxmlformats.org/officeDocument/2006/relationships/image" Target="../media/image143.png"/><Relationship Id="rId163" Type="http://schemas.openxmlformats.org/officeDocument/2006/relationships/image" Target="../media/image164.png"/><Relationship Id="rId184" Type="http://schemas.openxmlformats.org/officeDocument/2006/relationships/image" Target="../media/image185.png"/><Relationship Id="rId189" Type="http://schemas.openxmlformats.org/officeDocument/2006/relationships/image" Target="../media/image190.jpeg"/><Relationship Id="rId3" Type="http://schemas.openxmlformats.org/officeDocument/2006/relationships/image" Target="../media/image4.jpeg"/><Relationship Id="rId25" Type="http://schemas.openxmlformats.org/officeDocument/2006/relationships/image" Target="../media/image26.jpeg"/><Relationship Id="rId46" Type="http://schemas.openxmlformats.org/officeDocument/2006/relationships/image" Target="../media/image47.jpeg"/><Relationship Id="rId67" Type="http://schemas.openxmlformats.org/officeDocument/2006/relationships/image" Target="../media/image68.emf"/><Relationship Id="rId116" Type="http://schemas.openxmlformats.org/officeDocument/2006/relationships/image" Target="../media/image117.png"/><Relationship Id="rId137" Type="http://schemas.openxmlformats.org/officeDocument/2006/relationships/image" Target="../media/image138.png"/><Relationship Id="rId158" Type="http://schemas.openxmlformats.org/officeDocument/2006/relationships/image" Target="../media/image159.png"/><Relationship Id="rId20" Type="http://schemas.openxmlformats.org/officeDocument/2006/relationships/image" Target="../media/image21.jpeg"/><Relationship Id="rId41" Type="http://schemas.openxmlformats.org/officeDocument/2006/relationships/image" Target="../media/image42.jpeg"/><Relationship Id="rId62" Type="http://schemas.openxmlformats.org/officeDocument/2006/relationships/image" Target="../media/image63.jpeg"/><Relationship Id="rId83" Type="http://schemas.openxmlformats.org/officeDocument/2006/relationships/image" Target="../media/image84.jpeg"/><Relationship Id="rId88" Type="http://schemas.openxmlformats.org/officeDocument/2006/relationships/image" Target="../media/image89.png"/><Relationship Id="rId111" Type="http://schemas.openxmlformats.org/officeDocument/2006/relationships/image" Target="../media/image112.jpeg"/><Relationship Id="rId132" Type="http://schemas.openxmlformats.org/officeDocument/2006/relationships/image" Target="../media/image133.png"/><Relationship Id="rId153" Type="http://schemas.openxmlformats.org/officeDocument/2006/relationships/image" Target="../media/image154.png"/><Relationship Id="rId174" Type="http://schemas.openxmlformats.org/officeDocument/2006/relationships/image" Target="../media/image175.jpeg"/><Relationship Id="rId179" Type="http://schemas.openxmlformats.org/officeDocument/2006/relationships/image" Target="../media/image180.jpeg"/><Relationship Id="rId195" Type="http://schemas.openxmlformats.org/officeDocument/2006/relationships/image" Target="../media/image196.jpeg"/><Relationship Id="rId190" Type="http://schemas.openxmlformats.org/officeDocument/2006/relationships/image" Target="../media/image191.jpeg"/><Relationship Id="rId15" Type="http://schemas.openxmlformats.org/officeDocument/2006/relationships/image" Target="../media/image16.jpeg"/><Relationship Id="rId36" Type="http://schemas.openxmlformats.org/officeDocument/2006/relationships/image" Target="../media/image37.png"/><Relationship Id="rId57" Type="http://schemas.openxmlformats.org/officeDocument/2006/relationships/image" Target="../media/image58.jpeg"/><Relationship Id="rId106" Type="http://schemas.openxmlformats.org/officeDocument/2006/relationships/image" Target="../media/image107.png"/><Relationship Id="rId127" Type="http://schemas.openxmlformats.org/officeDocument/2006/relationships/image" Target="../media/image128.png"/><Relationship Id="rId10" Type="http://schemas.openxmlformats.org/officeDocument/2006/relationships/image" Target="../media/image11.jpeg"/><Relationship Id="rId31" Type="http://schemas.openxmlformats.org/officeDocument/2006/relationships/image" Target="../media/image32.jpeg"/><Relationship Id="rId52" Type="http://schemas.openxmlformats.org/officeDocument/2006/relationships/image" Target="../media/image53.jpeg"/><Relationship Id="rId73" Type="http://schemas.openxmlformats.org/officeDocument/2006/relationships/image" Target="../media/image74.jpeg"/><Relationship Id="rId78" Type="http://schemas.openxmlformats.org/officeDocument/2006/relationships/image" Target="../media/image79.png"/><Relationship Id="rId94" Type="http://schemas.openxmlformats.org/officeDocument/2006/relationships/image" Target="../media/image95.png"/><Relationship Id="rId99" Type="http://schemas.openxmlformats.org/officeDocument/2006/relationships/image" Target="../media/image100.png"/><Relationship Id="rId101" Type="http://schemas.openxmlformats.org/officeDocument/2006/relationships/image" Target="../media/image102.png"/><Relationship Id="rId122" Type="http://schemas.openxmlformats.org/officeDocument/2006/relationships/image" Target="../media/image123.png"/><Relationship Id="rId143" Type="http://schemas.openxmlformats.org/officeDocument/2006/relationships/image" Target="../media/image144.png"/><Relationship Id="rId148" Type="http://schemas.openxmlformats.org/officeDocument/2006/relationships/image" Target="../media/image149.jpeg"/><Relationship Id="rId164" Type="http://schemas.openxmlformats.org/officeDocument/2006/relationships/image" Target="../media/image165.png"/><Relationship Id="rId169" Type="http://schemas.openxmlformats.org/officeDocument/2006/relationships/image" Target="../media/image170.jpeg"/><Relationship Id="rId185" Type="http://schemas.openxmlformats.org/officeDocument/2006/relationships/image" Target="../media/image186.pn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80" Type="http://schemas.openxmlformats.org/officeDocument/2006/relationships/image" Target="../media/image181.png"/><Relationship Id="rId26" Type="http://schemas.openxmlformats.org/officeDocument/2006/relationships/image" Target="../media/image27.jpeg"/><Relationship Id="rId47" Type="http://schemas.openxmlformats.org/officeDocument/2006/relationships/image" Target="../media/image48.jpeg"/><Relationship Id="rId68" Type="http://schemas.openxmlformats.org/officeDocument/2006/relationships/image" Target="../media/image69.png"/><Relationship Id="rId89" Type="http://schemas.openxmlformats.org/officeDocument/2006/relationships/image" Target="../media/image90.png"/><Relationship Id="rId112" Type="http://schemas.openxmlformats.org/officeDocument/2006/relationships/image" Target="../media/image113.png"/><Relationship Id="rId133" Type="http://schemas.openxmlformats.org/officeDocument/2006/relationships/image" Target="../media/image134.png"/><Relationship Id="rId154" Type="http://schemas.openxmlformats.org/officeDocument/2006/relationships/image" Target="../media/image155.png"/><Relationship Id="rId175" Type="http://schemas.openxmlformats.org/officeDocument/2006/relationships/image" Target="../media/image176.jpeg"/><Relationship Id="rId16" Type="http://schemas.openxmlformats.org/officeDocument/2006/relationships/image" Target="../media/image17.jpeg"/><Relationship Id="rId37" Type="http://schemas.openxmlformats.org/officeDocument/2006/relationships/image" Target="../media/image38.png"/><Relationship Id="rId58" Type="http://schemas.openxmlformats.org/officeDocument/2006/relationships/image" Target="../media/image59.jpeg"/><Relationship Id="rId79" Type="http://schemas.openxmlformats.org/officeDocument/2006/relationships/image" Target="../media/image80.png"/><Relationship Id="rId102" Type="http://schemas.openxmlformats.org/officeDocument/2006/relationships/image" Target="../media/image103.png"/><Relationship Id="rId123" Type="http://schemas.openxmlformats.org/officeDocument/2006/relationships/image" Target="../media/image124.png"/><Relationship Id="rId144" Type="http://schemas.openxmlformats.org/officeDocument/2006/relationships/image" Target="../media/image145.jpeg"/><Relationship Id="rId90" Type="http://schemas.openxmlformats.org/officeDocument/2006/relationships/image" Target="../media/image91.png"/><Relationship Id="rId165" Type="http://schemas.openxmlformats.org/officeDocument/2006/relationships/image" Target="../media/image166.jpeg"/><Relationship Id="rId186" Type="http://schemas.openxmlformats.org/officeDocument/2006/relationships/image" Target="../media/image187.png"/><Relationship Id="rId27" Type="http://schemas.openxmlformats.org/officeDocument/2006/relationships/image" Target="../media/image28.jpeg"/><Relationship Id="rId48" Type="http://schemas.openxmlformats.org/officeDocument/2006/relationships/image" Target="../media/image49.png"/><Relationship Id="rId69" Type="http://schemas.openxmlformats.org/officeDocument/2006/relationships/image" Target="../media/image70.png"/><Relationship Id="rId113" Type="http://schemas.openxmlformats.org/officeDocument/2006/relationships/image" Target="../media/image114.png"/><Relationship Id="rId134" Type="http://schemas.openxmlformats.org/officeDocument/2006/relationships/image" Target="../media/image135.png"/><Relationship Id="rId80" Type="http://schemas.openxmlformats.org/officeDocument/2006/relationships/image" Target="../media/image81.png"/><Relationship Id="rId155" Type="http://schemas.openxmlformats.org/officeDocument/2006/relationships/image" Target="../media/image156.png"/><Relationship Id="rId176" Type="http://schemas.openxmlformats.org/officeDocument/2006/relationships/image" Target="../media/image177.png"/><Relationship Id="rId17" Type="http://schemas.openxmlformats.org/officeDocument/2006/relationships/image" Target="../media/image18.jpeg"/><Relationship Id="rId38" Type="http://schemas.openxmlformats.org/officeDocument/2006/relationships/image" Target="../media/image39.jpeg"/><Relationship Id="rId59" Type="http://schemas.openxmlformats.org/officeDocument/2006/relationships/image" Target="../media/image60.jpeg"/><Relationship Id="rId103" Type="http://schemas.openxmlformats.org/officeDocument/2006/relationships/image" Target="../media/image104.png"/><Relationship Id="rId124" Type="http://schemas.openxmlformats.org/officeDocument/2006/relationships/image" Target="../media/image125.png"/><Relationship Id="rId70" Type="http://schemas.openxmlformats.org/officeDocument/2006/relationships/image" Target="../media/image71.png"/><Relationship Id="rId91" Type="http://schemas.openxmlformats.org/officeDocument/2006/relationships/image" Target="../media/image92.png"/><Relationship Id="rId145" Type="http://schemas.openxmlformats.org/officeDocument/2006/relationships/image" Target="../media/image146.png"/><Relationship Id="rId166" Type="http://schemas.openxmlformats.org/officeDocument/2006/relationships/image" Target="../media/image167.jpeg"/><Relationship Id="rId187" Type="http://schemas.openxmlformats.org/officeDocument/2006/relationships/image" Target="../media/image188.png"/><Relationship Id="rId1" Type="http://schemas.openxmlformats.org/officeDocument/2006/relationships/image" Target="../media/image2.jpeg"/><Relationship Id="rId28" Type="http://schemas.openxmlformats.org/officeDocument/2006/relationships/image" Target="../media/image29.jpeg"/><Relationship Id="rId49" Type="http://schemas.openxmlformats.org/officeDocument/2006/relationships/image" Target="../media/image50.png"/><Relationship Id="rId114" Type="http://schemas.openxmlformats.org/officeDocument/2006/relationships/image" Target="../media/image115.png"/><Relationship Id="rId60" Type="http://schemas.openxmlformats.org/officeDocument/2006/relationships/image" Target="../media/image61.jpeg"/><Relationship Id="rId81" Type="http://schemas.openxmlformats.org/officeDocument/2006/relationships/image" Target="../media/image82.png"/><Relationship Id="rId135" Type="http://schemas.openxmlformats.org/officeDocument/2006/relationships/image" Target="../media/image136.png"/><Relationship Id="rId156" Type="http://schemas.openxmlformats.org/officeDocument/2006/relationships/image" Target="../media/image157.png"/><Relationship Id="rId177" Type="http://schemas.openxmlformats.org/officeDocument/2006/relationships/image" Target="../media/image178.jpeg"/><Relationship Id="rId18" Type="http://schemas.openxmlformats.org/officeDocument/2006/relationships/image" Target="../media/image19.jpeg"/><Relationship Id="rId39" Type="http://schemas.openxmlformats.org/officeDocument/2006/relationships/image" Target="../media/image40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2</xdr:row>
      <xdr:rowOff>9525</xdr:rowOff>
    </xdr:from>
    <xdr:to>
      <xdr:col>2</xdr:col>
      <xdr:colOff>1114425</xdr:colOff>
      <xdr:row>4</xdr:row>
      <xdr:rowOff>125730</xdr:rowOff>
    </xdr:to>
    <xdr:pic>
      <xdr:nvPicPr>
        <xdr:cNvPr id="2655" name="Picture 383" descr="123">
          <a:extLst>
            <a:ext uri="{FF2B5EF4-FFF2-40B4-BE49-F238E27FC236}">
              <a16:creationId xmlns:a16="http://schemas.microsoft.com/office/drawing/2014/main" id="{00000000-0008-0000-0000-00005F0A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209550"/>
          <a:ext cx="1543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419100</xdr:colOff>
      <xdr:row>168</xdr:row>
      <xdr:rowOff>47625</xdr:rowOff>
    </xdr:from>
    <xdr:to>
      <xdr:col>2</xdr:col>
      <xdr:colOff>581025</xdr:colOff>
      <xdr:row>168</xdr:row>
      <xdr:rowOff>400050</xdr:rowOff>
    </xdr:to>
    <xdr:pic>
      <xdr:nvPicPr>
        <xdr:cNvPr id="117553" name="Picture 4" descr="Geometriya_1">
          <a:extLst>
            <a:ext uri="{FF2B5EF4-FFF2-40B4-BE49-F238E27FC236}">
              <a16:creationId xmlns:a16="http://schemas.microsoft.com/office/drawing/2014/main" id="{00000000-0008-0000-0100-00003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47875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169</xdr:row>
      <xdr:rowOff>28575</xdr:rowOff>
    </xdr:from>
    <xdr:to>
      <xdr:col>2</xdr:col>
      <xdr:colOff>371475</xdr:colOff>
      <xdr:row>169</xdr:row>
      <xdr:rowOff>400050</xdr:rowOff>
    </xdr:to>
    <xdr:pic>
      <xdr:nvPicPr>
        <xdr:cNvPr id="117554" name="Picture 8" descr="Geometriya_3">
          <a:extLst>
            <a:ext uri="{FF2B5EF4-FFF2-40B4-BE49-F238E27FC236}">
              <a16:creationId xmlns:a16="http://schemas.microsoft.com/office/drawing/2014/main" id="{00000000-0008-0000-0100-00003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2880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169</xdr:row>
      <xdr:rowOff>28575</xdr:rowOff>
    </xdr:from>
    <xdr:to>
      <xdr:col>2</xdr:col>
      <xdr:colOff>581025</xdr:colOff>
      <xdr:row>169</xdr:row>
      <xdr:rowOff>400050</xdr:rowOff>
    </xdr:to>
    <xdr:pic>
      <xdr:nvPicPr>
        <xdr:cNvPr id="117555" name="Picture 9" descr="Geometriya_3">
          <a:extLst>
            <a:ext uri="{FF2B5EF4-FFF2-40B4-BE49-F238E27FC236}">
              <a16:creationId xmlns:a16="http://schemas.microsoft.com/office/drawing/2014/main" id="{00000000-0008-0000-0100-00003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038350" y="595598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170</xdr:row>
      <xdr:rowOff>28575</xdr:rowOff>
    </xdr:from>
    <xdr:to>
      <xdr:col>2</xdr:col>
      <xdr:colOff>371475</xdr:colOff>
      <xdr:row>170</xdr:row>
      <xdr:rowOff>419100</xdr:rowOff>
    </xdr:to>
    <xdr:pic>
      <xdr:nvPicPr>
        <xdr:cNvPr id="117556" name="Picture 10" descr="Geometriya_4">
          <a:extLst>
            <a:ext uri="{FF2B5EF4-FFF2-40B4-BE49-F238E27FC236}">
              <a16:creationId xmlns:a16="http://schemas.microsoft.com/office/drawing/2014/main" id="{00000000-0008-0000-0100-00003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1927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170</xdr:row>
      <xdr:rowOff>28575</xdr:rowOff>
    </xdr:from>
    <xdr:to>
      <xdr:col>2</xdr:col>
      <xdr:colOff>581025</xdr:colOff>
      <xdr:row>170</xdr:row>
      <xdr:rowOff>419100</xdr:rowOff>
    </xdr:to>
    <xdr:pic>
      <xdr:nvPicPr>
        <xdr:cNvPr id="117557" name="Picture 11" descr="Geometriya_4">
          <a:extLst>
            <a:ext uri="{FF2B5EF4-FFF2-40B4-BE49-F238E27FC236}">
              <a16:creationId xmlns:a16="http://schemas.microsoft.com/office/drawing/2014/main" id="{00000000-0008-0000-0100-00003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028825" y="599979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171</xdr:row>
      <xdr:rowOff>28575</xdr:rowOff>
    </xdr:from>
    <xdr:to>
      <xdr:col>2</xdr:col>
      <xdr:colOff>371475</xdr:colOff>
      <xdr:row>171</xdr:row>
      <xdr:rowOff>419100</xdr:rowOff>
    </xdr:to>
    <xdr:pic>
      <xdr:nvPicPr>
        <xdr:cNvPr id="117558" name="Picture 12" descr="Geometriya_5">
          <a:extLst>
            <a:ext uri="{FF2B5EF4-FFF2-40B4-BE49-F238E27FC236}">
              <a16:creationId xmlns:a16="http://schemas.microsoft.com/office/drawing/2014/main" id="{00000000-0008-0000-0100-00003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1927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171</xdr:row>
      <xdr:rowOff>28575</xdr:rowOff>
    </xdr:from>
    <xdr:to>
      <xdr:col>2</xdr:col>
      <xdr:colOff>581025</xdr:colOff>
      <xdr:row>171</xdr:row>
      <xdr:rowOff>419100</xdr:rowOff>
    </xdr:to>
    <xdr:pic>
      <xdr:nvPicPr>
        <xdr:cNvPr id="117559" name="Picture 13" descr="Geometriya_5">
          <a:extLst>
            <a:ext uri="{FF2B5EF4-FFF2-40B4-BE49-F238E27FC236}">
              <a16:creationId xmlns:a16="http://schemas.microsoft.com/office/drawing/2014/main" id="{00000000-0008-0000-0100-00003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028825" y="604361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172</xdr:row>
      <xdr:rowOff>28575</xdr:rowOff>
    </xdr:from>
    <xdr:to>
      <xdr:col>2</xdr:col>
      <xdr:colOff>371475</xdr:colOff>
      <xdr:row>172</xdr:row>
      <xdr:rowOff>419100</xdr:rowOff>
    </xdr:to>
    <xdr:pic>
      <xdr:nvPicPr>
        <xdr:cNvPr id="117560" name="Picture 14" descr="Geometriya_6">
          <a:extLst>
            <a:ext uri="{FF2B5EF4-FFF2-40B4-BE49-F238E27FC236}">
              <a16:creationId xmlns:a16="http://schemas.microsoft.com/office/drawing/2014/main" id="{00000000-0008-0000-0100-00003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1927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172</xdr:row>
      <xdr:rowOff>28575</xdr:rowOff>
    </xdr:from>
    <xdr:to>
      <xdr:col>2</xdr:col>
      <xdr:colOff>581025</xdr:colOff>
      <xdr:row>172</xdr:row>
      <xdr:rowOff>419100</xdr:rowOff>
    </xdr:to>
    <xdr:pic>
      <xdr:nvPicPr>
        <xdr:cNvPr id="117561" name="Picture 15" descr="Geometriya_6">
          <a:extLst>
            <a:ext uri="{FF2B5EF4-FFF2-40B4-BE49-F238E27FC236}">
              <a16:creationId xmlns:a16="http://schemas.microsoft.com/office/drawing/2014/main" id="{00000000-0008-0000-0100-00003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028825" y="60874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295</xdr:row>
      <xdr:rowOff>38100</xdr:rowOff>
    </xdr:from>
    <xdr:to>
      <xdr:col>2</xdr:col>
      <xdr:colOff>466725</xdr:colOff>
      <xdr:row>295</xdr:row>
      <xdr:rowOff>419100</xdr:rowOff>
    </xdr:to>
    <xdr:pic>
      <xdr:nvPicPr>
        <xdr:cNvPr id="117569" name="Picture 70" descr="Idea_1">
          <a:extLst>
            <a:ext uri="{FF2B5EF4-FFF2-40B4-BE49-F238E27FC236}">
              <a16:creationId xmlns:a16="http://schemas.microsoft.com/office/drawing/2014/main" id="{00000000-0008-0000-0100-00004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933575" y="881443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296</xdr:row>
      <xdr:rowOff>47625</xdr:rowOff>
    </xdr:from>
    <xdr:to>
      <xdr:col>2</xdr:col>
      <xdr:colOff>361950</xdr:colOff>
      <xdr:row>296</xdr:row>
      <xdr:rowOff>419100</xdr:rowOff>
    </xdr:to>
    <xdr:pic>
      <xdr:nvPicPr>
        <xdr:cNvPr id="117570" name="Picture 71" descr="Idea_3">
          <a:extLst>
            <a:ext uri="{FF2B5EF4-FFF2-40B4-BE49-F238E27FC236}">
              <a16:creationId xmlns:a16="http://schemas.microsoft.com/office/drawing/2014/main" id="{00000000-0008-0000-0100-00004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19275" y="88592025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296</xdr:row>
      <xdr:rowOff>47625</xdr:rowOff>
    </xdr:from>
    <xdr:to>
      <xdr:col>2</xdr:col>
      <xdr:colOff>581025</xdr:colOff>
      <xdr:row>296</xdr:row>
      <xdr:rowOff>419100</xdr:rowOff>
    </xdr:to>
    <xdr:pic>
      <xdr:nvPicPr>
        <xdr:cNvPr id="117571" name="Picture 72" descr="Idea_3">
          <a:extLst>
            <a:ext uri="{FF2B5EF4-FFF2-40B4-BE49-F238E27FC236}">
              <a16:creationId xmlns:a16="http://schemas.microsoft.com/office/drawing/2014/main" id="{00000000-0008-0000-0100-00004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047875" y="8859202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944</xdr:row>
      <xdr:rowOff>28575</xdr:rowOff>
    </xdr:from>
    <xdr:to>
      <xdr:col>2</xdr:col>
      <xdr:colOff>381000</xdr:colOff>
      <xdr:row>944</xdr:row>
      <xdr:rowOff>400050</xdr:rowOff>
    </xdr:to>
    <xdr:pic>
      <xdr:nvPicPr>
        <xdr:cNvPr id="117572" name="Picture 85" descr="Lada-Concept_2">
          <a:extLst>
            <a:ext uri="{FF2B5EF4-FFF2-40B4-BE49-F238E27FC236}">
              <a16:creationId xmlns:a16="http://schemas.microsoft.com/office/drawing/2014/main" id="{00000000-0008-0000-0100-00004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38325" y="1925383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944</xdr:row>
      <xdr:rowOff>28575</xdr:rowOff>
    </xdr:from>
    <xdr:to>
      <xdr:col>2</xdr:col>
      <xdr:colOff>590550</xdr:colOff>
      <xdr:row>944</xdr:row>
      <xdr:rowOff>400050</xdr:rowOff>
    </xdr:to>
    <xdr:pic>
      <xdr:nvPicPr>
        <xdr:cNvPr id="117573" name="Picture 86" descr="Lada-Concept_2">
          <a:extLst>
            <a:ext uri="{FF2B5EF4-FFF2-40B4-BE49-F238E27FC236}">
              <a16:creationId xmlns:a16="http://schemas.microsoft.com/office/drawing/2014/main" id="{00000000-0008-0000-0100-00004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057400" y="19253835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1692</xdr:row>
      <xdr:rowOff>38100</xdr:rowOff>
    </xdr:from>
    <xdr:to>
      <xdr:col>2</xdr:col>
      <xdr:colOff>476250</xdr:colOff>
      <xdr:row>1692</xdr:row>
      <xdr:rowOff>419100</xdr:rowOff>
    </xdr:to>
    <xdr:pic>
      <xdr:nvPicPr>
        <xdr:cNvPr id="117574" name="Picture 93" descr="Lineya_1">
          <a:extLst>
            <a:ext uri="{FF2B5EF4-FFF2-40B4-BE49-F238E27FC236}">
              <a16:creationId xmlns:a16="http://schemas.microsoft.com/office/drawing/2014/main" id="{00000000-0008-0000-0100-00004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943100" y="3283743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1693</xdr:row>
      <xdr:rowOff>38100</xdr:rowOff>
    </xdr:from>
    <xdr:to>
      <xdr:col>2</xdr:col>
      <xdr:colOff>485775</xdr:colOff>
      <xdr:row>1693</xdr:row>
      <xdr:rowOff>419100</xdr:rowOff>
    </xdr:to>
    <xdr:pic>
      <xdr:nvPicPr>
        <xdr:cNvPr id="117575" name="Picture 96" descr="Lineya_3">
          <a:extLst>
            <a:ext uri="{FF2B5EF4-FFF2-40B4-BE49-F238E27FC236}">
              <a16:creationId xmlns:a16="http://schemas.microsoft.com/office/drawing/2014/main" id="{00000000-0008-0000-0100-00004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52625" y="3288125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1694</xdr:row>
      <xdr:rowOff>38100</xdr:rowOff>
    </xdr:from>
    <xdr:to>
      <xdr:col>2</xdr:col>
      <xdr:colOff>495300</xdr:colOff>
      <xdr:row>1694</xdr:row>
      <xdr:rowOff>419100</xdr:rowOff>
    </xdr:to>
    <xdr:pic>
      <xdr:nvPicPr>
        <xdr:cNvPr id="117576" name="Picture 97" descr="Lineya_4">
          <a:extLst>
            <a:ext uri="{FF2B5EF4-FFF2-40B4-BE49-F238E27FC236}">
              <a16:creationId xmlns:a16="http://schemas.microsoft.com/office/drawing/2014/main" id="{00000000-0008-0000-0100-00004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952625" y="329250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1765</xdr:row>
      <xdr:rowOff>38100</xdr:rowOff>
    </xdr:from>
    <xdr:to>
      <xdr:col>2</xdr:col>
      <xdr:colOff>485775</xdr:colOff>
      <xdr:row>1765</xdr:row>
      <xdr:rowOff>419100</xdr:rowOff>
    </xdr:to>
    <xdr:pic>
      <xdr:nvPicPr>
        <xdr:cNvPr id="117577" name="Picture 99" descr="Layn_1">
          <a:extLst>
            <a:ext uri="{FF2B5EF4-FFF2-40B4-BE49-F238E27FC236}">
              <a16:creationId xmlns:a16="http://schemas.microsoft.com/office/drawing/2014/main" id="{00000000-0008-0000-0100-00004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952625" y="34144267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1766</xdr:row>
      <xdr:rowOff>38100</xdr:rowOff>
    </xdr:from>
    <xdr:to>
      <xdr:col>2</xdr:col>
      <xdr:colOff>495300</xdr:colOff>
      <xdr:row>1766</xdr:row>
      <xdr:rowOff>419100</xdr:rowOff>
    </xdr:to>
    <xdr:pic>
      <xdr:nvPicPr>
        <xdr:cNvPr id="117578" name="Picture 100" descr="Layn_2">
          <a:extLst>
            <a:ext uri="{FF2B5EF4-FFF2-40B4-BE49-F238E27FC236}">
              <a16:creationId xmlns:a16="http://schemas.microsoft.com/office/drawing/2014/main" id="{00000000-0008-0000-0100-00004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952625" y="341880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1767</xdr:row>
      <xdr:rowOff>47625</xdr:rowOff>
    </xdr:from>
    <xdr:to>
      <xdr:col>2</xdr:col>
      <xdr:colOff>495300</xdr:colOff>
      <xdr:row>1767</xdr:row>
      <xdr:rowOff>419100</xdr:rowOff>
    </xdr:to>
    <xdr:pic>
      <xdr:nvPicPr>
        <xdr:cNvPr id="117579" name="Picture 101" descr="Layn_3">
          <a:extLst>
            <a:ext uri="{FF2B5EF4-FFF2-40B4-BE49-F238E27FC236}">
              <a16:creationId xmlns:a16="http://schemas.microsoft.com/office/drawing/2014/main" id="{00000000-0008-0000-0100-00004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952625" y="3423285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1768</xdr:row>
      <xdr:rowOff>38100</xdr:rowOff>
    </xdr:from>
    <xdr:to>
      <xdr:col>2</xdr:col>
      <xdr:colOff>495300</xdr:colOff>
      <xdr:row>1768</xdr:row>
      <xdr:rowOff>419100</xdr:rowOff>
    </xdr:to>
    <xdr:pic>
      <xdr:nvPicPr>
        <xdr:cNvPr id="117580" name="Picture 102" descr="Layn_4">
          <a:extLst>
            <a:ext uri="{FF2B5EF4-FFF2-40B4-BE49-F238E27FC236}">
              <a16:creationId xmlns:a16="http://schemas.microsoft.com/office/drawing/2014/main" id="{00000000-0008-0000-0100-00004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952625" y="342757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1769</xdr:row>
      <xdr:rowOff>47625</xdr:rowOff>
    </xdr:from>
    <xdr:to>
      <xdr:col>2</xdr:col>
      <xdr:colOff>495300</xdr:colOff>
      <xdr:row>1769</xdr:row>
      <xdr:rowOff>419100</xdr:rowOff>
    </xdr:to>
    <xdr:pic>
      <xdr:nvPicPr>
        <xdr:cNvPr id="117581" name="Picture 103" descr="Layn_5">
          <a:extLst>
            <a:ext uri="{FF2B5EF4-FFF2-40B4-BE49-F238E27FC236}">
              <a16:creationId xmlns:a16="http://schemas.microsoft.com/office/drawing/2014/main" id="{00000000-0008-0000-0100-00004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952625" y="34320480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1842</xdr:row>
      <xdr:rowOff>28575</xdr:rowOff>
    </xdr:from>
    <xdr:to>
      <xdr:col>2</xdr:col>
      <xdr:colOff>495300</xdr:colOff>
      <xdr:row>1842</xdr:row>
      <xdr:rowOff>400050</xdr:rowOff>
    </xdr:to>
    <xdr:pic>
      <xdr:nvPicPr>
        <xdr:cNvPr id="117582" name="Picture 105" descr="Elegant_1">
          <a:extLst>
            <a:ext uri="{FF2B5EF4-FFF2-40B4-BE49-F238E27FC236}">
              <a16:creationId xmlns:a16="http://schemas.microsoft.com/office/drawing/2014/main" id="{00000000-0008-0000-0100-00004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962150" y="3563874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1843</xdr:row>
      <xdr:rowOff>28575</xdr:rowOff>
    </xdr:from>
    <xdr:to>
      <xdr:col>2</xdr:col>
      <xdr:colOff>504825</xdr:colOff>
      <xdr:row>1843</xdr:row>
      <xdr:rowOff>419100</xdr:rowOff>
    </xdr:to>
    <xdr:pic>
      <xdr:nvPicPr>
        <xdr:cNvPr id="117583" name="Picture 106" descr="Elegant_2">
          <a:extLst>
            <a:ext uri="{FF2B5EF4-FFF2-40B4-BE49-F238E27FC236}">
              <a16:creationId xmlns:a16="http://schemas.microsoft.com/office/drawing/2014/main" id="{00000000-0008-0000-0100-00004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952625" y="3568255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1844</xdr:row>
      <xdr:rowOff>28575</xdr:rowOff>
    </xdr:from>
    <xdr:to>
      <xdr:col>2</xdr:col>
      <xdr:colOff>504825</xdr:colOff>
      <xdr:row>1844</xdr:row>
      <xdr:rowOff>419100</xdr:rowOff>
    </xdr:to>
    <xdr:pic>
      <xdr:nvPicPr>
        <xdr:cNvPr id="117584" name="Picture 107" descr="Elegant_3">
          <a:extLst>
            <a:ext uri="{FF2B5EF4-FFF2-40B4-BE49-F238E27FC236}">
              <a16:creationId xmlns:a16="http://schemas.microsoft.com/office/drawing/2014/main" id="{00000000-0008-0000-0100-00005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952625" y="357263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1845</xdr:row>
      <xdr:rowOff>28575</xdr:rowOff>
    </xdr:from>
    <xdr:to>
      <xdr:col>2</xdr:col>
      <xdr:colOff>504825</xdr:colOff>
      <xdr:row>1845</xdr:row>
      <xdr:rowOff>419100</xdr:rowOff>
    </xdr:to>
    <xdr:pic>
      <xdr:nvPicPr>
        <xdr:cNvPr id="117585" name="Picture 108" descr="Elegant_4">
          <a:extLst>
            <a:ext uri="{FF2B5EF4-FFF2-40B4-BE49-F238E27FC236}">
              <a16:creationId xmlns:a16="http://schemas.microsoft.com/office/drawing/2014/main" id="{00000000-0008-0000-0100-00005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952625" y="3577018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1846</xdr:row>
      <xdr:rowOff>28575</xdr:rowOff>
    </xdr:from>
    <xdr:to>
      <xdr:col>2</xdr:col>
      <xdr:colOff>504825</xdr:colOff>
      <xdr:row>1846</xdr:row>
      <xdr:rowOff>419100</xdr:rowOff>
    </xdr:to>
    <xdr:pic>
      <xdr:nvPicPr>
        <xdr:cNvPr id="117586" name="Picture 109" descr="Elegant_5">
          <a:extLst>
            <a:ext uri="{FF2B5EF4-FFF2-40B4-BE49-F238E27FC236}">
              <a16:creationId xmlns:a16="http://schemas.microsoft.com/office/drawing/2014/main" id="{00000000-0008-0000-0100-00005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952625" y="3581400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94</xdr:row>
      <xdr:rowOff>25853</xdr:rowOff>
    </xdr:from>
    <xdr:to>
      <xdr:col>2</xdr:col>
      <xdr:colOff>361950</xdr:colOff>
      <xdr:row>94</xdr:row>
      <xdr:rowOff>402771</xdr:rowOff>
    </xdr:to>
    <xdr:pic>
      <xdr:nvPicPr>
        <xdr:cNvPr id="117591" name="Picture 284" descr="Kupava_3">
          <a:extLst>
            <a:ext uri="{FF2B5EF4-FFF2-40B4-BE49-F238E27FC236}">
              <a16:creationId xmlns:a16="http://schemas.microsoft.com/office/drawing/2014/main" id="{00000000-0008-0000-0100-00005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17914" y="17029339"/>
          <a:ext cx="171450" cy="3769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435428</xdr:colOff>
      <xdr:row>94</xdr:row>
      <xdr:rowOff>38101</xdr:rowOff>
    </xdr:from>
    <xdr:to>
      <xdr:col>2</xdr:col>
      <xdr:colOff>597353</xdr:colOff>
      <xdr:row>94</xdr:row>
      <xdr:rowOff>409576</xdr:rowOff>
    </xdr:to>
    <xdr:pic>
      <xdr:nvPicPr>
        <xdr:cNvPr id="117592" name="Picture 285" descr="Kupava_3">
          <a:extLst>
            <a:ext uri="{FF2B5EF4-FFF2-40B4-BE49-F238E27FC236}">
              <a16:creationId xmlns:a16="http://schemas.microsoft.com/office/drawing/2014/main" id="{00000000-0008-0000-0100-00005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062842" y="17041587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95</xdr:row>
      <xdr:rowOff>38100</xdr:rowOff>
    </xdr:from>
    <xdr:to>
      <xdr:col>2</xdr:col>
      <xdr:colOff>361950</xdr:colOff>
      <xdr:row>95</xdr:row>
      <xdr:rowOff>409575</xdr:rowOff>
    </xdr:to>
    <xdr:pic>
      <xdr:nvPicPr>
        <xdr:cNvPr id="117593" name="Picture 286" descr="Kupava_4">
          <a:extLst>
            <a:ext uri="{FF2B5EF4-FFF2-40B4-BE49-F238E27FC236}">
              <a16:creationId xmlns:a16="http://schemas.microsoft.com/office/drawing/2014/main" id="{00000000-0008-0000-0100-00005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28800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95</xdr:row>
      <xdr:rowOff>38100</xdr:rowOff>
    </xdr:from>
    <xdr:to>
      <xdr:col>2</xdr:col>
      <xdr:colOff>581025</xdr:colOff>
      <xdr:row>95</xdr:row>
      <xdr:rowOff>409575</xdr:rowOff>
    </xdr:to>
    <xdr:pic>
      <xdr:nvPicPr>
        <xdr:cNvPr id="117594" name="Picture 287" descr="Kupava_4">
          <a:extLst>
            <a:ext uri="{FF2B5EF4-FFF2-40B4-BE49-F238E27FC236}">
              <a16:creationId xmlns:a16="http://schemas.microsoft.com/office/drawing/2014/main" id="{00000000-0008-0000-0100-00005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047875" y="18354675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168</xdr:row>
      <xdr:rowOff>47625</xdr:rowOff>
    </xdr:from>
    <xdr:to>
      <xdr:col>2</xdr:col>
      <xdr:colOff>361950</xdr:colOff>
      <xdr:row>168</xdr:row>
      <xdr:rowOff>400050</xdr:rowOff>
    </xdr:to>
    <xdr:pic>
      <xdr:nvPicPr>
        <xdr:cNvPr id="117608" name="Picture 338" descr="Geometriya_1">
          <a:extLst>
            <a:ext uri="{FF2B5EF4-FFF2-40B4-BE49-F238E27FC236}">
              <a16:creationId xmlns:a16="http://schemas.microsoft.com/office/drawing/2014/main" id="{00000000-0008-0000-0100-00006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28800" y="59140725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1917</xdr:row>
      <xdr:rowOff>28575</xdr:rowOff>
    </xdr:from>
    <xdr:to>
      <xdr:col>2</xdr:col>
      <xdr:colOff>514350</xdr:colOff>
      <xdr:row>1917</xdr:row>
      <xdr:rowOff>419100</xdr:rowOff>
    </xdr:to>
    <xdr:pic>
      <xdr:nvPicPr>
        <xdr:cNvPr id="117609" name="Picture 435">
          <a:extLst>
            <a:ext uri="{FF2B5EF4-FFF2-40B4-BE49-F238E27FC236}">
              <a16:creationId xmlns:a16="http://schemas.microsoft.com/office/drawing/2014/main" id="{00000000-0008-0000-0100-00006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962150" y="3708844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1918</xdr:row>
      <xdr:rowOff>28575</xdr:rowOff>
    </xdr:from>
    <xdr:to>
      <xdr:col>2</xdr:col>
      <xdr:colOff>514350</xdr:colOff>
      <xdr:row>1918</xdr:row>
      <xdr:rowOff>419100</xdr:rowOff>
    </xdr:to>
    <xdr:pic>
      <xdr:nvPicPr>
        <xdr:cNvPr id="117610" name="Picture 436">
          <a:extLst>
            <a:ext uri="{FF2B5EF4-FFF2-40B4-BE49-F238E27FC236}">
              <a16:creationId xmlns:a16="http://schemas.microsoft.com/office/drawing/2014/main" id="{00000000-0008-0000-0100-00006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962150" y="371322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1919</xdr:row>
      <xdr:rowOff>19050</xdr:rowOff>
    </xdr:from>
    <xdr:to>
      <xdr:col>2</xdr:col>
      <xdr:colOff>514350</xdr:colOff>
      <xdr:row>1919</xdr:row>
      <xdr:rowOff>409575</xdr:rowOff>
    </xdr:to>
    <xdr:pic>
      <xdr:nvPicPr>
        <xdr:cNvPr id="117611" name="Picture 437">
          <a:extLst>
            <a:ext uri="{FF2B5EF4-FFF2-40B4-BE49-F238E27FC236}">
              <a16:creationId xmlns:a16="http://schemas.microsoft.com/office/drawing/2014/main" id="{00000000-0008-0000-0100-00006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962150" y="3717512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1920</xdr:row>
      <xdr:rowOff>19050</xdr:rowOff>
    </xdr:from>
    <xdr:to>
      <xdr:col>2</xdr:col>
      <xdr:colOff>514350</xdr:colOff>
      <xdr:row>1920</xdr:row>
      <xdr:rowOff>409575</xdr:rowOff>
    </xdr:to>
    <xdr:pic>
      <xdr:nvPicPr>
        <xdr:cNvPr id="117612" name="Picture 438">
          <a:extLst>
            <a:ext uri="{FF2B5EF4-FFF2-40B4-BE49-F238E27FC236}">
              <a16:creationId xmlns:a16="http://schemas.microsoft.com/office/drawing/2014/main" id="{00000000-0008-0000-0100-00006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962150" y="3721893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1921</xdr:row>
      <xdr:rowOff>19050</xdr:rowOff>
    </xdr:from>
    <xdr:to>
      <xdr:col>2</xdr:col>
      <xdr:colOff>514350</xdr:colOff>
      <xdr:row>1921</xdr:row>
      <xdr:rowOff>409575</xdr:rowOff>
    </xdr:to>
    <xdr:pic>
      <xdr:nvPicPr>
        <xdr:cNvPr id="117613" name="Picture 439">
          <a:extLst>
            <a:ext uri="{FF2B5EF4-FFF2-40B4-BE49-F238E27FC236}">
              <a16:creationId xmlns:a16="http://schemas.microsoft.com/office/drawing/2014/main" id="{00000000-0008-0000-0100-00006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962150" y="3726275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2052</xdr:row>
      <xdr:rowOff>38100</xdr:rowOff>
    </xdr:from>
    <xdr:to>
      <xdr:col>2</xdr:col>
      <xdr:colOff>466725</xdr:colOff>
      <xdr:row>2052</xdr:row>
      <xdr:rowOff>419100</xdr:rowOff>
    </xdr:to>
    <xdr:pic>
      <xdr:nvPicPr>
        <xdr:cNvPr id="117614" name="Picture 468" descr="Dobor_A">
          <a:extLst>
            <a:ext uri="{FF2B5EF4-FFF2-40B4-BE49-F238E27FC236}">
              <a16:creationId xmlns:a16="http://schemas.microsoft.com/office/drawing/2014/main" id="{00000000-0008-0000-0100-00006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981200" y="39721155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352425</xdr:colOff>
      <xdr:row>2053</xdr:row>
      <xdr:rowOff>38100</xdr:rowOff>
    </xdr:from>
    <xdr:to>
      <xdr:col>2</xdr:col>
      <xdr:colOff>466725</xdr:colOff>
      <xdr:row>2053</xdr:row>
      <xdr:rowOff>419100</xdr:rowOff>
    </xdr:to>
    <xdr:pic>
      <xdr:nvPicPr>
        <xdr:cNvPr id="117615" name="Picture 469" descr="Dobor_B">
          <a:extLst>
            <a:ext uri="{FF2B5EF4-FFF2-40B4-BE49-F238E27FC236}">
              <a16:creationId xmlns:a16="http://schemas.microsoft.com/office/drawing/2014/main" id="{00000000-0008-0000-0100-00006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981200" y="397649700"/>
          <a:ext cx="114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297</xdr:row>
      <xdr:rowOff>38100</xdr:rowOff>
    </xdr:from>
    <xdr:to>
      <xdr:col>2</xdr:col>
      <xdr:colOff>361950</xdr:colOff>
      <xdr:row>297</xdr:row>
      <xdr:rowOff>419100</xdr:rowOff>
    </xdr:to>
    <xdr:pic>
      <xdr:nvPicPr>
        <xdr:cNvPr id="117616" name="Picture 509" descr="Idea_4">
          <a:extLst>
            <a:ext uri="{FF2B5EF4-FFF2-40B4-BE49-F238E27FC236}">
              <a16:creationId xmlns:a16="http://schemas.microsoft.com/office/drawing/2014/main" id="{00000000-0008-0000-0100-00007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28800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297</xdr:row>
      <xdr:rowOff>38100</xdr:rowOff>
    </xdr:from>
    <xdr:to>
      <xdr:col>2</xdr:col>
      <xdr:colOff>581025</xdr:colOff>
      <xdr:row>297</xdr:row>
      <xdr:rowOff>419100</xdr:rowOff>
    </xdr:to>
    <xdr:pic>
      <xdr:nvPicPr>
        <xdr:cNvPr id="117617" name="Picture 510" descr="Idea_4">
          <a:extLst>
            <a:ext uri="{FF2B5EF4-FFF2-40B4-BE49-F238E27FC236}">
              <a16:creationId xmlns:a16="http://schemas.microsoft.com/office/drawing/2014/main" id="{00000000-0008-0000-0100-00007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2047875" y="890206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298</xdr:row>
      <xdr:rowOff>19050</xdr:rowOff>
    </xdr:from>
    <xdr:to>
      <xdr:col>2</xdr:col>
      <xdr:colOff>381000</xdr:colOff>
      <xdr:row>298</xdr:row>
      <xdr:rowOff>419100</xdr:rowOff>
    </xdr:to>
    <xdr:pic>
      <xdr:nvPicPr>
        <xdr:cNvPr id="117618" name="Picture 513">
          <a:extLst>
            <a:ext uri="{FF2B5EF4-FFF2-40B4-BE49-F238E27FC236}">
              <a16:creationId xmlns:a16="http://schemas.microsoft.com/office/drawing/2014/main" id="{00000000-0008-0000-0100-00007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28800" y="89439750"/>
          <a:ext cx="180975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298</xdr:row>
      <xdr:rowOff>28575</xdr:rowOff>
    </xdr:from>
    <xdr:to>
      <xdr:col>2</xdr:col>
      <xdr:colOff>590550</xdr:colOff>
      <xdr:row>298</xdr:row>
      <xdr:rowOff>419100</xdr:rowOff>
    </xdr:to>
    <xdr:pic>
      <xdr:nvPicPr>
        <xdr:cNvPr id="117619" name="Picture 514">
          <a:extLst>
            <a:ext uri="{FF2B5EF4-FFF2-40B4-BE49-F238E27FC236}">
              <a16:creationId xmlns:a16="http://schemas.microsoft.com/office/drawing/2014/main" id="{00000000-0008-0000-0100-00007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2047875" y="89449275"/>
          <a:ext cx="171450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299</xdr:row>
      <xdr:rowOff>19050</xdr:rowOff>
    </xdr:from>
    <xdr:to>
      <xdr:col>2</xdr:col>
      <xdr:colOff>371475</xdr:colOff>
      <xdr:row>300</xdr:row>
      <xdr:rowOff>4676</xdr:rowOff>
    </xdr:to>
    <xdr:pic>
      <xdr:nvPicPr>
        <xdr:cNvPr id="117620" name="Picture 515">
          <a:extLst>
            <a:ext uri="{FF2B5EF4-FFF2-40B4-BE49-F238E27FC236}">
              <a16:creationId xmlns:a16="http://schemas.microsoft.com/office/drawing/2014/main" id="{00000000-0008-0000-0100-00007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19275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299</xdr:row>
      <xdr:rowOff>19050</xdr:rowOff>
    </xdr:from>
    <xdr:to>
      <xdr:col>2</xdr:col>
      <xdr:colOff>590550</xdr:colOff>
      <xdr:row>300</xdr:row>
      <xdr:rowOff>4676</xdr:rowOff>
    </xdr:to>
    <xdr:pic>
      <xdr:nvPicPr>
        <xdr:cNvPr id="117621" name="Picture 518">
          <a:extLst>
            <a:ext uri="{FF2B5EF4-FFF2-40B4-BE49-F238E27FC236}">
              <a16:creationId xmlns:a16="http://schemas.microsoft.com/office/drawing/2014/main" id="{00000000-0008-0000-0100-00007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2038350" y="89877900"/>
          <a:ext cx="180975" cy="4095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945</xdr:row>
      <xdr:rowOff>38100</xdr:rowOff>
    </xdr:from>
    <xdr:to>
      <xdr:col>2</xdr:col>
      <xdr:colOff>371475</xdr:colOff>
      <xdr:row>945</xdr:row>
      <xdr:rowOff>419100</xdr:rowOff>
    </xdr:to>
    <xdr:pic>
      <xdr:nvPicPr>
        <xdr:cNvPr id="117622" name="Picture 524" descr="Lada-Concept_3">
          <a:extLst>
            <a:ext uri="{FF2B5EF4-FFF2-40B4-BE49-F238E27FC236}">
              <a16:creationId xmlns:a16="http://schemas.microsoft.com/office/drawing/2014/main" id="{00000000-0008-0000-0100-00007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38325" y="1929860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945</xdr:row>
      <xdr:rowOff>38100</xdr:rowOff>
    </xdr:from>
    <xdr:to>
      <xdr:col>2</xdr:col>
      <xdr:colOff>590550</xdr:colOff>
      <xdr:row>945</xdr:row>
      <xdr:rowOff>419100</xdr:rowOff>
    </xdr:to>
    <xdr:pic>
      <xdr:nvPicPr>
        <xdr:cNvPr id="117623" name="Picture 525" descr="Lada-Concept_3">
          <a:extLst>
            <a:ext uri="{FF2B5EF4-FFF2-40B4-BE49-F238E27FC236}">
              <a16:creationId xmlns:a16="http://schemas.microsoft.com/office/drawing/2014/main" id="{00000000-0008-0000-0100-00007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2047875" y="1929860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946</xdr:row>
      <xdr:rowOff>19050</xdr:rowOff>
    </xdr:from>
    <xdr:to>
      <xdr:col>2</xdr:col>
      <xdr:colOff>371475</xdr:colOff>
      <xdr:row>946</xdr:row>
      <xdr:rowOff>400050</xdr:rowOff>
    </xdr:to>
    <xdr:pic>
      <xdr:nvPicPr>
        <xdr:cNvPr id="117624" name="Picture 528">
          <a:extLst>
            <a:ext uri="{FF2B5EF4-FFF2-40B4-BE49-F238E27FC236}">
              <a16:creationId xmlns:a16="http://schemas.microsoft.com/office/drawing/2014/main" id="{00000000-0008-0000-0100-00007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828800" y="1934051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946</xdr:row>
      <xdr:rowOff>28575</xdr:rowOff>
    </xdr:from>
    <xdr:to>
      <xdr:col>2</xdr:col>
      <xdr:colOff>600075</xdr:colOff>
      <xdr:row>946</xdr:row>
      <xdr:rowOff>409575</xdr:rowOff>
    </xdr:to>
    <xdr:pic>
      <xdr:nvPicPr>
        <xdr:cNvPr id="117625" name="Picture 529">
          <a:extLst>
            <a:ext uri="{FF2B5EF4-FFF2-40B4-BE49-F238E27FC236}">
              <a16:creationId xmlns:a16="http://schemas.microsoft.com/office/drawing/2014/main" id="{00000000-0008-0000-0100-00007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2057400" y="193414650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949</xdr:row>
      <xdr:rowOff>38100</xdr:rowOff>
    </xdr:from>
    <xdr:to>
      <xdr:col>2</xdr:col>
      <xdr:colOff>485775</xdr:colOff>
      <xdr:row>949</xdr:row>
      <xdr:rowOff>400050</xdr:rowOff>
    </xdr:to>
    <xdr:pic>
      <xdr:nvPicPr>
        <xdr:cNvPr id="117626" name="Picture 531">
          <a:extLst>
            <a:ext uri="{FF2B5EF4-FFF2-40B4-BE49-F238E27FC236}">
              <a16:creationId xmlns:a16="http://schemas.microsoft.com/office/drawing/2014/main" id="{00000000-0008-0000-0100-00007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952625" y="1947386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1027</xdr:row>
      <xdr:rowOff>38100</xdr:rowOff>
    </xdr:from>
    <xdr:to>
      <xdr:col>2</xdr:col>
      <xdr:colOff>514350</xdr:colOff>
      <xdr:row>1028</xdr:row>
      <xdr:rowOff>4677</xdr:rowOff>
    </xdr:to>
    <xdr:pic>
      <xdr:nvPicPr>
        <xdr:cNvPr id="117627" name="Picture 541">
          <a:extLst>
            <a:ext uri="{FF2B5EF4-FFF2-40B4-BE49-F238E27FC236}">
              <a16:creationId xmlns:a16="http://schemas.microsoft.com/office/drawing/2014/main" id="{00000000-0008-0000-0100-00007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962150" y="209473800"/>
          <a:ext cx="180975" cy="3905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1770</xdr:row>
      <xdr:rowOff>47625</xdr:rowOff>
    </xdr:from>
    <xdr:to>
      <xdr:col>2</xdr:col>
      <xdr:colOff>495300</xdr:colOff>
      <xdr:row>1770</xdr:row>
      <xdr:rowOff>419100</xdr:rowOff>
    </xdr:to>
    <xdr:pic>
      <xdr:nvPicPr>
        <xdr:cNvPr id="117628" name="Picture 542" descr="Layn_6">
          <a:extLst>
            <a:ext uri="{FF2B5EF4-FFF2-40B4-BE49-F238E27FC236}">
              <a16:creationId xmlns:a16="http://schemas.microsoft.com/office/drawing/2014/main" id="{00000000-0008-0000-0100-00007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952625" y="343642950"/>
          <a:ext cx="1714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1771</xdr:row>
      <xdr:rowOff>38100</xdr:rowOff>
    </xdr:from>
    <xdr:to>
      <xdr:col>2</xdr:col>
      <xdr:colOff>514350</xdr:colOff>
      <xdr:row>1771</xdr:row>
      <xdr:rowOff>419100</xdr:rowOff>
    </xdr:to>
    <xdr:pic>
      <xdr:nvPicPr>
        <xdr:cNvPr id="117629" name="Picture 543">
          <a:extLst>
            <a:ext uri="{FF2B5EF4-FFF2-40B4-BE49-F238E27FC236}">
              <a16:creationId xmlns:a16="http://schemas.microsoft.com/office/drawing/2014/main" id="{00000000-0008-0000-0100-00007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962150" y="344071575"/>
          <a:ext cx="180975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1847</xdr:row>
      <xdr:rowOff>28575</xdr:rowOff>
    </xdr:from>
    <xdr:to>
      <xdr:col>2</xdr:col>
      <xdr:colOff>504825</xdr:colOff>
      <xdr:row>1847</xdr:row>
      <xdr:rowOff>419100</xdr:rowOff>
    </xdr:to>
    <xdr:pic>
      <xdr:nvPicPr>
        <xdr:cNvPr id="117630" name="Picture 544" descr="Elegant_6">
          <a:extLst>
            <a:ext uri="{FF2B5EF4-FFF2-40B4-BE49-F238E27FC236}">
              <a16:creationId xmlns:a16="http://schemas.microsoft.com/office/drawing/2014/main" id="{00000000-0008-0000-0100-00007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952625" y="3585781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1848</xdr:row>
      <xdr:rowOff>38100</xdr:rowOff>
    </xdr:from>
    <xdr:to>
      <xdr:col>2</xdr:col>
      <xdr:colOff>485775</xdr:colOff>
      <xdr:row>1848</xdr:row>
      <xdr:rowOff>419100</xdr:rowOff>
    </xdr:to>
    <xdr:pic>
      <xdr:nvPicPr>
        <xdr:cNvPr id="117631" name="Picture 545">
          <a:extLst>
            <a:ext uri="{FF2B5EF4-FFF2-40B4-BE49-F238E27FC236}">
              <a16:creationId xmlns:a16="http://schemas.microsoft.com/office/drawing/2014/main" id="{00000000-0008-0000-0100-00007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943100" y="359025825"/>
          <a:ext cx="171450" cy="3810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1022</xdr:row>
      <xdr:rowOff>38100</xdr:rowOff>
    </xdr:from>
    <xdr:to>
      <xdr:col>2</xdr:col>
      <xdr:colOff>371475</xdr:colOff>
      <xdr:row>1022</xdr:row>
      <xdr:rowOff>419100</xdr:rowOff>
    </xdr:to>
    <xdr:pic>
      <xdr:nvPicPr>
        <xdr:cNvPr id="117632" name="Picture 550" descr="Lada-Nova_4">
          <a:extLst>
            <a:ext uri="{FF2B5EF4-FFF2-40B4-BE49-F238E27FC236}">
              <a16:creationId xmlns:a16="http://schemas.microsoft.com/office/drawing/2014/main" id="{00000000-0008-0000-0100-00008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83832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1022</xdr:row>
      <xdr:rowOff>38100</xdr:rowOff>
    </xdr:from>
    <xdr:to>
      <xdr:col>2</xdr:col>
      <xdr:colOff>581025</xdr:colOff>
      <xdr:row>1022</xdr:row>
      <xdr:rowOff>419100</xdr:rowOff>
    </xdr:to>
    <xdr:pic>
      <xdr:nvPicPr>
        <xdr:cNvPr id="117633" name="Picture 551" descr="Lada-Nova_4">
          <a:extLst>
            <a:ext uri="{FF2B5EF4-FFF2-40B4-BE49-F238E27FC236}">
              <a16:creationId xmlns:a16="http://schemas.microsoft.com/office/drawing/2014/main" id="{00000000-0008-0000-0100-00008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2047875" y="207283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14</xdr:row>
      <xdr:rowOff>47625</xdr:rowOff>
    </xdr:from>
    <xdr:to>
      <xdr:col>2</xdr:col>
      <xdr:colOff>485775</xdr:colOff>
      <xdr:row>15</xdr:row>
      <xdr:rowOff>0</xdr:rowOff>
    </xdr:to>
    <xdr:pic>
      <xdr:nvPicPr>
        <xdr:cNvPr id="117634" name="Picture 589" descr="Standart_1A">
          <a:extLst>
            <a:ext uri="{FF2B5EF4-FFF2-40B4-BE49-F238E27FC236}">
              <a16:creationId xmlns:a16="http://schemas.microsoft.com/office/drawing/2014/main" id="{00000000-0008-0000-0100-00008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943100" y="2019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</xdr:row>
      <xdr:rowOff>38100</xdr:rowOff>
    </xdr:from>
    <xdr:to>
      <xdr:col>2</xdr:col>
      <xdr:colOff>485775</xdr:colOff>
      <xdr:row>15</xdr:row>
      <xdr:rowOff>400050</xdr:rowOff>
    </xdr:to>
    <xdr:pic>
      <xdr:nvPicPr>
        <xdr:cNvPr id="117635" name="Picture 590" descr="Standart_1B">
          <a:extLst>
            <a:ext uri="{FF2B5EF4-FFF2-40B4-BE49-F238E27FC236}">
              <a16:creationId xmlns:a16="http://schemas.microsoft.com/office/drawing/2014/main" id="{00000000-0008-0000-0100-00008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943100" y="24479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16</xdr:row>
      <xdr:rowOff>38100</xdr:rowOff>
    </xdr:from>
    <xdr:to>
      <xdr:col>2</xdr:col>
      <xdr:colOff>485775</xdr:colOff>
      <xdr:row>16</xdr:row>
      <xdr:rowOff>400050</xdr:rowOff>
    </xdr:to>
    <xdr:pic>
      <xdr:nvPicPr>
        <xdr:cNvPr id="117636" name="Picture 591" descr="Standart_2A">
          <a:extLst>
            <a:ext uri="{FF2B5EF4-FFF2-40B4-BE49-F238E27FC236}">
              <a16:creationId xmlns:a16="http://schemas.microsoft.com/office/drawing/2014/main" id="{00000000-0008-0000-0100-00008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943100" y="288607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17</xdr:row>
      <xdr:rowOff>38100</xdr:rowOff>
    </xdr:from>
    <xdr:to>
      <xdr:col>2</xdr:col>
      <xdr:colOff>485775</xdr:colOff>
      <xdr:row>17</xdr:row>
      <xdr:rowOff>400050</xdr:rowOff>
    </xdr:to>
    <xdr:pic>
      <xdr:nvPicPr>
        <xdr:cNvPr id="117637" name="Picture 592" descr="Standart_2B">
          <a:extLst>
            <a:ext uri="{FF2B5EF4-FFF2-40B4-BE49-F238E27FC236}">
              <a16:creationId xmlns:a16="http://schemas.microsoft.com/office/drawing/2014/main" id="{00000000-0008-0000-0100-00008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943100" y="3324225"/>
          <a:ext cx="171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18</xdr:row>
      <xdr:rowOff>47625</xdr:rowOff>
    </xdr:from>
    <xdr:to>
      <xdr:col>2</xdr:col>
      <xdr:colOff>361950</xdr:colOff>
      <xdr:row>18</xdr:row>
      <xdr:rowOff>419100</xdr:rowOff>
    </xdr:to>
    <xdr:pic>
      <xdr:nvPicPr>
        <xdr:cNvPr id="117638" name="Picture 593" descr="Standart_3">
          <a:extLst>
            <a:ext uri="{FF2B5EF4-FFF2-40B4-BE49-F238E27FC236}">
              <a16:creationId xmlns:a16="http://schemas.microsoft.com/office/drawing/2014/main" id="{00000000-0008-0000-0100-00008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828800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18</xdr:row>
      <xdr:rowOff>47625</xdr:rowOff>
    </xdr:from>
    <xdr:to>
      <xdr:col>2</xdr:col>
      <xdr:colOff>561975</xdr:colOff>
      <xdr:row>18</xdr:row>
      <xdr:rowOff>419100</xdr:rowOff>
    </xdr:to>
    <xdr:pic>
      <xdr:nvPicPr>
        <xdr:cNvPr id="117639" name="Picture 594" descr="Standart_3">
          <a:extLst>
            <a:ext uri="{FF2B5EF4-FFF2-40B4-BE49-F238E27FC236}">
              <a16:creationId xmlns:a16="http://schemas.microsoft.com/office/drawing/2014/main" id="{00000000-0008-0000-0100-00008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028825" y="3771900"/>
          <a:ext cx="1619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19</xdr:row>
      <xdr:rowOff>57150</xdr:rowOff>
    </xdr:from>
    <xdr:to>
      <xdr:col>2</xdr:col>
      <xdr:colOff>342900</xdr:colOff>
      <xdr:row>19</xdr:row>
      <xdr:rowOff>419100</xdr:rowOff>
    </xdr:to>
    <xdr:pic>
      <xdr:nvPicPr>
        <xdr:cNvPr id="117640" name="Picture 595" descr="Standart_4">
          <a:extLst>
            <a:ext uri="{FF2B5EF4-FFF2-40B4-BE49-F238E27FC236}">
              <a16:creationId xmlns:a16="http://schemas.microsoft.com/office/drawing/2014/main" id="{00000000-0008-0000-0100-00008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819275" y="4219575"/>
          <a:ext cx="1524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19</xdr:row>
      <xdr:rowOff>57150</xdr:rowOff>
    </xdr:from>
    <xdr:to>
      <xdr:col>2</xdr:col>
      <xdr:colOff>561975</xdr:colOff>
      <xdr:row>19</xdr:row>
      <xdr:rowOff>419100</xdr:rowOff>
    </xdr:to>
    <xdr:pic>
      <xdr:nvPicPr>
        <xdr:cNvPr id="117641" name="Picture 596" descr="Standart_4">
          <a:extLst>
            <a:ext uri="{FF2B5EF4-FFF2-40B4-BE49-F238E27FC236}">
              <a16:creationId xmlns:a16="http://schemas.microsoft.com/office/drawing/2014/main" id="{00000000-0008-0000-0100-00008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2028825" y="42195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2117</xdr:row>
      <xdr:rowOff>38100</xdr:rowOff>
    </xdr:from>
    <xdr:to>
      <xdr:col>2</xdr:col>
      <xdr:colOff>609600</xdr:colOff>
      <xdr:row>2118</xdr:row>
      <xdr:rowOff>1601</xdr:rowOff>
    </xdr:to>
    <xdr:pic>
      <xdr:nvPicPr>
        <xdr:cNvPr id="117642" name="Picture 607">
          <a:extLst>
            <a:ext uri="{FF2B5EF4-FFF2-40B4-BE49-F238E27FC236}">
              <a16:creationId xmlns:a16="http://schemas.microsoft.com/office/drawing/2014/main" id="{00000000-0008-0000-0100-00008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800225" y="409003500"/>
          <a:ext cx="438150" cy="4000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2179</xdr:row>
      <xdr:rowOff>47625</xdr:rowOff>
    </xdr:from>
    <xdr:to>
      <xdr:col>2</xdr:col>
      <xdr:colOff>609600</xdr:colOff>
      <xdr:row>2180</xdr:row>
      <xdr:rowOff>0</xdr:rowOff>
    </xdr:to>
    <xdr:pic>
      <xdr:nvPicPr>
        <xdr:cNvPr id="117643" name="Picture 609">
          <a:extLst>
            <a:ext uri="{FF2B5EF4-FFF2-40B4-BE49-F238E27FC236}">
              <a16:creationId xmlns:a16="http://schemas.microsoft.com/office/drawing/2014/main" id="{00000000-0008-0000-0100-00008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078592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2183</xdr:row>
      <xdr:rowOff>38100</xdr:rowOff>
    </xdr:from>
    <xdr:to>
      <xdr:col>2</xdr:col>
      <xdr:colOff>619125</xdr:colOff>
      <xdr:row>2183</xdr:row>
      <xdr:rowOff>400050</xdr:rowOff>
    </xdr:to>
    <xdr:pic>
      <xdr:nvPicPr>
        <xdr:cNvPr id="117644" name="Picture 613">
          <a:extLst>
            <a:ext uri="{FF2B5EF4-FFF2-40B4-BE49-F238E27FC236}">
              <a16:creationId xmlns:a16="http://schemas.microsoft.com/office/drawing/2014/main" id="{00000000-0008-0000-0100-00008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40517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2182</xdr:row>
      <xdr:rowOff>47625</xdr:rowOff>
    </xdr:from>
    <xdr:to>
      <xdr:col>2</xdr:col>
      <xdr:colOff>638175</xdr:colOff>
      <xdr:row>2182</xdr:row>
      <xdr:rowOff>419100</xdr:rowOff>
    </xdr:to>
    <xdr:pic>
      <xdr:nvPicPr>
        <xdr:cNvPr id="117645" name="Picture 616">
          <a:extLst>
            <a:ext uri="{FF2B5EF4-FFF2-40B4-BE49-F238E27FC236}">
              <a16:creationId xmlns:a16="http://schemas.microsoft.com/office/drawing/2014/main" id="{00000000-0008-0000-0100-00008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781175" y="421976550"/>
          <a:ext cx="485775" cy="37147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2244</xdr:row>
      <xdr:rowOff>66675</xdr:rowOff>
    </xdr:from>
    <xdr:to>
      <xdr:col>2</xdr:col>
      <xdr:colOff>676275</xdr:colOff>
      <xdr:row>2248</xdr:row>
      <xdr:rowOff>142875</xdr:rowOff>
    </xdr:to>
    <xdr:pic>
      <xdr:nvPicPr>
        <xdr:cNvPr id="117646" name="Picture 618">
          <a:extLst>
            <a:ext uri="{FF2B5EF4-FFF2-40B4-BE49-F238E27FC236}">
              <a16:creationId xmlns:a16="http://schemas.microsoft.com/office/drawing/2014/main" id="{00000000-0008-0000-0100-00008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33606575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2670</xdr:row>
      <xdr:rowOff>57150</xdr:rowOff>
    </xdr:from>
    <xdr:to>
      <xdr:col>2</xdr:col>
      <xdr:colOff>676275</xdr:colOff>
      <xdr:row>2670</xdr:row>
      <xdr:rowOff>419100</xdr:rowOff>
    </xdr:to>
    <xdr:pic>
      <xdr:nvPicPr>
        <xdr:cNvPr id="117647" name="Picture 620">
          <a:extLst>
            <a:ext uri="{FF2B5EF4-FFF2-40B4-BE49-F238E27FC236}">
              <a16:creationId xmlns:a16="http://schemas.microsoft.com/office/drawing/2014/main" id="{00000000-0008-0000-0100-00008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400175" y="497938425"/>
          <a:ext cx="904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2593</xdr:row>
      <xdr:rowOff>85725</xdr:rowOff>
    </xdr:from>
    <xdr:to>
      <xdr:col>2</xdr:col>
      <xdr:colOff>771525</xdr:colOff>
      <xdr:row>2593</xdr:row>
      <xdr:rowOff>333375</xdr:rowOff>
    </xdr:to>
    <xdr:pic>
      <xdr:nvPicPr>
        <xdr:cNvPr id="117648" name="Picture 638" descr="111">
          <a:extLst>
            <a:ext uri="{FF2B5EF4-FFF2-40B4-BE49-F238E27FC236}">
              <a16:creationId xmlns:a16="http://schemas.microsoft.com/office/drawing/2014/main" id="{00000000-0008-0000-0100-00009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647825" y="483765225"/>
          <a:ext cx="7524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104775</xdr:colOff>
      <xdr:row>2595</xdr:row>
      <xdr:rowOff>47625</xdr:rowOff>
    </xdr:from>
    <xdr:to>
      <xdr:col>2</xdr:col>
      <xdr:colOff>676275</xdr:colOff>
      <xdr:row>2603</xdr:row>
      <xdr:rowOff>133352</xdr:rowOff>
    </xdr:to>
    <xdr:pic>
      <xdr:nvPicPr>
        <xdr:cNvPr id="117649" name="Picture 639" descr="2222">
          <a:extLst>
            <a:ext uri="{FF2B5EF4-FFF2-40B4-BE49-F238E27FC236}">
              <a16:creationId xmlns:a16="http://schemas.microsoft.com/office/drawing/2014/main" id="{00000000-0008-0000-0100-000091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733550" y="484479600"/>
          <a:ext cx="57150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2727</xdr:row>
      <xdr:rowOff>19050</xdr:rowOff>
    </xdr:from>
    <xdr:to>
      <xdr:col>2</xdr:col>
      <xdr:colOff>685800</xdr:colOff>
      <xdr:row>2728</xdr:row>
      <xdr:rowOff>0</xdr:rowOff>
    </xdr:to>
    <xdr:pic>
      <xdr:nvPicPr>
        <xdr:cNvPr id="117650" name="Picture 640" descr="111">
          <a:extLst>
            <a:ext uri="{FF2B5EF4-FFF2-40B4-BE49-F238E27FC236}">
              <a16:creationId xmlns:a16="http://schemas.microsoft.com/office/drawing/2014/main" id="{00000000-0008-0000-0100-000092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895475" y="509225550"/>
          <a:ext cx="4191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2728</xdr:row>
      <xdr:rowOff>38100</xdr:rowOff>
    </xdr:from>
    <xdr:to>
      <xdr:col>2</xdr:col>
      <xdr:colOff>657225</xdr:colOff>
      <xdr:row>2728</xdr:row>
      <xdr:rowOff>409575</xdr:rowOff>
    </xdr:to>
    <xdr:pic>
      <xdr:nvPicPr>
        <xdr:cNvPr id="117651" name="Picture 641" descr="222">
          <a:extLst>
            <a:ext uri="{FF2B5EF4-FFF2-40B4-BE49-F238E27FC236}">
              <a16:creationId xmlns:a16="http://schemas.microsoft.com/office/drawing/2014/main" id="{00000000-0008-0000-0100-000093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924050" y="509682750"/>
          <a:ext cx="3619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2729</xdr:row>
      <xdr:rowOff>57150</xdr:rowOff>
    </xdr:from>
    <xdr:to>
      <xdr:col>2</xdr:col>
      <xdr:colOff>619125</xdr:colOff>
      <xdr:row>2729</xdr:row>
      <xdr:rowOff>390525</xdr:rowOff>
    </xdr:to>
    <xdr:pic>
      <xdr:nvPicPr>
        <xdr:cNvPr id="117652" name="Picture 642" descr="7b6d420211dc05624fdfc06bef8941cc">
          <a:extLst>
            <a:ext uri="{FF2B5EF4-FFF2-40B4-BE49-F238E27FC236}">
              <a16:creationId xmlns:a16="http://schemas.microsoft.com/office/drawing/2014/main" id="{00000000-0008-0000-0100-00009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2009775" y="510578100"/>
          <a:ext cx="2381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257175</xdr:colOff>
      <xdr:row>2730</xdr:row>
      <xdr:rowOff>38100</xdr:rowOff>
    </xdr:from>
    <xdr:to>
      <xdr:col>2</xdr:col>
      <xdr:colOff>704850</xdr:colOff>
      <xdr:row>2730</xdr:row>
      <xdr:rowOff>390525</xdr:rowOff>
    </xdr:to>
    <xdr:pic>
      <xdr:nvPicPr>
        <xdr:cNvPr id="117653" name="Picture 643" descr="2330865">
          <a:extLst>
            <a:ext uri="{FF2B5EF4-FFF2-40B4-BE49-F238E27FC236}">
              <a16:creationId xmlns:a16="http://schemas.microsoft.com/office/drawing/2014/main" id="{00000000-0008-0000-0100-00009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1885950" y="511435350"/>
          <a:ext cx="44767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947</xdr:row>
      <xdr:rowOff>38100</xdr:rowOff>
    </xdr:from>
    <xdr:to>
      <xdr:col>2</xdr:col>
      <xdr:colOff>495300</xdr:colOff>
      <xdr:row>947</xdr:row>
      <xdr:rowOff>400050</xdr:rowOff>
    </xdr:to>
    <xdr:pic>
      <xdr:nvPicPr>
        <xdr:cNvPr id="117655" name="Picture 681">
          <a:extLst>
            <a:ext uri="{FF2B5EF4-FFF2-40B4-BE49-F238E27FC236}">
              <a16:creationId xmlns:a16="http://schemas.microsoft.com/office/drawing/2014/main" id="{00000000-0008-0000-0100-00009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962150" y="1938623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948</xdr:row>
      <xdr:rowOff>38100</xdr:rowOff>
    </xdr:from>
    <xdr:to>
      <xdr:col>2</xdr:col>
      <xdr:colOff>495300</xdr:colOff>
      <xdr:row>948</xdr:row>
      <xdr:rowOff>400050</xdr:rowOff>
    </xdr:to>
    <xdr:pic>
      <xdr:nvPicPr>
        <xdr:cNvPr id="117656" name="Picture 685" descr="Lada-Concept_5">
          <a:extLst>
            <a:ext uri="{FF2B5EF4-FFF2-40B4-BE49-F238E27FC236}">
              <a16:creationId xmlns:a16="http://schemas.microsoft.com/office/drawing/2014/main" id="{00000000-0008-0000-0100-00009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962150" y="194300475"/>
          <a:ext cx="1619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1025</xdr:row>
      <xdr:rowOff>38100</xdr:rowOff>
    </xdr:from>
    <xdr:to>
      <xdr:col>2</xdr:col>
      <xdr:colOff>495300</xdr:colOff>
      <xdr:row>1025</xdr:row>
      <xdr:rowOff>400050</xdr:rowOff>
    </xdr:to>
    <xdr:pic>
      <xdr:nvPicPr>
        <xdr:cNvPr id="117657" name="Picture 692">
          <a:extLst>
            <a:ext uri="{FF2B5EF4-FFF2-40B4-BE49-F238E27FC236}">
              <a16:creationId xmlns:a16="http://schemas.microsoft.com/office/drawing/2014/main" id="{00000000-0008-0000-0100-000099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962150" y="208597500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1026</xdr:row>
      <xdr:rowOff>57150</xdr:rowOff>
    </xdr:from>
    <xdr:to>
      <xdr:col>2</xdr:col>
      <xdr:colOff>485775</xdr:colOff>
      <xdr:row>1026</xdr:row>
      <xdr:rowOff>400050</xdr:rowOff>
    </xdr:to>
    <xdr:pic>
      <xdr:nvPicPr>
        <xdr:cNvPr id="117658" name="Picture 696" descr="Lada-Nova_7">
          <a:extLst>
            <a:ext uri="{FF2B5EF4-FFF2-40B4-BE49-F238E27FC236}">
              <a16:creationId xmlns:a16="http://schemas.microsoft.com/office/drawing/2014/main" id="{00000000-0008-0000-0100-00009A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962150" y="2090547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342900</xdr:colOff>
      <xdr:row>1023</xdr:row>
      <xdr:rowOff>47625</xdr:rowOff>
    </xdr:from>
    <xdr:to>
      <xdr:col>2</xdr:col>
      <xdr:colOff>495300</xdr:colOff>
      <xdr:row>1023</xdr:row>
      <xdr:rowOff>390525</xdr:rowOff>
    </xdr:to>
    <xdr:pic>
      <xdr:nvPicPr>
        <xdr:cNvPr id="117659" name="Picture 697" descr="Lada-Nova_6a">
          <a:extLst>
            <a:ext uri="{FF2B5EF4-FFF2-40B4-BE49-F238E27FC236}">
              <a16:creationId xmlns:a16="http://schemas.microsoft.com/office/drawing/2014/main" id="{00000000-0008-0000-0100-00009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971675" y="207730725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1024</xdr:row>
      <xdr:rowOff>57150</xdr:rowOff>
    </xdr:from>
    <xdr:to>
      <xdr:col>2</xdr:col>
      <xdr:colOff>485775</xdr:colOff>
      <xdr:row>1024</xdr:row>
      <xdr:rowOff>400050</xdr:rowOff>
    </xdr:to>
    <xdr:pic>
      <xdr:nvPicPr>
        <xdr:cNvPr id="117660" name="Picture 701" descr="Lada-Nova_6a">
          <a:extLst>
            <a:ext uri="{FF2B5EF4-FFF2-40B4-BE49-F238E27FC236}">
              <a16:creationId xmlns:a16="http://schemas.microsoft.com/office/drawing/2014/main" id="{00000000-0008-0000-0100-00009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962150" y="208178400"/>
          <a:ext cx="1524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2316</xdr:row>
      <xdr:rowOff>66675</xdr:rowOff>
    </xdr:from>
    <xdr:to>
      <xdr:col>2</xdr:col>
      <xdr:colOff>676275</xdr:colOff>
      <xdr:row>2320</xdr:row>
      <xdr:rowOff>142874</xdr:rowOff>
    </xdr:to>
    <xdr:pic>
      <xdr:nvPicPr>
        <xdr:cNvPr id="117661" name="Picture 728">
          <a:extLst>
            <a:ext uri="{FF2B5EF4-FFF2-40B4-BE49-F238E27FC236}">
              <a16:creationId xmlns:a16="http://schemas.microsoft.com/office/drawing/2014/main" id="{00000000-0008-0000-0100-00009D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4698920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2384</xdr:row>
      <xdr:rowOff>66675</xdr:rowOff>
    </xdr:from>
    <xdr:to>
      <xdr:col>2</xdr:col>
      <xdr:colOff>676275</xdr:colOff>
      <xdr:row>2388</xdr:row>
      <xdr:rowOff>142875</xdr:rowOff>
    </xdr:to>
    <xdr:pic>
      <xdr:nvPicPr>
        <xdr:cNvPr id="117662" name="Picture 732">
          <a:extLst>
            <a:ext uri="{FF2B5EF4-FFF2-40B4-BE49-F238E27FC236}">
              <a16:creationId xmlns:a16="http://schemas.microsoft.com/office/drawing/2014/main" id="{00000000-0008-0000-0100-00009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743075" y="458743050"/>
          <a:ext cx="561975" cy="72390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0</xdr:row>
      <xdr:rowOff>133350</xdr:rowOff>
    </xdr:from>
    <xdr:to>
      <xdr:col>2</xdr:col>
      <xdr:colOff>219075</xdr:colOff>
      <xdr:row>4</xdr:row>
      <xdr:rowOff>85725</xdr:rowOff>
    </xdr:to>
    <xdr:pic>
      <xdr:nvPicPr>
        <xdr:cNvPr id="117664" name="Picture 383" descr="123">
          <a:extLst>
            <a:ext uri="{FF2B5EF4-FFF2-40B4-BE49-F238E27FC236}">
              <a16:creationId xmlns:a16="http://schemas.microsoft.com/office/drawing/2014/main" id="{00000000-0008-0000-0100-0000A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 t="6827"/>
        <a:stretch>
          <a:fillRect/>
        </a:stretch>
      </xdr:blipFill>
      <xdr:spPr bwMode="auto">
        <a:xfrm>
          <a:off x="85725" y="133350"/>
          <a:ext cx="17621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1173</xdr:row>
      <xdr:rowOff>0</xdr:rowOff>
    </xdr:from>
    <xdr:to>
      <xdr:col>2</xdr:col>
      <xdr:colOff>428625</xdr:colOff>
      <xdr:row>1174</xdr:row>
      <xdr:rowOff>7014</xdr:rowOff>
    </xdr:to>
    <xdr:pic>
      <xdr:nvPicPr>
        <xdr:cNvPr id="117665" name="Рисунок 191" descr="Loft 1_0_401.png">
          <a:extLst>
            <a:ext uri="{FF2B5EF4-FFF2-40B4-BE49-F238E27FC236}">
              <a16:creationId xmlns:a16="http://schemas.microsoft.com/office/drawing/2014/main" id="{00000000-0008-0000-0100-0000A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743075" y="2347245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371475</xdr:colOff>
      <xdr:row>1172</xdr:row>
      <xdr:rowOff>152400</xdr:rowOff>
    </xdr:from>
    <xdr:to>
      <xdr:col>2</xdr:col>
      <xdr:colOff>685800</xdr:colOff>
      <xdr:row>1174</xdr:row>
      <xdr:rowOff>2470</xdr:rowOff>
    </xdr:to>
    <xdr:pic>
      <xdr:nvPicPr>
        <xdr:cNvPr id="117666" name="Рисунок 192" descr="Loft 1_1_401.png">
          <a:extLst>
            <a:ext uri="{FF2B5EF4-FFF2-40B4-BE49-F238E27FC236}">
              <a16:creationId xmlns:a16="http://schemas.microsoft.com/office/drawing/2014/main" id="{00000000-0008-0000-0100-0000A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2000250" y="2347150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1174</xdr:row>
      <xdr:rowOff>9525</xdr:rowOff>
    </xdr:from>
    <xdr:to>
      <xdr:col>2</xdr:col>
      <xdr:colOff>438150</xdr:colOff>
      <xdr:row>1175</xdr:row>
      <xdr:rowOff>2</xdr:rowOff>
    </xdr:to>
    <xdr:pic>
      <xdr:nvPicPr>
        <xdr:cNvPr id="117667" name="Рисунок 195" descr="Loft 3_0_401.png">
          <a:extLst>
            <a:ext uri="{FF2B5EF4-FFF2-40B4-BE49-F238E27FC236}">
              <a16:creationId xmlns:a16="http://schemas.microsoft.com/office/drawing/2014/main" id="{00000000-0008-0000-0100-0000A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752600" y="23517225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1174</xdr:row>
      <xdr:rowOff>19050</xdr:rowOff>
    </xdr:from>
    <xdr:to>
      <xdr:col>2</xdr:col>
      <xdr:colOff>704850</xdr:colOff>
      <xdr:row>1175</xdr:row>
      <xdr:rowOff>9527</xdr:rowOff>
    </xdr:to>
    <xdr:pic>
      <xdr:nvPicPr>
        <xdr:cNvPr id="117668" name="Рисунок 196" descr="Loft 3_1_401.png">
          <a:extLst>
            <a:ext uri="{FF2B5EF4-FFF2-40B4-BE49-F238E27FC236}">
              <a16:creationId xmlns:a16="http://schemas.microsoft.com/office/drawing/2014/main" id="{00000000-0008-0000-0100-0000A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2019300" y="2351817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1175</xdr:row>
      <xdr:rowOff>19050</xdr:rowOff>
    </xdr:from>
    <xdr:to>
      <xdr:col>2</xdr:col>
      <xdr:colOff>428625</xdr:colOff>
      <xdr:row>1176</xdr:row>
      <xdr:rowOff>1</xdr:rowOff>
    </xdr:to>
    <xdr:pic>
      <xdr:nvPicPr>
        <xdr:cNvPr id="117669" name="Рисунок 197" descr="Loft 4_0_401.png">
          <a:extLst>
            <a:ext uri="{FF2B5EF4-FFF2-40B4-BE49-F238E27FC236}">
              <a16:creationId xmlns:a16="http://schemas.microsoft.com/office/drawing/2014/main" id="{00000000-0008-0000-0100-0000A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1743075" y="23561992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1175</xdr:row>
      <xdr:rowOff>9525</xdr:rowOff>
    </xdr:from>
    <xdr:to>
      <xdr:col>2</xdr:col>
      <xdr:colOff>695325</xdr:colOff>
      <xdr:row>1176</xdr:row>
      <xdr:rowOff>1</xdr:rowOff>
    </xdr:to>
    <xdr:pic>
      <xdr:nvPicPr>
        <xdr:cNvPr id="117670" name="Рисунок 198" descr="Loft 4_1_401.png">
          <a:extLst>
            <a:ext uri="{FF2B5EF4-FFF2-40B4-BE49-F238E27FC236}">
              <a16:creationId xmlns:a16="http://schemas.microsoft.com/office/drawing/2014/main" id="{00000000-0008-0000-0100-0000A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2019300" y="235610400"/>
          <a:ext cx="3048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1176</xdr:row>
      <xdr:rowOff>9525</xdr:rowOff>
    </xdr:from>
    <xdr:to>
      <xdr:col>2</xdr:col>
      <xdr:colOff>428625</xdr:colOff>
      <xdr:row>1177</xdr:row>
      <xdr:rowOff>9525</xdr:rowOff>
    </xdr:to>
    <xdr:pic>
      <xdr:nvPicPr>
        <xdr:cNvPr id="117671" name="Рисунок 199" descr="Loft 5_0_401.png">
          <a:extLst>
            <a:ext uri="{FF2B5EF4-FFF2-40B4-BE49-F238E27FC236}">
              <a16:creationId xmlns:a16="http://schemas.microsoft.com/office/drawing/2014/main" id="{00000000-0008-0000-0100-0000A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743075" y="236048550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390525</xdr:colOff>
      <xdr:row>1176</xdr:row>
      <xdr:rowOff>0</xdr:rowOff>
    </xdr:from>
    <xdr:to>
      <xdr:col>2</xdr:col>
      <xdr:colOff>704850</xdr:colOff>
      <xdr:row>1177</xdr:row>
      <xdr:rowOff>0</xdr:rowOff>
    </xdr:to>
    <xdr:pic>
      <xdr:nvPicPr>
        <xdr:cNvPr id="117672" name="Рисунок 200" descr="Loft 5_1_401.png">
          <a:extLst>
            <a:ext uri="{FF2B5EF4-FFF2-40B4-BE49-F238E27FC236}">
              <a16:creationId xmlns:a16="http://schemas.microsoft.com/office/drawing/2014/main" id="{00000000-0008-0000-0100-0000A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2019300" y="236039025"/>
          <a:ext cx="3143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1177</xdr:row>
      <xdr:rowOff>0</xdr:rowOff>
    </xdr:from>
    <xdr:to>
      <xdr:col>2</xdr:col>
      <xdr:colOff>428625</xdr:colOff>
      <xdr:row>1178</xdr:row>
      <xdr:rowOff>7015</xdr:rowOff>
    </xdr:to>
    <xdr:pic>
      <xdr:nvPicPr>
        <xdr:cNvPr id="117673" name="Рисунок 201" descr="Loft 6_0_401.png">
          <a:extLst>
            <a:ext uri="{FF2B5EF4-FFF2-40B4-BE49-F238E27FC236}">
              <a16:creationId xmlns:a16="http://schemas.microsoft.com/office/drawing/2014/main" id="{00000000-0008-0000-0100-0000A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1743075" y="2364771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381000</xdr:colOff>
      <xdr:row>1177</xdr:row>
      <xdr:rowOff>9525</xdr:rowOff>
    </xdr:from>
    <xdr:to>
      <xdr:col>2</xdr:col>
      <xdr:colOff>695325</xdr:colOff>
      <xdr:row>1178</xdr:row>
      <xdr:rowOff>1599</xdr:rowOff>
    </xdr:to>
    <xdr:pic>
      <xdr:nvPicPr>
        <xdr:cNvPr id="117674" name="Рисунок 202" descr="Loft 6_1_401.png">
          <a:extLst>
            <a:ext uri="{FF2B5EF4-FFF2-40B4-BE49-F238E27FC236}">
              <a16:creationId xmlns:a16="http://schemas.microsoft.com/office/drawing/2014/main" id="{00000000-0008-0000-0100-0000A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2009775" y="23648670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2256</xdr:row>
      <xdr:rowOff>66675</xdr:rowOff>
    </xdr:from>
    <xdr:to>
      <xdr:col>2</xdr:col>
      <xdr:colOff>771525</xdr:colOff>
      <xdr:row>2256</xdr:row>
      <xdr:rowOff>381000</xdr:rowOff>
    </xdr:to>
    <xdr:pic>
      <xdr:nvPicPr>
        <xdr:cNvPr id="117675" name="Picture 637" descr="asdfadsfadsf">
          <a:extLst>
            <a:ext uri="{FF2B5EF4-FFF2-40B4-BE49-F238E27FC236}">
              <a16:creationId xmlns:a16="http://schemas.microsoft.com/office/drawing/2014/main" id="{00000000-0008-0000-0100-0000AB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35978300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2180</xdr:row>
      <xdr:rowOff>47625</xdr:rowOff>
    </xdr:from>
    <xdr:to>
      <xdr:col>2</xdr:col>
      <xdr:colOff>609600</xdr:colOff>
      <xdr:row>2181</xdr:row>
      <xdr:rowOff>2</xdr:rowOff>
    </xdr:to>
    <xdr:pic>
      <xdr:nvPicPr>
        <xdr:cNvPr id="117676" name="Picture 609">
          <a:extLst>
            <a:ext uri="{FF2B5EF4-FFF2-40B4-BE49-F238E27FC236}">
              <a16:creationId xmlns:a16="http://schemas.microsoft.com/office/drawing/2014/main" id="{00000000-0008-0000-0100-0000AC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828800" y="421224075"/>
          <a:ext cx="4095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1545</xdr:row>
      <xdr:rowOff>19050</xdr:rowOff>
    </xdr:from>
    <xdr:to>
      <xdr:col>2</xdr:col>
      <xdr:colOff>342900</xdr:colOff>
      <xdr:row>1545</xdr:row>
      <xdr:rowOff>400050</xdr:rowOff>
    </xdr:to>
    <xdr:pic>
      <xdr:nvPicPr>
        <xdr:cNvPr id="117677" name="Рисунок 218" descr="Модерн 3A.1_401.png">
          <a:extLst>
            <a:ext uri="{FF2B5EF4-FFF2-40B4-BE49-F238E27FC236}">
              <a16:creationId xmlns:a16="http://schemas.microsoft.com/office/drawing/2014/main" id="{00000000-0008-0000-0100-0000A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1800225" y="302190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2439</xdr:row>
      <xdr:rowOff>66675</xdr:rowOff>
    </xdr:from>
    <xdr:to>
      <xdr:col>2</xdr:col>
      <xdr:colOff>771525</xdr:colOff>
      <xdr:row>2439</xdr:row>
      <xdr:rowOff>381000</xdr:rowOff>
    </xdr:to>
    <xdr:pic>
      <xdr:nvPicPr>
        <xdr:cNvPr id="117678" name="Picture 637" descr="asdfadsfadsf">
          <a:extLst>
            <a:ext uri="{FF2B5EF4-FFF2-40B4-BE49-F238E27FC236}">
              <a16:creationId xmlns:a16="http://schemas.microsoft.com/office/drawing/2014/main" id="{00000000-0008-0000-0100-0000AE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657350" y="461114775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2184</xdr:row>
      <xdr:rowOff>38100</xdr:rowOff>
    </xdr:from>
    <xdr:to>
      <xdr:col>2</xdr:col>
      <xdr:colOff>619125</xdr:colOff>
      <xdr:row>2184</xdr:row>
      <xdr:rowOff>400050</xdr:rowOff>
    </xdr:to>
    <xdr:pic>
      <xdr:nvPicPr>
        <xdr:cNvPr id="117679" name="Picture 613">
          <a:extLst>
            <a:ext uri="{FF2B5EF4-FFF2-40B4-BE49-F238E27FC236}">
              <a16:creationId xmlns:a16="http://schemas.microsoft.com/office/drawing/2014/main" id="{00000000-0008-0000-0100-0000AF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809750" y="422843325"/>
          <a:ext cx="438150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2534</xdr:row>
      <xdr:rowOff>142875</xdr:rowOff>
    </xdr:from>
    <xdr:to>
      <xdr:col>2</xdr:col>
      <xdr:colOff>695325</xdr:colOff>
      <xdr:row>2535</xdr:row>
      <xdr:rowOff>238125</xdr:rowOff>
    </xdr:to>
    <xdr:pic>
      <xdr:nvPicPr>
        <xdr:cNvPr id="117680" name="Picture 609">
          <a:extLst>
            <a:ext uri="{FF2B5EF4-FFF2-40B4-BE49-F238E27FC236}">
              <a16:creationId xmlns:a16="http://schemas.microsoft.com/office/drawing/2014/main" id="{00000000-0008-0000-0100-0000B0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762125" y="472544775"/>
          <a:ext cx="5619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</xdr:colOff>
      <xdr:row>1542</xdr:row>
      <xdr:rowOff>171450</xdr:rowOff>
    </xdr:from>
    <xdr:to>
      <xdr:col>2</xdr:col>
      <xdr:colOff>466725</xdr:colOff>
      <xdr:row>1544</xdr:row>
      <xdr:rowOff>-1</xdr:rowOff>
    </xdr:to>
    <xdr:pic>
      <xdr:nvPicPr>
        <xdr:cNvPr id="117681" name="Рисунок 216" descr="Modern 1.0_401.png">
          <a:extLst>
            <a:ext uri="{FF2B5EF4-FFF2-40B4-BE49-F238E27FC236}">
              <a16:creationId xmlns:a16="http://schemas.microsoft.com/office/drawing/2014/main" id="{00000000-0008-0000-0100-0000B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64782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1542</xdr:row>
      <xdr:rowOff>180975</xdr:rowOff>
    </xdr:from>
    <xdr:to>
      <xdr:col>2</xdr:col>
      <xdr:colOff>752475</xdr:colOff>
      <xdr:row>1544</xdr:row>
      <xdr:rowOff>-1</xdr:rowOff>
    </xdr:to>
    <xdr:pic>
      <xdr:nvPicPr>
        <xdr:cNvPr id="117682" name="Рисунок 217" descr="Modern 1.1_401.png">
          <a:extLst>
            <a:ext uri="{FF2B5EF4-FFF2-40B4-BE49-F238E27FC236}">
              <a16:creationId xmlns:a16="http://schemas.microsoft.com/office/drawing/2014/main" id="{00000000-0008-0000-0100-0000B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933575" y="30129480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</xdr:colOff>
      <xdr:row>1544</xdr:row>
      <xdr:rowOff>0</xdr:rowOff>
    </xdr:from>
    <xdr:to>
      <xdr:col>2</xdr:col>
      <xdr:colOff>476250</xdr:colOff>
      <xdr:row>1545</xdr:row>
      <xdr:rowOff>9528</xdr:rowOff>
    </xdr:to>
    <xdr:pic>
      <xdr:nvPicPr>
        <xdr:cNvPr id="117683" name="Рисунок 218" descr="Modern 3.0_401.png">
          <a:extLst>
            <a:ext uri="{FF2B5EF4-FFF2-40B4-BE49-F238E27FC236}">
              <a16:creationId xmlns:a16="http://schemas.microsoft.com/office/drawing/2014/main" id="{00000000-0008-0000-0100-0000B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1657350" y="301732950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314325</xdr:colOff>
      <xdr:row>1544</xdr:row>
      <xdr:rowOff>0</xdr:rowOff>
    </xdr:from>
    <xdr:to>
      <xdr:col>2</xdr:col>
      <xdr:colOff>762000</xdr:colOff>
      <xdr:row>1545</xdr:row>
      <xdr:rowOff>3</xdr:rowOff>
    </xdr:to>
    <xdr:pic>
      <xdr:nvPicPr>
        <xdr:cNvPr id="117684" name="Рисунок 221" descr="Modern 3.3_401.png">
          <a:extLst>
            <a:ext uri="{FF2B5EF4-FFF2-40B4-BE49-F238E27FC236}">
              <a16:creationId xmlns:a16="http://schemas.microsoft.com/office/drawing/2014/main" id="{00000000-0008-0000-0100-0000B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943100" y="301732950"/>
          <a:ext cx="44767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1545</xdr:row>
      <xdr:rowOff>0</xdr:rowOff>
    </xdr:from>
    <xdr:to>
      <xdr:col>2</xdr:col>
      <xdr:colOff>762000</xdr:colOff>
      <xdr:row>1546</xdr:row>
      <xdr:rowOff>6802</xdr:rowOff>
    </xdr:to>
    <xdr:pic>
      <xdr:nvPicPr>
        <xdr:cNvPr id="117685" name="Рисунок 222" descr="Modern 3A.2_401.png">
          <a:extLst>
            <a:ext uri="{FF2B5EF4-FFF2-40B4-BE49-F238E27FC236}">
              <a16:creationId xmlns:a16="http://schemas.microsoft.com/office/drawing/2014/main" id="{00000000-0008-0000-0100-0000B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1952625" y="302171100"/>
          <a:ext cx="4381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506</xdr:row>
      <xdr:rowOff>19050</xdr:rowOff>
    </xdr:from>
    <xdr:to>
      <xdr:col>2</xdr:col>
      <xdr:colOff>314325</xdr:colOff>
      <xdr:row>506</xdr:row>
      <xdr:rowOff>400050</xdr:rowOff>
    </xdr:to>
    <xdr:pic>
      <xdr:nvPicPr>
        <xdr:cNvPr id="117686" name="Рисунок 223" descr="Lada 2A.0.png">
          <a:extLst>
            <a:ext uri="{FF2B5EF4-FFF2-40B4-BE49-F238E27FC236}">
              <a16:creationId xmlns:a16="http://schemas.microsoft.com/office/drawing/2014/main" id="{00000000-0008-0000-0100-0000B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771650" y="1149000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506</xdr:row>
      <xdr:rowOff>28575</xdr:rowOff>
    </xdr:from>
    <xdr:to>
      <xdr:col>2</xdr:col>
      <xdr:colOff>581025</xdr:colOff>
      <xdr:row>506</xdr:row>
      <xdr:rowOff>409575</xdr:rowOff>
    </xdr:to>
    <xdr:pic>
      <xdr:nvPicPr>
        <xdr:cNvPr id="117687" name="Рисунок 224" descr="Lada 2A.1.png">
          <a:extLst>
            <a:ext uri="{FF2B5EF4-FFF2-40B4-BE49-F238E27FC236}">
              <a16:creationId xmlns:a16="http://schemas.microsoft.com/office/drawing/2014/main" id="{00000000-0008-0000-0100-0000B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2038350" y="114909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133350</xdr:colOff>
      <xdr:row>507</xdr:row>
      <xdr:rowOff>38100</xdr:rowOff>
    </xdr:from>
    <xdr:to>
      <xdr:col>2</xdr:col>
      <xdr:colOff>304800</xdr:colOff>
      <xdr:row>507</xdr:row>
      <xdr:rowOff>419100</xdr:rowOff>
    </xdr:to>
    <xdr:pic>
      <xdr:nvPicPr>
        <xdr:cNvPr id="117688" name="Рисунок 225" descr="Lada 3A.0.png">
          <a:extLst>
            <a:ext uri="{FF2B5EF4-FFF2-40B4-BE49-F238E27FC236}">
              <a16:creationId xmlns:a16="http://schemas.microsoft.com/office/drawing/2014/main" id="{00000000-0008-0000-0100-0000B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1762125" y="1153572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507</xdr:row>
      <xdr:rowOff>28575</xdr:rowOff>
    </xdr:from>
    <xdr:to>
      <xdr:col>2</xdr:col>
      <xdr:colOff>581025</xdr:colOff>
      <xdr:row>507</xdr:row>
      <xdr:rowOff>409575</xdr:rowOff>
    </xdr:to>
    <xdr:pic>
      <xdr:nvPicPr>
        <xdr:cNvPr id="117689" name="Рисунок 226" descr="Lada 3A.2.png">
          <a:extLst>
            <a:ext uri="{FF2B5EF4-FFF2-40B4-BE49-F238E27FC236}">
              <a16:creationId xmlns:a16="http://schemas.microsoft.com/office/drawing/2014/main" id="{00000000-0008-0000-0100-0000B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2038350" y="115347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123825</xdr:colOff>
      <xdr:row>508</xdr:row>
      <xdr:rowOff>28575</xdr:rowOff>
    </xdr:from>
    <xdr:to>
      <xdr:col>2</xdr:col>
      <xdr:colOff>295275</xdr:colOff>
      <xdr:row>508</xdr:row>
      <xdr:rowOff>409575</xdr:rowOff>
    </xdr:to>
    <xdr:pic>
      <xdr:nvPicPr>
        <xdr:cNvPr id="117690" name="Рисунок 227" descr="Lada 8.0.png">
          <a:extLst>
            <a:ext uri="{FF2B5EF4-FFF2-40B4-BE49-F238E27FC236}">
              <a16:creationId xmlns:a16="http://schemas.microsoft.com/office/drawing/2014/main" id="{00000000-0008-0000-0100-0000B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1752600" y="1157859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508</xdr:row>
      <xdr:rowOff>28575</xdr:rowOff>
    </xdr:from>
    <xdr:to>
      <xdr:col>2</xdr:col>
      <xdr:colOff>581025</xdr:colOff>
      <xdr:row>508</xdr:row>
      <xdr:rowOff>409575</xdr:rowOff>
    </xdr:to>
    <xdr:pic>
      <xdr:nvPicPr>
        <xdr:cNvPr id="117691" name="Рисунок 228" descr="Lada 8.5.png">
          <a:extLst>
            <a:ext uri="{FF2B5EF4-FFF2-40B4-BE49-F238E27FC236}">
              <a16:creationId xmlns:a16="http://schemas.microsoft.com/office/drawing/2014/main" id="{00000000-0008-0000-0100-0000B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2047875" y="11578590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579</xdr:row>
      <xdr:rowOff>28575</xdr:rowOff>
    </xdr:from>
    <xdr:to>
      <xdr:col>2</xdr:col>
      <xdr:colOff>333375</xdr:colOff>
      <xdr:row>579</xdr:row>
      <xdr:rowOff>419100</xdr:rowOff>
    </xdr:to>
    <xdr:pic>
      <xdr:nvPicPr>
        <xdr:cNvPr id="117692" name="Рисунок 229" descr="Lada 1.0.png">
          <a:extLst>
            <a:ext uri="{FF2B5EF4-FFF2-40B4-BE49-F238E27FC236}">
              <a16:creationId xmlns:a16="http://schemas.microsoft.com/office/drawing/2014/main" id="{00000000-0008-0000-0100-0000B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1790700" y="1281303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579</xdr:row>
      <xdr:rowOff>28575</xdr:rowOff>
    </xdr:from>
    <xdr:to>
      <xdr:col>2</xdr:col>
      <xdr:colOff>590550</xdr:colOff>
      <xdr:row>579</xdr:row>
      <xdr:rowOff>409575</xdr:rowOff>
    </xdr:to>
    <xdr:pic>
      <xdr:nvPicPr>
        <xdr:cNvPr id="117693" name="Рисунок 230" descr="Lada 1.3.png">
          <a:extLst>
            <a:ext uri="{FF2B5EF4-FFF2-40B4-BE49-F238E27FC236}">
              <a16:creationId xmlns:a16="http://schemas.microsoft.com/office/drawing/2014/main" id="{00000000-0008-0000-0100-0000B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2047875" y="1281303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580</xdr:row>
      <xdr:rowOff>38100</xdr:rowOff>
    </xdr:from>
    <xdr:to>
      <xdr:col>2</xdr:col>
      <xdr:colOff>333375</xdr:colOff>
      <xdr:row>580</xdr:row>
      <xdr:rowOff>419100</xdr:rowOff>
    </xdr:to>
    <xdr:pic>
      <xdr:nvPicPr>
        <xdr:cNvPr id="117694" name="Рисунок 231" descr="Lada 2.0.png">
          <a:extLst>
            <a:ext uri="{FF2B5EF4-FFF2-40B4-BE49-F238E27FC236}">
              <a16:creationId xmlns:a16="http://schemas.microsoft.com/office/drawing/2014/main" id="{00000000-0008-0000-0100-0000B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790700" y="1285779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580</xdr:row>
      <xdr:rowOff>28575</xdr:rowOff>
    </xdr:from>
    <xdr:to>
      <xdr:col>2</xdr:col>
      <xdr:colOff>590550</xdr:colOff>
      <xdr:row>580</xdr:row>
      <xdr:rowOff>409575</xdr:rowOff>
    </xdr:to>
    <xdr:pic>
      <xdr:nvPicPr>
        <xdr:cNvPr id="117695" name="Рисунок 232" descr="Lada 2.2.png">
          <a:extLst>
            <a:ext uri="{FF2B5EF4-FFF2-40B4-BE49-F238E27FC236}">
              <a16:creationId xmlns:a16="http://schemas.microsoft.com/office/drawing/2014/main" id="{00000000-0008-0000-0100-0000B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2047875" y="1285684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581</xdr:row>
      <xdr:rowOff>28575</xdr:rowOff>
    </xdr:from>
    <xdr:to>
      <xdr:col>2</xdr:col>
      <xdr:colOff>323850</xdr:colOff>
      <xdr:row>581</xdr:row>
      <xdr:rowOff>409575</xdr:rowOff>
    </xdr:to>
    <xdr:pic>
      <xdr:nvPicPr>
        <xdr:cNvPr id="117696" name="Рисунок 233" descr="Lada 3.0.png">
          <a:extLst>
            <a:ext uri="{FF2B5EF4-FFF2-40B4-BE49-F238E27FC236}">
              <a16:creationId xmlns:a16="http://schemas.microsoft.com/office/drawing/2014/main" id="{00000000-0008-0000-0100-0000C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781175" y="129006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581</xdr:row>
      <xdr:rowOff>38100</xdr:rowOff>
    </xdr:from>
    <xdr:to>
      <xdr:col>2</xdr:col>
      <xdr:colOff>590550</xdr:colOff>
      <xdr:row>581</xdr:row>
      <xdr:rowOff>419100</xdr:rowOff>
    </xdr:to>
    <xdr:pic>
      <xdr:nvPicPr>
        <xdr:cNvPr id="117697" name="Рисунок 234" descr="Lada 3.5.png">
          <a:extLst>
            <a:ext uri="{FF2B5EF4-FFF2-40B4-BE49-F238E27FC236}">
              <a16:creationId xmlns:a16="http://schemas.microsoft.com/office/drawing/2014/main" id="{00000000-0008-0000-0100-0000C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2047875" y="129016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653</xdr:row>
      <xdr:rowOff>28575</xdr:rowOff>
    </xdr:from>
    <xdr:to>
      <xdr:col>2</xdr:col>
      <xdr:colOff>342900</xdr:colOff>
      <xdr:row>653</xdr:row>
      <xdr:rowOff>409575</xdr:rowOff>
    </xdr:to>
    <xdr:pic>
      <xdr:nvPicPr>
        <xdr:cNvPr id="117698" name="Рисунок 235" descr="Lada 4.0.png">
          <a:extLst>
            <a:ext uri="{FF2B5EF4-FFF2-40B4-BE49-F238E27FC236}">
              <a16:creationId xmlns:a16="http://schemas.microsoft.com/office/drawing/2014/main" id="{00000000-0008-0000-0100-0000C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1800225" y="141351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654</xdr:row>
      <xdr:rowOff>28575</xdr:rowOff>
    </xdr:from>
    <xdr:to>
      <xdr:col>2</xdr:col>
      <xdr:colOff>609600</xdr:colOff>
      <xdr:row>654</xdr:row>
      <xdr:rowOff>409575</xdr:rowOff>
    </xdr:to>
    <xdr:pic>
      <xdr:nvPicPr>
        <xdr:cNvPr id="117699" name="Рисунок 236" descr="Lada 4.8.png">
          <a:extLst>
            <a:ext uri="{FF2B5EF4-FFF2-40B4-BE49-F238E27FC236}">
              <a16:creationId xmlns:a16="http://schemas.microsoft.com/office/drawing/2014/main" id="{00000000-0008-0000-0100-0000C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20669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654</xdr:row>
      <xdr:rowOff>28575</xdr:rowOff>
    </xdr:from>
    <xdr:to>
      <xdr:col>2</xdr:col>
      <xdr:colOff>342900</xdr:colOff>
      <xdr:row>654</xdr:row>
      <xdr:rowOff>409575</xdr:rowOff>
    </xdr:to>
    <xdr:pic>
      <xdr:nvPicPr>
        <xdr:cNvPr id="117700" name="Рисунок 237" descr="Lada 5.0.png">
          <a:extLst>
            <a:ext uri="{FF2B5EF4-FFF2-40B4-BE49-F238E27FC236}">
              <a16:creationId xmlns:a16="http://schemas.microsoft.com/office/drawing/2014/main" id="{00000000-0008-0000-0100-0000C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1800225" y="141789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653</xdr:row>
      <xdr:rowOff>38100</xdr:rowOff>
    </xdr:from>
    <xdr:to>
      <xdr:col>2</xdr:col>
      <xdr:colOff>619125</xdr:colOff>
      <xdr:row>653</xdr:row>
      <xdr:rowOff>419100</xdr:rowOff>
    </xdr:to>
    <xdr:pic>
      <xdr:nvPicPr>
        <xdr:cNvPr id="117701" name="Рисунок 238" descr="Lada 5.6.png">
          <a:extLst>
            <a:ext uri="{FF2B5EF4-FFF2-40B4-BE49-F238E27FC236}">
              <a16:creationId xmlns:a16="http://schemas.microsoft.com/office/drawing/2014/main" id="{00000000-0008-0000-0100-0000C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2076450" y="1413605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725</xdr:row>
      <xdr:rowOff>28575</xdr:rowOff>
    </xdr:from>
    <xdr:to>
      <xdr:col>2</xdr:col>
      <xdr:colOff>342900</xdr:colOff>
      <xdr:row>725</xdr:row>
      <xdr:rowOff>409575</xdr:rowOff>
    </xdr:to>
    <xdr:pic>
      <xdr:nvPicPr>
        <xdr:cNvPr id="117702" name="Рисунок 239" descr="Lada 6.0.png">
          <a:extLst>
            <a:ext uri="{FF2B5EF4-FFF2-40B4-BE49-F238E27FC236}">
              <a16:creationId xmlns:a16="http://schemas.microsoft.com/office/drawing/2014/main" id="{00000000-0008-0000-0100-0000C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180022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725</xdr:row>
      <xdr:rowOff>28575</xdr:rowOff>
    </xdr:from>
    <xdr:to>
      <xdr:col>2</xdr:col>
      <xdr:colOff>590550</xdr:colOff>
      <xdr:row>725</xdr:row>
      <xdr:rowOff>409575</xdr:rowOff>
    </xdr:to>
    <xdr:pic>
      <xdr:nvPicPr>
        <xdr:cNvPr id="117703" name="Рисунок 240" descr="Lada 6.4.png">
          <a:extLst>
            <a:ext uri="{FF2B5EF4-FFF2-40B4-BE49-F238E27FC236}">
              <a16:creationId xmlns:a16="http://schemas.microsoft.com/office/drawing/2014/main" id="{00000000-0008-0000-0100-0000C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2047875" y="1541335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726</xdr:row>
      <xdr:rowOff>28575</xdr:rowOff>
    </xdr:from>
    <xdr:to>
      <xdr:col>2</xdr:col>
      <xdr:colOff>342900</xdr:colOff>
      <xdr:row>726</xdr:row>
      <xdr:rowOff>409575</xdr:rowOff>
    </xdr:to>
    <xdr:pic>
      <xdr:nvPicPr>
        <xdr:cNvPr id="117704" name="Рисунок 241" descr="Lada 7.0.png">
          <a:extLst>
            <a:ext uri="{FF2B5EF4-FFF2-40B4-BE49-F238E27FC236}">
              <a16:creationId xmlns:a16="http://schemas.microsoft.com/office/drawing/2014/main" id="{00000000-0008-0000-0100-0000C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1800225" y="154571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726</xdr:row>
      <xdr:rowOff>38100</xdr:rowOff>
    </xdr:from>
    <xdr:to>
      <xdr:col>2</xdr:col>
      <xdr:colOff>609600</xdr:colOff>
      <xdr:row>726</xdr:row>
      <xdr:rowOff>419100</xdr:rowOff>
    </xdr:to>
    <xdr:pic>
      <xdr:nvPicPr>
        <xdr:cNvPr id="117705" name="Рисунок 242" descr="Lada 7.2.png">
          <a:extLst>
            <a:ext uri="{FF2B5EF4-FFF2-40B4-BE49-F238E27FC236}">
              <a16:creationId xmlns:a16="http://schemas.microsoft.com/office/drawing/2014/main" id="{00000000-0008-0000-0100-0000C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2066925" y="1545812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152400</xdr:colOff>
      <xdr:row>798</xdr:row>
      <xdr:rowOff>38100</xdr:rowOff>
    </xdr:from>
    <xdr:to>
      <xdr:col>2</xdr:col>
      <xdr:colOff>333375</xdr:colOff>
      <xdr:row>799</xdr:row>
      <xdr:rowOff>0</xdr:rowOff>
    </xdr:to>
    <xdr:pic>
      <xdr:nvPicPr>
        <xdr:cNvPr id="117706" name="Рисунок 178" descr="Nika 1.0.png">
          <a:extLst>
            <a:ext uri="{FF2B5EF4-FFF2-40B4-BE49-F238E27FC236}">
              <a16:creationId xmlns:a16="http://schemas.microsoft.com/office/drawing/2014/main" id="{00000000-0008-0000-0100-0000C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1781175" y="1669256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798</xdr:row>
      <xdr:rowOff>38100</xdr:rowOff>
    </xdr:from>
    <xdr:to>
      <xdr:col>2</xdr:col>
      <xdr:colOff>590550</xdr:colOff>
      <xdr:row>799</xdr:row>
      <xdr:rowOff>0</xdr:rowOff>
    </xdr:to>
    <xdr:pic>
      <xdr:nvPicPr>
        <xdr:cNvPr id="117707" name="Рисунок 179" descr="Nika 1.8.png">
          <a:extLst>
            <a:ext uri="{FF2B5EF4-FFF2-40B4-BE49-F238E27FC236}">
              <a16:creationId xmlns:a16="http://schemas.microsoft.com/office/drawing/2014/main" id="{00000000-0008-0000-0100-0000C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2047875" y="1669256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799</xdr:row>
      <xdr:rowOff>19050</xdr:rowOff>
    </xdr:from>
    <xdr:to>
      <xdr:col>2</xdr:col>
      <xdr:colOff>314325</xdr:colOff>
      <xdr:row>799</xdr:row>
      <xdr:rowOff>400050</xdr:rowOff>
    </xdr:to>
    <xdr:pic>
      <xdr:nvPicPr>
        <xdr:cNvPr id="117708" name="Рисунок 180" descr="Nika 2.1.png">
          <a:extLst>
            <a:ext uri="{FF2B5EF4-FFF2-40B4-BE49-F238E27FC236}">
              <a16:creationId xmlns:a16="http://schemas.microsoft.com/office/drawing/2014/main" id="{00000000-0008-0000-0100-0000C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1771650" y="1673447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799</xdr:row>
      <xdr:rowOff>19050</xdr:rowOff>
    </xdr:from>
    <xdr:to>
      <xdr:col>2</xdr:col>
      <xdr:colOff>581025</xdr:colOff>
      <xdr:row>799</xdr:row>
      <xdr:rowOff>400050</xdr:rowOff>
    </xdr:to>
    <xdr:pic>
      <xdr:nvPicPr>
        <xdr:cNvPr id="117709" name="Рисунок 181" descr="Nika 2.4.png">
          <a:extLst>
            <a:ext uri="{FF2B5EF4-FFF2-40B4-BE49-F238E27FC236}">
              <a16:creationId xmlns:a16="http://schemas.microsoft.com/office/drawing/2014/main" id="{00000000-0008-0000-0100-0000C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2028825" y="167344725"/>
          <a:ext cx="18097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871</xdr:row>
      <xdr:rowOff>28575</xdr:rowOff>
    </xdr:from>
    <xdr:to>
      <xdr:col>2</xdr:col>
      <xdr:colOff>390525</xdr:colOff>
      <xdr:row>871</xdr:row>
      <xdr:rowOff>419100</xdr:rowOff>
    </xdr:to>
    <xdr:pic>
      <xdr:nvPicPr>
        <xdr:cNvPr id="117710" name="Рисунок 186" descr="Lisa 2.0.png">
          <a:extLst>
            <a:ext uri="{FF2B5EF4-FFF2-40B4-BE49-F238E27FC236}">
              <a16:creationId xmlns:a16="http://schemas.microsoft.com/office/drawing/2014/main" id="{00000000-0008-0000-0100-0000C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847850" y="179717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871</xdr:row>
      <xdr:rowOff>28575</xdr:rowOff>
    </xdr:from>
    <xdr:to>
      <xdr:col>2</xdr:col>
      <xdr:colOff>590550</xdr:colOff>
      <xdr:row>871</xdr:row>
      <xdr:rowOff>419100</xdr:rowOff>
    </xdr:to>
    <xdr:pic>
      <xdr:nvPicPr>
        <xdr:cNvPr id="117711" name="Рисунок 187" descr="Lisa 2.2.png">
          <a:extLst>
            <a:ext uri="{FF2B5EF4-FFF2-40B4-BE49-F238E27FC236}">
              <a16:creationId xmlns:a16="http://schemas.microsoft.com/office/drawing/2014/main" id="{00000000-0008-0000-0100-0000C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038350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872</xdr:row>
      <xdr:rowOff>19050</xdr:rowOff>
    </xdr:from>
    <xdr:to>
      <xdr:col>2</xdr:col>
      <xdr:colOff>381000</xdr:colOff>
      <xdr:row>872</xdr:row>
      <xdr:rowOff>409575</xdr:rowOff>
    </xdr:to>
    <xdr:pic>
      <xdr:nvPicPr>
        <xdr:cNvPr id="117712" name="Рисунок 188" descr="Lisa 3.0.png">
          <a:extLst>
            <a:ext uri="{FF2B5EF4-FFF2-40B4-BE49-F238E27FC236}">
              <a16:creationId xmlns:a16="http://schemas.microsoft.com/office/drawing/2014/main" id="{00000000-0008-0000-0100-0000D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1828800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872</xdr:row>
      <xdr:rowOff>19050</xdr:rowOff>
    </xdr:from>
    <xdr:to>
      <xdr:col>2</xdr:col>
      <xdr:colOff>600075</xdr:colOff>
      <xdr:row>872</xdr:row>
      <xdr:rowOff>409575</xdr:rowOff>
    </xdr:to>
    <xdr:pic>
      <xdr:nvPicPr>
        <xdr:cNvPr id="117713" name="Рисунок 189" descr="Lisa 3.4.png">
          <a:extLst>
            <a:ext uri="{FF2B5EF4-FFF2-40B4-BE49-F238E27FC236}">
              <a16:creationId xmlns:a16="http://schemas.microsoft.com/office/drawing/2014/main" id="{00000000-0008-0000-0100-0000D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2047875" y="18014632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1100</xdr:row>
      <xdr:rowOff>38100</xdr:rowOff>
    </xdr:from>
    <xdr:to>
      <xdr:col>2</xdr:col>
      <xdr:colOff>342900</xdr:colOff>
      <xdr:row>1101</xdr:row>
      <xdr:rowOff>1118</xdr:rowOff>
    </xdr:to>
    <xdr:pic>
      <xdr:nvPicPr>
        <xdr:cNvPr id="117714" name="Рисунок 198" descr="Mira 1.0.png">
          <a:extLst>
            <a:ext uri="{FF2B5EF4-FFF2-40B4-BE49-F238E27FC236}">
              <a16:creationId xmlns:a16="http://schemas.microsoft.com/office/drawing/2014/main" id="{00000000-0008-0000-0100-0000D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790700" y="2219706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1100</xdr:row>
      <xdr:rowOff>47625</xdr:rowOff>
    </xdr:from>
    <xdr:to>
      <xdr:col>2</xdr:col>
      <xdr:colOff>581025</xdr:colOff>
      <xdr:row>1101</xdr:row>
      <xdr:rowOff>1118</xdr:rowOff>
    </xdr:to>
    <xdr:pic>
      <xdr:nvPicPr>
        <xdr:cNvPr id="117715" name="Рисунок 199" descr="Mira 1.6.png">
          <a:extLst>
            <a:ext uri="{FF2B5EF4-FFF2-40B4-BE49-F238E27FC236}">
              <a16:creationId xmlns:a16="http://schemas.microsoft.com/office/drawing/2014/main" id="{00000000-0008-0000-0100-0000D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2038350" y="2219801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1101</xdr:row>
      <xdr:rowOff>38100</xdr:rowOff>
    </xdr:from>
    <xdr:to>
      <xdr:col>2</xdr:col>
      <xdr:colOff>342900</xdr:colOff>
      <xdr:row>1101</xdr:row>
      <xdr:rowOff>419100</xdr:rowOff>
    </xdr:to>
    <xdr:pic>
      <xdr:nvPicPr>
        <xdr:cNvPr id="117716" name="Рисунок 200" descr="Mira 2.1.png">
          <a:extLst>
            <a:ext uri="{FF2B5EF4-FFF2-40B4-BE49-F238E27FC236}">
              <a16:creationId xmlns:a16="http://schemas.microsoft.com/office/drawing/2014/main" id="{00000000-0008-0000-0100-0000D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800225" y="2224087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1101</xdr:row>
      <xdr:rowOff>28575</xdr:rowOff>
    </xdr:from>
    <xdr:to>
      <xdr:col>2</xdr:col>
      <xdr:colOff>590550</xdr:colOff>
      <xdr:row>1101</xdr:row>
      <xdr:rowOff>409575</xdr:rowOff>
    </xdr:to>
    <xdr:pic>
      <xdr:nvPicPr>
        <xdr:cNvPr id="117717" name="Рисунок 201" descr="Mira 2.3.png">
          <a:extLst>
            <a:ext uri="{FF2B5EF4-FFF2-40B4-BE49-F238E27FC236}">
              <a16:creationId xmlns:a16="http://schemas.microsoft.com/office/drawing/2014/main" id="{00000000-0008-0000-0100-0000D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2057400" y="222399225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1250</xdr:row>
      <xdr:rowOff>19050</xdr:rowOff>
    </xdr:from>
    <xdr:to>
      <xdr:col>2</xdr:col>
      <xdr:colOff>352425</xdr:colOff>
      <xdr:row>1250</xdr:row>
      <xdr:rowOff>400050</xdr:rowOff>
    </xdr:to>
    <xdr:pic>
      <xdr:nvPicPr>
        <xdr:cNvPr id="117718" name="Рисунок 206" descr="Linda 1.0.png">
          <a:extLst>
            <a:ext uri="{FF2B5EF4-FFF2-40B4-BE49-F238E27FC236}">
              <a16:creationId xmlns:a16="http://schemas.microsoft.com/office/drawing/2014/main" id="{00000000-0008-0000-0100-0000D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1809750" y="2490216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1250</xdr:row>
      <xdr:rowOff>28575</xdr:rowOff>
    </xdr:from>
    <xdr:to>
      <xdr:col>2</xdr:col>
      <xdr:colOff>647700</xdr:colOff>
      <xdr:row>1250</xdr:row>
      <xdr:rowOff>419100</xdr:rowOff>
    </xdr:to>
    <xdr:pic>
      <xdr:nvPicPr>
        <xdr:cNvPr id="117719" name="Рисунок 207" descr="Linda 1.5.png">
          <a:extLst>
            <a:ext uri="{FF2B5EF4-FFF2-40B4-BE49-F238E27FC236}">
              <a16:creationId xmlns:a16="http://schemas.microsoft.com/office/drawing/2014/main" id="{00000000-0008-0000-0100-0000D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2105025" y="249031125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180975</xdr:colOff>
      <xdr:row>1251</xdr:row>
      <xdr:rowOff>38100</xdr:rowOff>
    </xdr:from>
    <xdr:to>
      <xdr:col>2</xdr:col>
      <xdr:colOff>352425</xdr:colOff>
      <xdr:row>1251</xdr:row>
      <xdr:rowOff>419100</xdr:rowOff>
    </xdr:to>
    <xdr:pic>
      <xdr:nvPicPr>
        <xdr:cNvPr id="117720" name="Рисунок 208" descr="Linda 1.6.png">
          <a:extLst>
            <a:ext uri="{FF2B5EF4-FFF2-40B4-BE49-F238E27FC236}">
              <a16:creationId xmlns:a16="http://schemas.microsoft.com/office/drawing/2014/main" id="{00000000-0008-0000-0100-0000D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1809750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1251</xdr:row>
      <xdr:rowOff>38100</xdr:rowOff>
    </xdr:from>
    <xdr:to>
      <xdr:col>2</xdr:col>
      <xdr:colOff>647700</xdr:colOff>
      <xdr:row>1251</xdr:row>
      <xdr:rowOff>419100</xdr:rowOff>
    </xdr:to>
    <xdr:pic>
      <xdr:nvPicPr>
        <xdr:cNvPr id="117721" name="Рисунок 209" descr="Linda 1.8.png">
          <a:extLst>
            <a:ext uri="{FF2B5EF4-FFF2-40B4-BE49-F238E27FC236}">
              <a16:creationId xmlns:a16="http://schemas.microsoft.com/office/drawing/2014/main" id="{00000000-0008-0000-0100-0000D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2105025" y="2494788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1322</xdr:row>
      <xdr:rowOff>19050</xdr:rowOff>
    </xdr:from>
    <xdr:to>
      <xdr:col>2</xdr:col>
      <xdr:colOff>333375</xdr:colOff>
      <xdr:row>1322</xdr:row>
      <xdr:rowOff>400050</xdr:rowOff>
    </xdr:to>
    <xdr:pic>
      <xdr:nvPicPr>
        <xdr:cNvPr id="117722" name="Рисунок 210" descr="Tiana 1.0.png">
          <a:extLst>
            <a:ext uri="{FF2B5EF4-FFF2-40B4-BE49-F238E27FC236}">
              <a16:creationId xmlns:a16="http://schemas.microsoft.com/office/drawing/2014/main" id="{00000000-0008-0000-0100-0000D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1790700" y="2618041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1322</xdr:row>
      <xdr:rowOff>28575</xdr:rowOff>
    </xdr:from>
    <xdr:to>
      <xdr:col>2</xdr:col>
      <xdr:colOff>600075</xdr:colOff>
      <xdr:row>1322</xdr:row>
      <xdr:rowOff>409575</xdr:rowOff>
    </xdr:to>
    <xdr:pic>
      <xdr:nvPicPr>
        <xdr:cNvPr id="117723" name="Рисунок 211" descr="Tiana 1.5.png">
          <a:extLst>
            <a:ext uri="{FF2B5EF4-FFF2-40B4-BE49-F238E27FC236}">
              <a16:creationId xmlns:a16="http://schemas.microsoft.com/office/drawing/2014/main" id="{00000000-0008-0000-0100-0000D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2057400" y="2618136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161925</xdr:colOff>
      <xdr:row>1323</xdr:row>
      <xdr:rowOff>28575</xdr:rowOff>
    </xdr:from>
    <xdr:to>
      <xdr:col>2</xdr:col>
      <xdr:colOff>333375</xdr:colOff>
      <xdr:row>1323</xdr:row>
      <xdr:rowOff>409575</xdr:rowOff>
    </xdr:to>
    <xdr:pic>
      <xdr:nvPicPr>
        <xdr:cNvPr id="117724" name="Рисунок 212" descr="Tiana 1.6.png">
          <a:extLst>
            <a:ext uri="{FF2B5EF4-FFF2-40B4-BE49-F238E27FC236}">
              <a16:creationId xmlns:a16="http://schemas.microsoft.com/office/drawing/2014/main" id="{00000000-0008-0000-0100-0000D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1790700" y="2622518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428625</xdr:colOff>
      <xdr:row>1323</xdr:row>
      <xdr:rowOff>38100</xdr:rowOff>
    </xdr:from>
    <xdr:to>
      <xdr:col>2</xdr:col>
      <xdr:colOff>600075</xdr:colOff>
      <xdr:row>1323</xdr:row>
      <xdr:rowOff>419100</xdr:rowOff>
    </xdr:to>
    <xdr:pic>
      <xdr:nvPicPr>
        <xdr:cNvPr id="117725" name="Рисунок 213" descr="Tiana 1.9.png">
          <a:extLst>
            <a:ext uri="{FF2B5EF4-FFF2-40B4-BE49-F238E27FC236}">
              <a16:creationId xmlns:a16="http://schemas.microsoft.com/office/drawing/2014/main" id="{00000000-0008-0000-0100-0000D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2057400" y="2622613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1395</xdr:row>
      <xdr:rowOff>28575</xdr:rowOff>
    </xdr:from>
    <xdr:to>
      <xdr:col>2</xdr:col>
      <xdr:colOff>371475</xdr:colOff>
      <xdr:row>1395</xdr:row>
      <xdr:rowOff>409575</xdr:rowOff>
    </xdr:to>
    <xdr:pic>
      <xdr:nvPicPr>
        <xdr:cNvPr id="117726" name="Рисунок 220" descr="Eva 2.0.png">
          <a:extLst>
            <a:ext uri="{FF2B5EF4-FFF2-40B4-BE49-F238E27FC236}">
              <a16:creationId xmlns:a16="http://schemas.microsoft.com/office/drawing/2014/main" id="{00000000-0008-0000-0100-0000D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1828800" y="2745867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1395</xdr:row>
      <xdr:rowOff>28575</xdr:rowOff>
    </xdr:from>
    <xdr:to>
      <xdr:col>2</xdr:col>
      <xdr:colOff>619125</xdr:colOff>
      <xdr:row>1395</xdr:row>
      <xdr:rowOff>419100</xdr:rowOff>
    </xdr:to>
    <xdr:pic>
      <xdr:nvPicPr>
        <xdr:cNvPr id="117727" name="Рисунок 221" descr="Eva 2.2.png">
          <a:extLst>
            <a:ext uri="{FF2B5EF4-FFF2-40B4-BE49-F238E27FC236}">
              <a16:creationId xmlns:a16="http://schemas.microsoft.com/office/drawing/2014/main" id="{00000000-0008-0000-0100-0000D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2076450" y="27458670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1396</xdr:row>
      <xdr:rowOff>38100</xdr:rowOff>
    </xdr:from>
    <xdr:to>
      <xdr:col>2</xdr:col>
      <xdr:colOff>371475</xdr:colOff>
      <xdr:row>1396</xdr:row>
      <xdr:rowOff>419100</xdr:rowOff>
    </xdr:to>
    <xdr:pic>
      <xdr:nvPicPr>
        <xdr:cNvPr id="117728" name="Рисунок 222" descr="Eva 4.0.png">
          <a:extLst>
            <a:ext uri="{FF2B5EF4-FFF2-40B4-BE49-F238E27FC236}">
              <a16:creationId xmlns:a16="http://schemas.microsoft.com/office/drawing/2014/main" id="{00000000-0008-0000-0100-0000E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828800" y="27503437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1396</xdr:row>
      <xdr:rowOff>28575</xdr:rowOff>
    </xdr:from>
    <xdr:to>
      <xdr:col>2</xdr:col>
      <xdr:colOff>619125</xdr:colOff>
      <xdr:row>1396</xdr:row>
      <xdr:rowOff>409575</xdr:rowOff>
    </xdr:to>
    <xdr:pic>
      <xdr:nvPicPr>
        <xdr:cNvPr id="117729" name="Рисунок 223" descr="Eva 4.4.png">
          <a:extLst>
            <a:ext uri="{FF2B5EF4-FFF2-40B4-BE49-F238E27FC236}">
              <a16:creationId xmlns:a16="http://schemas.microsoft.com/office/drawing/2014/main" id="{00000000-0008-0000-0100-0000E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2076450" y="27502485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200025</xdr:colOff>
      <xdr:row>1397</xdr:row>
      <xdr:rowOff>28575</xdr:rowOff>
    </xdr:from>
    <xdr:to>
      <xdr:col>2</xdr:col>
      <xdr:colOff>371475</xdr:colOff>
      <xdr:row>1397</xdr:row>
      <xdr:rowOff>409575</xdr:rowOff>
    </xdr:to>
    <xdr:pic>
      <xdr:nvPicPr>
        <xdr:cNvPr id="117730" name="Рисунок 224" descr="Eva 4.5.png">
          <a:extLst>
            <a:ext uri="{FF2B5EF4-FFF2-40B4-BE49-F238E27FC236}">
              <a16:creationId xmlns:a16="http://schemas.microsoft.com/office/drawing/2014/main" id="{00000000-0008-0000-0100-0000E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82880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1397</xdr:row>
      <xdr:rowOff>28575</xdr:rowOff>
    </xdr:from>
    <xdr:to>
      <xdr:col>2</xdr:col>
      <xdr:colOff>619125</xdr:colOff>
      <xdr:row>1397</xdr:row>
      <xdr:rowOff>409575</xdr:rowOff>
    </xdr:to>
    <xdr:pic>
      <xdr:nvPicPr>
        <xdr:cNvPr id="117731" name="Рисунок 225" descr="Eva 4.6.png">
          <a:extLst>
            <a:ext uri="{FF2B5EF4-FFF2-40B4-BE49-F238E27FC236}">
              <a16:creationId xmlns:a16="http://schemas.microsoft.com/office/drawing/2014/main" id="{00000000-0008-0000-0100-0000E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2076450" y="275463000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209550</xdr:colOff>
      <xdr:row>1617</xdr:row>
      <xdr:rowOff>38100</xdr:rowOff>
    </xdr:from>
    <xdr:to>
      <xdr:col>2</xdr:col>
      <xdr:colOff>371475</xdr:colOff>
      <xdr:row>1617</xdr:row>
      <xdr:rowOff>419100</xdr:rowOff>
    </xdr:to>
    <xdr:pic>
      <xdr:nvPicPr>
        <xdr:cNvPr id="117732" name="Picture 546" descr="Lada-Nova_3">
          <a:extLst>
            <a:ext uri="{FF2B5EF4-FFF2-40B4-BE49-F238E27FC236}">
              <a16:creationId xmlns:a16="http://schemas.microsoft.com/office/drawing/2014/main" id="{00000000-0008-0000-0100-0000E4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183832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1617</xdr:row>
      <xdr:rowOff>38100</xdr:rowOff>
    </xdr:from>
    <xdr:to>
      <xdr:col>2</xdr:col>
      <xdr:colOff>581025</xdr:colOff>
      <xdr:row>1617</xdr:row>
      <xdr:rowOff>419100</xdr:rowOff>
    </xdr:to>
    <xdr:pic>
      <xdr:nvPicPr>
        <xdr:cNvPr id="117733" name="Picture 547" descr="Lada-Nova_3">
          <a:extLst>
            <a:ext uri="{FF2B5EF4-FFF2-40B4-BE49-F238E27FC236}">
              <a16:creationId xmlns:a16="http://schemas.microsoft.com/office/drawing/2014/main" id="{00000000-0008-0000-0100-0000E5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047875" y="314725050"/>
          <a:ext cx="161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1619</xdr:row>
      <xdr:rowOff>47625</xdr:rowOff>
    </xdr:from>
    <xdr:to>
      <xdr:col>2</xdr:col>
      <xdr:colOff>466725</xdr:colOff>
      <xdr:row>1619</xdr:row>
      <xdr:rowOff>400050</xdr:rowOff>
    </xdr:to>
    <xdr:pic>
      <xdr:nvPicPr>
        <xdr:cNvPr id="117734" name="Picture 553">
          <a:extLst>
            <a:ext uri="{FF2B5EF4-FFF2-40B4-BE49-F238E27FC236}">
              <a16:creationId xmlns:a16="http://schemas.microsoft.com/office/drawing/2014/main" id="{00000000-0008-0000-0100-0000E6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1933575" y="315610875"/>
          <a:ext cx="161925" cy="352425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1620</xdr:row>
      <xdr:rowOff>47625</xdr:rowOff>
    </xdr:from>
    <xdr:to>
      <xdr:col>2</xdr:col>
      <xdr:colOff>466725</xdr:colOff>
      <xdr:row>1620</xdr:row>
      <xdr:rowOff>409575</xdr:rowOff>
    </xdr:to>
    <xdr:pic>
      <xdr:nvPicPr>
        <xdr:cNvPr id="117735" name="Picture 555">
          <a:extLst>
            <a:ext uri="{FF2B5EF4-FFF2-40B4-BE49-F238E27FC236}">
              <a16:creationId xmlns:a16="http://schemas.microsoft.com/office/drawing/2014/main" id="{00000000-0008-0000-0100-0000E7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1933575" y="316049025"/>
          <a:ext cx="161925" cy="36195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323850</xdr:colOff>
      <xdr:row>1618</xdr:row>
      <xdr:rowOff>38100</xdr:rowOff>
    </xdr:from>
    <xdr:to>
      <xdr:col>2</xdr:col>
      <xdr:colOff>485775</xdr:colOff>
      <xdr:row>1618</xdr:row>
      <xdr:rowOff>390525</xdr:rowOff>
    </xdr:to>
    <xdr:pic>
      <xdr:nvPicPr>
        <xdr:cNvPr id="117736" name="Picture 719" descr="Pollo_3a">
          <a:extLst>
            <a:ext uri="{FF2B5EF4-FFF2-40B4-BE49-F238E27FC236}">
              <a16:creationId xmlns:a16="http://schemas.microsoft.com/office/drawing/2014/main" id="{00000000-0008-0000-0100-0000E8CB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1952625" y="315163200"/>
          <a:ext cx="1619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1985</xdr:row>
      <xdr:rowOff>19050</xdr:rowOff>
    </xdr:from>
    <xdr:to>
      <xdr:col>2</xdr:col>
      <xdr:colOff>381000</xdr:colOff>
      <xdr:row>1985</xdr:row>
      <xdr:rowOff>419100</xdr:rowOff>
    </xdr:to>
    <xdr:pic>
      <xdr:nvPicPr>
        <xdr:cNvPr id="117737" name="Рисунок 217" descr="L1.0.png">
          <a:extLst>
            <a:ext uri="{FF2B5EF4-FFF2-40B4-BE49-F238E27FC236}">
              <a16:creationId xmlns:a16="http://schemas.microsoft.com/office/drawing/2014/main" id="{00000000-0008-0000-0100-0000E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1914525" y="3843813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1986</xdr:row>
      <xdr:rowOff>9525</xdr:rowOff>
    </xdr:from>
    <xdr:to>
      <xdr:col>2</xdr:col>
      <xdr:colOff>266700</xdr:colOff>
      <xdr:row>1986</xdr:row>
      <xdr:rowOff>409575</xdr:rowOff>
    </xdr:to>
    <xdr:pic>
      <xdr:nvPicPr>
        <xdr:cNvPr id="117738" name="Рисунок 219" descr="L3.0.png">
          <a:extLst>
            <a:ext uri="{FF2B5EF4-FFF2-40B4-BE49-F238E27FC236}">
              <a16:creationId xmlns:a16="http://schemas.microsoft.com/office/drawing/2014/main" id="{00000000-0008-0000-0100-0000E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1800225" y="3848100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361950</xdr:colOff>
      <xdr:row>1986</xdr:row>
      <xdr:rowOff>19050</xdr:rowOff>
    </xdr:from>
    <xdr:to>
      <xdr:col>2</xdr:col>
      <xdr:colOff>447675</xdr:colOff>
      <xdr:row>1986</xdr:row>
      <xdr:rowOff>409575</xdr:rowOff>
    </xdr:to>
    <xdr:pic>
      <xdr:nvPicPr>
        <xdr:cNvPr id="117739" name="Рисунок 220" descr="L3.1.png">
          <a:extLst>
            <a:ext uri="{FF2B5EF4-FFF2-40B4-BE49-F238E27FC236}">
              <a16:creationId xmlns:a16="http://schemas.microsoft.com/office/drawing/2014/main" id="{00000000-0008-0000-0100-0000E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1990725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542925</xdr:colOff>
      <xdr:row>1986</xdr:row>
      <xdr:rowOff>19050</xdr:rowOff>
    </xdr:from>
    <xdr:to>
      <xdr:col>2</xdr:col>
      <xdr:colOff>628650</xdr:colOff>
      <xdr:row>1986</xdr:row>
      <xdr:rowOff>409575</xdr:rowOff>
    </xdr:to>
    <xdr:pic>
      <xdr:nvPicPr>
        <xdr:cNvPr id="117740" name="Рисунок 221" descr="L3.2.png">
          <a:extLst>
            <a:ext uri="{FF2B5EF4-FFF2-40B4-BE49-F238E27FC236}">
              <a16:creationId xmlns:a16="http://schemas.microsoft.com/office/drawing/2014/main" id="{00000000-0008-0000-0100-0000E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2171700" y="384819525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1987</xdr:row>
      <xdr:rowOff>28575</xdr:rowOff>
    </xdr:from>
    <xdr:to>
      <xdr:col>2</xdr:col>
      <xdr:colOff>371475</xdr:colOff>
      <xdr:row>1988</xdr:row>
      <xdr:rowOff>9525</xdr:rowOff>
    </xdr:to>
    <xdr:pic>
      <xdr:nvPicPr>
        <xdr:cNvPr id="117741" name="Рисунок 222" descr="L4.0.png">
          <a:extLst>
            <a:ext uri="{FF2B5EF4-FFF2-40B4-BE49-F238E27FC236}">
              <a16:creationId xmlns:a16="http://schemas.microsoft.com/office/drawing/2014/main" id="{00000000-0008-0000-0100-0000E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1905000" y="385267200"/>
          <a:ext cx="952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1987</xdr:row>
      <xdr:rowOff>19050</xdr:rowOff>
    </xdr:from>
    <xdr:to>
      <xdr:col>2</xdr:col>
      <xdr:colOff>542925</xdr:colOff>
      <xdr:row>1987</xdr:row>
      <xdr:rowOff>419100</xdr:rowOff>
    </xdr:to>
    <xdr:pic>
      <xdr:nvPicPr>
        <xdr:cNvPr id="117742" name="Рисунок 223" descr="L4.1.png">
          <a:extLst>
            <a:ext uri="{FF2B5EF4-FFF2-40B4-BE49-F238E27FC236}">
              <a16:creationId xmlns:a16="http://schemas.microsoft.com/office/drawing/2014/main" id="{00000000-0008-0000-0100-0000E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2076450" y="385257675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1988</xdr:row>
      <xdr:rowOff>28575</xdr:rowOff>
    </xdr:from>
    <xdr:to>
      <xdr:col>2</xdr:col>
      <xdr:colOff>361950</xdr:colOff>
      <xdr:row>1988</xdr:row>
      <xdr:rowOff>419100</xdr:rowOff>
    </xdr:to>
    <xdr:pic>
      <xdr:nvPicPr>
        <xdr:cNvPr id="117743" name="Рисунок 224" descr="L5.0.png">
          <a:extLst>
            <a:ext uri="{FF2B5EF4-FFF2-40B4-BE49-F238E27FC236}">
              <a16:creationId xmlns:a16="http://schemas.microsoft.com/office/drawing/2014/main" id="{00000000-0008-0000-0100-0000E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1905000" y="38570535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1988</xdr:row>
      <xdr:rowOff>9525</xdr:rowOff>
    </xdr:from>
    <xdr:to>
      <xdr:col>2</xdr:col>
      <xdr:colOff>542925</xdr:colOff>
      <xdr:row>1988</xdr:row>
      <xdr:rowOff>409575</xdr:rowOff>
    </xdr:to>
    <xdr:pic>
      <xdr:nvPicPr>
        <xdr:cNvPr id="117744" name="Рисунок 225" descr="L5.1.png">
          <a:extLst>
            <a:ext uri="{FF2B5EF4-FFF2-40B4-BE49-F238E27FC236}">
              <a16:creationId xmlns:a16="http://schemas.microsoft.com/office/drawing/2014/main" id="{00000000-0008-0000-0100-0000F0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2076450" y="385686300"/>
          <a:ext cx="952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266700</xdr:colOff>
      <xdr:row>1989</xdr:row>
      <xdr:rowOff>19050</xdr:rowOff>
    </xdr:from>
    <xdr:to>
      <xdr:col>2</xdr:col>
      <xdr:colOff>352425</xdr:colOff>
      <xdr:row>1989</xdr:row>
      <xdr:rowOff>419100</xdr:rowOff>
    </xdr:to>
    <xdr:pic>
      <xdr:nvPicPr>
        <xdr:cNvPr id="117745" name="Рисунок 226" descr="L6.0.png">
          <a:extLst>
            <a:ext uri="{FF2B5EF4-FFF2-40B4-BE49-F238E27FC236}">
              <a16:creationId xmlns:a16="http://schemas.microsoft.com/office/drawing/2014/main" id="{00000000-0008-0000-0100-0000F1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1895475" y="386133975"/>
          <a:ext cx="857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1989</xdr:row>
      <xdr:rowOff>28575</xdr:rowOff>
    </xdr:from>
    <xdr:to>
      <xdr:col>2</xdr:col>
      <xdr:colOff>533400</xdr:colOff>
      <xdr:row>1989</xdr:row>
      <xdr:rowOff>419100</xdr:rowOff>
    </xdr:to>
    <xdr:pic>
      <xdr:nvPicPr>
        <xdr:cNvPr id="117746" name="Рисунок 227" descr="L6.1.png">
          <a:extLst>
            <a:ext uri="{FF2B5EF4-FFF2-40B4-BE49-F238E27FC236}">
              <a16:creationId xmlns:a16="http://schemas.microsoft.com/office/drawing/2014/main" id="{00000000-0008-0000-0100-0000F2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2076450" y="386143500"/>
          <a:ext cx="85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1985</xdr:row>
      <xdr:rowOff>28575</xdr:rowOff>
    </xdr:from>
    <xdr:to>
      <xdr:col>2</xdr:col>
      <xdr:colOff>533400</xdr:colOff>
      <xdr:row>1985</xdr:row>
      <xdr:rowOff>419100</xdr:rowOff>
    </xdr:to>
    <xdr:pic>
      <xdr:nvPicPr>
        <xdr:cNvPr id="117747" name="Рисунок 228" descr="L1.1.png">
          <a:extLst>
            <a:ext uri="{FF2B5EF4-FFF2-40B4-BE49-F238E27FC236}">
              <a16:creationId xmlns:a16="http://schemas.microsoft.com/office/drawing/2014/main" id="{00000000-0008-0000-0100-0000F3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2066925" y="384390900"/>
          <a:ext cx="952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190500</xdr:colOff>
      <xdr:row>871</xdr:row>
      <xdr:rowOff>28575</xdr:rowOff>
    </xdr:from>
    <xdr:to>
      <xdr:col>2</xdr:col>
      <xdr:colOff>371475</xdr:colOff>
      <xdr:row>871</xdr:row>
      <xdr:rowOff>419100</xdr:rowOff>
    </xdr:to>
    <xdr:pic>
      <xdr:nvPicPr>
        <xdr:cNvPr id="117748" name="Рисунок 186" descr="Lisa 2.0.png">
          <a:extLst>
            <a:ext uri="{FF2B5EF4-FFF2-40B4-BE49-F238E27FC236}">
              <a16:creationId xmlns:a16="http://schemas.microsoft.com/office/drawing/2014/main" id="{00000000-0008-0000-0100-0000F4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819275" y="17971770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171450</xdr:colOff>
      <xdr:row>1469</xdr:row>
      <xdr:rowOff>28575</xdr:rowOff>
    </xdr:from>
    <xdr:to>
      <xdr:col>2</xdr:col>
      <xdr:colOff>342900</xdr:colOff>
      <xdr:row>1469</xdr:row>
      <xdr:rowOff>419100</xdr:rowOff>
    </xdr:to>
    <xdr:pic>
      <xdr:nvPicPr>
        <xdr:cNvPr id="117749" name="Рисунок 231" descr="Lada Trend 5.0.jpg">
          <a:extLst>
            <a:ext uri="{FF2B5EF4-FFF2-40B4-BE49-F238E27FC236}">
              <a16:creationId xmlns:a16="http://schemas.microsoft.com/office/drawing/2014/main" id="{00000000-0008-0000-0100-0000F5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8002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400050</xdr:colOff>
      <xdr:row>1469</xdr:row>
      <xdr:rowOff>28575</xdr:rowOff>
    </xdr:from>
    <xdr:to>
      <xdr:col>2</xdr:col>
      <xdr:colOff>571500</xdr:colOff>
      <xdr:row>1469</xdr:row>
      <xdr:rowOff>419100</xdr:rowOff>
    </xdr:to>
    <xdr:pic>
      <xdr:nvPicPr>
        <xdr:cNvPr id="117750" name="Рисунок 236" descr="Lada Trend 5.5.jpg">
          <a:extLst>
            <a:ext uri="{FF2B5EF4-FFF2-40B4-BE49-F238E27FC236}">
              <a16:creationId xmlns:a16="http://schemas.microsoft.com/office/drawing/2014/main" id="{00000000-0008-0000-0100-0000F6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2028825" y="287902650"/>
          <a:ext cx="1714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66675</xdr:colOff>
      <xdr:row>1470</xdr:row>
      <xdr:rowOff>9525</xdr:rowOff>
    </xdr:from>
    <xdr:to>
      <xdr:col>2</xdr:col>
      <xdr:colOff>247650</xdr:colOff>
      <xdr:row>1470</xdr:row>
      <xdr:rowOff>400050</xdr:rowOff>
    </xdr:to>
    <xdr:pic>
      <xdr:nvPicPr>
        <xdr:cNvPr id="117751" name="Рисунок 237" descr="Lada Trend 5A.1.jpg">
          <a:extLst>
            <a:ext uri="{FF2B5EF4-FFF2-40B4-BE49-F238E27FC236}">
              <a16:creationId xmlns:a16="http://schemas.microsoft.com/office/drawing/2014/main" id="{00000000-0008-0000-0100-0000F7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1695450" y="288321750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1470</xdr:row>
      <xdr:rowOff>19050</xdr:rowOff>
    </xdr:from>
    <xdr:to>
      <xdr:col>2</xdr:col>
      <xdr:colOff>457200</xdr:colOff>
      <xdr:row>1470</xdr:row>
      <xdr:rowOff>409575</xdr:rowOff>
    </xdr:to>
    <xdr:pic>
      <xdr:nvPicPr>
        <xdr:cNvPr id="117752" name="Рисунок 238" descr="Lada Trend 5A.2.jpg">
          <a:extLst>
            <a:ext uri="{FF2B5EF4-FFF2-40B4-BE49-F238E27FC236}">
              <a16:creationId xmlns:a16="http://schemas.microsoft.com/office/drawing/2014/main" id="{00000000-0008-0000-0100-0000F8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1905000" y="288331275"/>
          <a:ext cx="1809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1470</xdr:row>
      <xdr:rowOff>19050</xdr:rowOff>
    </xdr:from>
    <xdr:to>
      <xdr:col>2</xdr:col>
      <xdr:colOff>666750</xdr:colOff>
      <xdr:row>1470</xdr:row>
      <xdr:rowOff>419100</xdr:rowOff>
    </xdr:to>
    <xdr:pic>
      <xdr:nvPicPr>
        <xdr:cNvPr id="117753" name="Рисунок 239" descr="Lada Trend 5A.3.jpg">
          <a:extLst>
            <a:ext uri="{FF2B5EF4-FFF2-40B4-BE49-F238E27FC236}">
              <a16:creationId xmlns:a16="http://schemas.microsoft.com/office/drawing/2014/main" id="{00000000-0008-0000-0100-0000F9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2114550" y="288331275"/>
          <a:ext cx="1809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1471</xdr:row>
      <xdr:rowOff>28575</xdr:rowOff>
    </xdr:from>
    <xdr:to>
      <xdr:col>2</xdr:col>
      <xdr:colOff>457200</xdr:colOff>
      <xdr:row>1472</xdr:row>
      <xdr:rowOff>9526</xdr:rowOff>
    </xdr:to>
    <xdr:pic>
      <xdr:nvPicPr>
        <xdr:cNvPr id="117754" name="Рисунок 240" descr="Lada Trend 5B.3.jpg">
          <a:extLst>
            <a:ext uri="{FF2B5EF4-FFF2-40B4-BE49-F238E27FC236}">
              <a16:creationId xmlns:a16="http://schemas.microsoft.com/office/drawing/2014/main" id="{00000000-0008-0000-0100-0000FA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1914525" y="288778950"/>
          <a:ext cx="171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57150</xdr:colOff>
      <xdr:row>2176</xdr:row>
      <xdr:rowOff>76200</xdr:rowOff>
    </xdr:from>
    <xdr:to>
      <xdr:col>2</xdr:col>
      <xdr:colOff>704850</xdr:colOff>
      <xdr:row>2177</xdr:row>
      <xdr:rowOff>352425</xdr:rowOff>
    </xdr:to>
    <xdr:pic>
      <xdr:nvPicPr>
        <xdr:cNvPr id="117755" name="Рисунок 241" descr="Standard D80 стандартная деревянная коробка1.jpg">
          <a:extLst>
            <a:ext uri="{FF2B5EF4-FFF2-40B4-BE49-F238E27FC236}">
              <a16:creationId xmlns:a16="http://schemas.microsoft.com/office/drawing/2014/main" id="{00000000-0008-0000-0100-0000FB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1685925" y="419633400"/>
          <a:ext cx="6477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95250</xdr:colOff>
      <xdr:row>2250</xdr:row>
      <xdr:rowOff>85725</xdr:rowOff>
    </xdr:from>
    <xdr:to>
      <xdr:col>2</xdr:col>
      <xdr:colOff>704850</xdr:colOff>
      <xdr:row>2253</xdr:row>
      <xdr:rowOff>47626</xdr:rowOff>
    </xdr:to>
    <xdr:pic>
      <xdr:nvPicPr>
        <xdr:cNvPr id="117756" name="Рисунок 242" descr="58_PAGE1.jpg">
          <a:extLst>
            <a:ext uri="{FF2B5EF4-FFF2-40B4-BE49-F238E27FC236}">
              <a16:creationId xmlns:a16="http://schemas.microsoft.com/office/drawing/2014/main" id="{00000000-0008-0000-0100-0000FC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724025" y="43459717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2322</xdr:row>
      <xdr:rowOff>66675</xdr:rowOff>
    </xdr:from>
    <xdr:to>
      <xdr:col>2</xdr:col>
      <xdr:colOff>723900</xdr:colOff>
      <xdr:row>2325</xdr:row>
      <xdr:rowOff>76203</xdr:rowOff>
    </xdr:to>
    <xdr:pic>
      <xdr:nvPicPr>
        <xdr:cNvPr id="117757" name="Рисунок 243" descr="60_PAGE1.jpg">
          <a:extLst>
            <a:ext uri="{FF2B5EF4-FFF2-40B4-BE49-F238E27FC236}">
              <a16:creationId xmlns:a16="http://schemas.microsoft.com/office/drawing/2014/main" id="{00000000-0008-0000-0100-0000FD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1743075" y="447960750"/>
          <a:ext cx="6096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114300</xdr:colOff>
      <xdr:row>2390</xdr:row>
      <xdr:rowOff>114300</xdr:rowOff>
    </xdr:from>
    <xdr:to>
      <xdr:col>2</xdr:col>
      <xdr:colOff>723900</xdr:colOff>
      <xdr:row>2393</xdr:row>
      <xdr:rowOff>76197</xdr:rowOff>
    </xdr:to>
    <xdr:pic>
      <xdr:nvPicPr>
        <xdr:cNvPr id="117758" name="Рисунок 244" descr="62_PAGE1.jpg">
          <a:extLst>
            <a:ext uri="{FF2B5EF4-FFF2-40B4-BE49-F238E27FC236}">
              <a16:creationId xmlns:a16="http://schemas.microsoft.com/office/drawing/2014/main" id="{00000000-0008-0000-0100-0000FE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1743075" y="459762225"/>
          <a:ext cx="6096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333375</xdr:colOff>
      <xdr:row>372</xdr:row>
      <xdr:rowOff>47625</xdr:rowOff>
    </xdr:from>
    <xdr:to>
      <xdr:col>2</xdr:col>
      <xdr:colOff>504825</xdr:colOff>
      <xdr:row>373</xdr:row>
      <xdr:rowOff>0</xdr:rowOff>
    </xdr:to>
    <xdr:pic>
      <xdr:nvPicPr>
        <xdr:cNvPr id="117759" name="Рисунок 221" descr="B_5.jpg">
          <a:extLst>
            <a:ext uri="{FF2B5EF4-FFF2-40B4-BE49-F238E27FC236}">
              <a16:creationId xmlns:a16="http://schemas.microsoft.com/office/drawing/2014/main" id="{00000000-0008-0000-0100-0000FFCB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 l="27406" t="12793" r="27354" b="6847"/>
        <a:stretch>
          <a:fillRect/>
        </a:stretch>
      </xdr:blipFill>
      <xdr:spPr bwMode="auto">
        <a:xfrm>
          <a:off x="1962150" y="102422325"/>
          <a:ext cx="1714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1323975</xdr:colOff>
      <xdr:row>2671</xdr:row>
      <xdr:rowOff>28575</xdr:rowOff>
    </xdr:from>
    <xdr:to>
      <xdr:col>2</xdr:col>
      <xdr:colOff>695325</xdr:colOff>
      <xdr:row>2671</xdr:row>
      <xdr:rowOff>390525</xdr:rowOff>
    </xdr:to>
    <xdr:pic>
      <xdr:nvPicPr>
        <xdr:cNvPr id="117760" name="Рисунок 212" descr="HANDY  (срібна матова, фото 2).png">
          <a:extLst>
            <a:ext uri="{FF2B5EF4-FFF2-40B4-BE49-F238E27FC236}">
              <a16:creationId xmlns:a16="http://schemas.microsoft.com/office/drawing/2014/main" id="{00000000-0008-0000-0100-000000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 l="1350" t="26553" b="35219"/>
        <a:stretch>
          <a:fillRect/>
        </a:stretch>
      </xdr:blipFill>
      <xdr:spPr bwMode="auto">
        <a:xfrm>
          <a:off x="1390650" y="498348000"/>
          <a:ext cx="9334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1333500</xdr:colOff>
      <xdr:row>2673</xdr:row>
      <xdr:rowOff>28575</xdr:rowOff>
    </xdr:from>
    <xdr:to>
      <xdr:col>2</xdr:col>
      <xdr:colOff>752475</xdr:colOff>
      <xdr:row>2673</xdr:row>
      <xdr:rowOff>390525</xdr:rowOff>
    </xdr:to>
    <xdr:pic>
      <xdr:nvPicPr>
        <xdr:cNvPr id="117761" name="Рисунок 213" descr="7424.970.jpg">
          <a:extLst>
            <a:ext uri="{FF2B5EF4-FFF2-40B4-BE49-F238E27FC236}">
              <a16:creationId xmlns:a16="http://schemas.microsoft.com/office/drawing/2014/main" id="{00000000-0008-0000-0100-000001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 l="3374" t="32771" b="31566"/>
        <a:stretch>
          <a:fillRect/>
        </a:stretch>
      </xdr:blipFill>
      <xdr:spPr bwMode="auto">
        <a:xfrm>
          <a:off x="1400175" y="499224300"/>
          <a:ext cx="9810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1371600</xdr:colOff>
      <xdr:row>2669</xdr:row>
      <xdr:rowOff>38100</xdr:rowOff>
    </xdr:from>
    <xdr:to>
      <xdr:col>2</xdr:col>
      <xdr:colOff>704850</xdr:colOff>
      <xdr:row>2670</xdr:row>
      <xdr:rowOff>813</xdr:rowOff>
    </xdr:to>
    <xdr:pic>
      <xdr:nvPicPr>
        <xdr:cNvPr id="117762" name="Рисунок 214" descr="Verona_silver-mat.png">
          <a:extLst>
            <a:ext uri="{FF2B5EF4-FFF2-40B4-BE49-F238E27FC236}">
              <a16:creationId xmlns:a16="http://schemas.microsoft.com/office/drawing/2014/main" id="{00000000-0008-0000-0100-000002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1438275" y="497481225"/>
          <a:ext cx="895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1343025</xdr:colOff>
      <xdr:row>2672</xdr:row>
      <xdr:rowOff>38100</xdr:rowOff>
    </xdr:from>
    <xdr:to>
      <xdr:col>2</xdr:col>
      <xdr:colOff>752475</xdr:colOff>
      <xdr:row>2673</xdr:row>
      <xdr:rowOff>5</xdr:rowOff>
    </xdr:to>
    <xdr:pic>
      <xdr:nvPicPr>
        <xdr:cNvPr id="117763" name="Рисунок 215" descr="Prius (2) - брашированный мат.хром.jpg">
          <a:extLst>
            <a:ext uri="{FF2B5EF4-FFF2-40B4-BE49-F238E27FC236}">
              <a16:creationId xmlns:a16="http://schemas.microsoft.com/office/drawing/2014/main" id="{00000000-0008-0000-0100-000003CC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 t="26994" b="31287"/>
        <a:stretch>
          <a:fillRect/>
        </a:stretch>
      </xdr:blipFill>
      <xdr:spPr bwMode="auto">
        <a:xfrm>
          <a:off x="1409700" y="498795675"/>
          <a:ext cx="9715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71718</xdr:colOff>
      <xdr:row>406</xdr:row>
      <xdr:rowOff>7164</xdr:rowOff>
    </xdr:from>
    <xdr:to>
      <xdr:col>2</xdr:col>
      <xdr:colOff>464467</xdr:colOff>
      <xdr:row>407</xdr:row>
      <xdr:rowOff>6093</xdr:rowOff>
    </xdr:to>
    <xdr:pic>
      <xdr:nvPicPr>
        <xdr:cNvPr id="193" name="Рисунок 192" descr="1.0.png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 flipV="1">
          <a:off x="1748118" y="72444789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347224</xdr:colOff>
      <xdr:row>406</xdr:row>
      <xdr:rowOff>4763</xdr:rowOff>
    </xdr:from>
    <xdr:to>
      <xdr:col>2</xdr:col>
      <xdr:colOff>739973</xdr:colOff>
      <xdr:row>407</xdr:row>
      <xdr:rowOff>3692</xdr:rowOff>
    </xdr:to>
    <xdr:pic>
      <xdr:nvPicPr>
        <xdr:cNvPr id="194" name="Рисунок 193" descr="1.1.png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 flipV="1">
          <a:off x="2023624" y="72442388"/>
          <a:ext cx="392749" cy="441842"/>
        </a:xfrm>
        <a:prstGeom prst="rect">
          <a:avLst/>
        </a:prstGeom>
      </xdr:spPr>
    </xdr:pic>
    <xdr:clientData/>
  </xdr:twoCellAnchor>
  <xdr:twoCellAnchor editAs="oneCell">
    <xdr:from>
      <xdr:col>2</xdr:col>
      <xdr:colOff>215646</xdr:colOff>
      <xdr:row>407</xdr:row>
      <xdr:rowOff>13855</xdr:rowOff>
    </xdr:from>
    <xdr:to>
      <xdr:col>2</xdr:col>
      <xdr:colOff>588687</xdr:colOff>
      <xdr:row>408</xdr:row>
      <xdr:rowOff>451</xdr:rowOff>
    </xdr:to>
    <xdr:pic>
      <xdr:nvPicPr>
        <xdr:cNvPr id="195" name="Рисунок 194" descr="1a.1.png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892046" y="71714742"/>
          <a:ext cx="373041" cy="424746"/>
        </a:xfrm>
        <a:prstGeom prst="rect">
          <a:avLst/>
        </a:prstGeom>
      </xdr:spPr>
    </xdr:pic>
    <xdr:clientData/>
  </xdr:twoCellAnchor>
  <xdr:twoCellAnchor editAs="oneCell">
    <xdr:from>
      <xdr:col>2</xdr:col>
      <xdr:colOff>84707</xdr:colOff>
      <xdr:row>408</xdr:row>
      <xdr:rowOff>13853</xdr:rowOff>
    </xdr:from>
    <xdr:to>
      <xdr:col>2</xdr:col>
      <xdr:colOff>458409</xdr:colOff>
      <xdr:row>409</xdr:row>
      <xdr:rowOff>1314</xdr:rowOff>
    </xdr:to>
    <xdr:pic>
      <xdr:nvPicPr>
        <xdr:cNvPr id="196" name="Рисунок 195" descr="2.0.png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1761107" y="73377135"/>
          <a:ext cx="373702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362712</xdr:colOff>
      <xdr:row>408</xdr:row>
      <xdr:rowOff>18380</xdr:rowOff>
    </xdr:from>
    <xdr:to>
      <xdr:col>2</xdr:col>
      <xdr:colOff>737756</xdr:colOff>
      <xdr:row>409</xdr:row>
      <xdr:rowOff>645</xdr:rowOff>
    </xdr:to>
    <xdr:pic>
      <xdr:nvPicPr>
        <xdr:cNvPr id="197" name="Рисунок 196" descr="2.1.png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039112" y="73381662"/>
          <a:ext cx="375044" cy="420415"/>
        </a:xfrm>
        <a:prstGeom prst="rect">
          <a:avLst/>
        </a:prstGeom>
      </xdr:spPr>
    </xdr:pic>
    <xdr:clientData/>
  </xdr:twoCellAnchor>
  <xdr:twoCellAnchor editAs="oneCell">
    <xdr:from>
      <xdr:col>2</xdr:col>
      <xdr:colOff>221087</xdr:colOff>
      <xdr:row>409</xdr:row>
      <xdr:rowOff>10391</xdr:rowOff>
    </xdr:from>
    <xdr:to>
      <xdr:col>2</xdr:col>
      <xdr:colOff>596205</xdr:colOff>
      <xdr:row>410</xdr:row>
      <xdr:rowOff>1612</xdr:rowOff>
    </xdr:to>
    <xdr:pic>
      <xdr:nvPicPr>
        <xdr:cNvPr id="198" name="Рисунок 197" descr="2a.1.png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1897487" y="72599174"/>
          <a:ext cx="375118" cy="419846"/>
        </a:xfrm>
        <a:prstGeom prst="rect">
          <a:avLst/>
        </a:prstGeom>
      </xdr:spPr>
    </xdr:pic>
    <xdr:clientData/>
  </xdr:twoCellAnchor>
  <xdr:twoCellAnchor editAs="oneCell">
    <xdr:from>
      <xdr:col>2</xdr:col>
      <xdr:colOff>88925</xdr:colOff>
      <xdr:row>410</xdr:row>
      <xdr:rowOff>9530</xdr:rowOff>
    </xdr:from>
    <xdr:to>
      <xdr:col>2</xdr:col>
      <xdr:colOff>469079</xdr:colOff>
      <xdr:row>411</xdr:row>
      <xdr:rowOff>1822</xdr:rowOff>
    </xdr:to>
    <xdr:pic>
      <xdr:nvPicPr>
        <xdr:cNvPr id="199" name="Рисунок 198" descr="3.0.png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765325" y="73785998"/>
          <a:ext cx="380154" cy="434623"/>
        </a:xfrm>
        <a:prstGeom prst="rect">
          <a:avLst/>
        </a:prstGeom>
      </xdr:spPr>
    </xdr:pic>
    <xdr:clientData/>
  </xdr:twoCellAnchor>
  <xdr:twoCellAnchor editAs="oneCell">
    <xdr:from>
      <xdr:col>2</xdr:col>
      <xdr:colOff>385492</xdr:colOff>
      <xdr:row>410</xdr:row>
      <xdr:rowOff>11152</xdr:rowOff>
    </xdr:from>
    <xdr:to>
      <xdr:col>2</xdr:col>
      <xdr:colOff>762740</xdr:colOff>
      <xdr:row>411</xdr:row>
      <xdr:rowOff>3718</xdr:rowOff>
    </xdr:to>
    <xdr:pic>
      <xdr:nvPicPr>
        <xdr:cNvPr id="200" name="Рисунок 199" descr="3.1.png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061892" y="73787620"/>
          <a:ext cx="377248" cy="434897"/>
        </a:xfrm>
        <a:prstGeom prst="rect">
          <a:avLst/>
        </a:prstGeom>
      </xdr:spPr>
    </xdr:pic>
    <xdr:clientData/>
  </xdr:twoCellAnchor>
  <xdr:twoCellAnchor editAs="oneCell">
    <xdr:from>
      <xdr:col>2</xdr:col>
      <xdr:colOff>188260</xdr:colOff>
      <xdr:row>2426</xdr:row>
      <xdr:rowOff>58899</xdr:rowOff>
    </xdr:from>
    <xdr:to>
      <xdr:col>2</xdr:col>
      <xdr:colOff>683045</xdr:colOff>
      <xdr:row>2433</xdr:row>
      <xdr:rowOff>17929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BF192C64-5D10-47B0-88B5-817BA08D8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4660" y="439186052"/>
          <a:ext cx="494785" cy="1142371"/>
        </a:xfrm>
        <a:prstGeom prst="rect">
          <a:avLst/>
        </a:prstGeom>
      </xdr:spPr>
    </xdr:pic>
    <xdr:clientData/>
  </xdr:twoCellAnchor>
  <xdr:oneCellAnchor>
    <xdr:from>
      <xdr:col>2</xdr:col>
      <xdr:colOff>28575</xdr:colOff>
      <xdr:row>2398</xdr:row>
      <xdr:rowOff>66675</xdr:rowOff>
    </xdr:from>
    <xdr:ext cx="742950" cy="314325"/>
    <xdr:pic>
      <xdr:nvPicPr>
        <xdr:cNvPr id="202" name="Picture 637" descr="asdfadsfadsf">
          <a:extLst>
            <a:ext uri="{FF2B5EF4-FFF2-40B4-BE49-F238E27FC236}">
              <a16:creationId xmlns:a16="http://schemas.microsoft.com/office/drawing/2014/main" id="{33AAA832-92DF-43A1-89CF-BB1BE80A1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704975" y="435484361"/>
          <a:ext cx="74295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oneCellAnchor>
  <xdr:twoCellAnchor editAs="oneCell">
    <xdr:from>
      <xdr:col>2</xdr:col>
      <xdr:colOff>207370</xdr:colOff>
      <xdr:row>456</xdr:row>
      <xdr:rowOff>5027</xdr:rowOff>
    </xdr:from>
    <xdr:to>
      <xdr:col>2</xdr:col>
      <xdr:colOff>391173</xdr:colOff>
      <xdr:row>456</xdr:row>
      <xdr:rowOff>432183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AB28D7B7-522D-4E01-A084-407096641C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373" t="5883" r="31512" b="6583"/>
        <a:stretch/>
      </xdr:blipFill>
      <xdr:spPr>
        <a:xfrm flipH="1">
          <a:off x="1883770" y="84030181"/>
          <a:ext cx="183803" cy="427156"/>
        </a:xfrm>
        <a:prstGeom prst="rect">
          <a:avLst/>
        </a:prstGeom>
      </xdr:spPr>
    </xdr:pic>
    <xdr:clientData/>
  </xdr:twoCellAnchor>
  <xdr:twoCellAnchor editAs="oneCell">
    <xdr:from>
      <xdr:col>2</xdr:col>
      <xdr:colOff>502486</xdr:colOff>
      <xdr:row>456</xdr:row>
      <xdr:rowOff>5864</xdr:rowOff>
    </xdr:from>
    <xdr:to>
      <xdr:col>2</xdr:col>
      <xdr:colOff>679940</xdr:colOff>
      <xdr:row>456</xdr:row>
      <xdr:rowOff>432327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AA318D17-CACF-4D56-AA34-AD9CDC1B49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63" t="6053" r="31202" b="6552"/>
        <a:stretch/>
      </xdr:blipFill>
      <xdr:spPr>
        <a:xfrm flipH="1">
          <a:off x="2178886" y="84031018"/>
          <a:ext cx="177454" cy="426463"/>
        </a:xfrm>
        <a:prstGeom prst="rect">
          <a:avLst/>
        </a:prstGeom>
      </xdr:spPr>
    </xdr:pic>
    <xdr:clientData/>
  </xdr:twoCellAnchor>
  <xdr:twoCellAnchor editAs="oneCell">
    <xdr:from>
      <xdr:col>2</xdr:col>
      <xdr:colOff>498340</xdr:colOff>
      <xdr:row>457</xdr:row>
      <xdr:rowOff>25172</xdr:rowOff>
    </xdr:from>
    <xdr:to>
      <xdr:col>2</xdr:col>
      <xdr:colOff>674581</xdr:colOff>
      <xdr:row>458</xdr:row>
      <xdr:rowOff>5863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5FE9DAF0-5CBF-492B-938F-D64DE2C73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88" t="6114" r="31833" b="6459"/>
        <a:stretch/>
      </xdr:blipFill>
      <xdr:spPr>
        <a:xfrm flipH="1">
          <a:off x="2174740" y="84489941"/>
          <a:ext cx="176241" cy="420307"/>
        </a:xfrm>
        <a:prstGeom prst="rect">
          <a:avLst/>
        </a:prstGeom>
      </xdr:spPr>
    </xdr:pic>
    <xdr:clientData/>
  </xdr:twoCellAnchor>
  <xdr:twoCellAnchor editAs="oneCell">
    <xdr:from>
      <xdr:col>2</xdr:col>
      <xdr:colOff>197330</xdr:colOff>
      <xdr:row>457</xdr:row>
      <xdr:rowOff>16206</xdr:rowOff>
    </xdr:from>
    <xdr:to>
      <xdr:col>2</xdr:col>
      <xdr:colOff>375234</xdr:colOff>
      <xdr:row>457</xdr:row>
      <xdr:rowOff>437621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126E13AD-7DA6-4234-B222-9D993D2EF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519" t="5913" r="31457" b="6428"/>
        <a:stretch/>
      </xdr:blipFill>
      <xdr:spPr>
        <a:xfrm flipH="1">
          <a:off x="1873730" y="84480975"/>
          <a:ext cx="177904" cy="421415"/>
        </a:xfrm>
        <a:prstGeom prst="rect">
          <a:avLst/>
        </a:prstGeom>
      </xdr:spPr>
    </xdr:pic>
    <xdr:clientData/>
  </xdr:twoCellAnchor>
  <xdr:twoCellAnchor editAs="oneCell">
    <xdr:from>
      <xdr:col>2</xdr:col>
      <xdr:colOff>345831</xdr:colOff>
      <xdr:row>458</xdr:row>
      <xdr:rowOff>11723</xdr:rowOff>
    </xdr:from>
    <xdr:to>
      <xdr:col>2</xdr:col>
      <xdr:colOff>527389</xdr:colOff>
      <xdr:row>459</xdr:row>
      <xdr:rowOff>0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A84F5AD6-277C-4BE0-B292-F9162AF551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402" t="6168" r="31402" b="6168"/>
        <a:stretch/>
      </xdr:blipFill>
      <xdr:spPr>
        <a:xfrm>
          <a:off x="2022231" y="84916108"/>
          <a:ext cx="181558" cy="427892"/>
        </a:xfrm>
        <a:prstGeom prst="rect">
          <a:avLst/>
        </a:prstGeom>
      </xdr:spPr>
    </xdr:pic>
    <xdr:clientData/>
  </xdr:twoCellAnchor>
  <xdr:twoCellAnchor editAs="oneCell">
    <xdr:from>
      <xdr:col>2</xdr:col>
      <xdr:colOff>166470</xdr:colOff>
      <xdr:row>459</xdr:row>
      <xdr:rowOff>7619</xdr:rowOff>
    </xdr:from>
    <xdr:to>
      <xdr:col>2</xdr:col>
      <xdr:colOff>350969</xdr:colOff>
      <xdr:row>460</xdr:row>
      <xdr:rowOff>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518FEFB0-04E1-4AFC-A793-A1B8E76E48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274" t="6018" r="31325" b="5995"/>
        <a:stretch/>
      </xdr:blipFill>
      <xdr:spPr>
        <a:xfrm>
          <a:off x="1842870" y="85351619"/>
          <a:ext cx="184499" cy="431996"/>
        </a:xfrm>
        <a:prstGeom prst="rect">
          <a:avLst/>
        </a:prstGeom>
      </xdr:spPr>
    </xdr:pic>
    <xdr:clientData/>
  </xdr:twoCellAnchor>
  <xdr:twoCellAnchor editAs="oneCell">
    <xdr:from>
      <xdr:col>2</xdr:col>
      <xdr:colOff>508195</xdr:colOff>
      <xdr:row>459</xdr:row>
      <xdr:rowOff>7619</xdr:rowOff>
    </xdr:from>
    <xdr:to>
      <xdr:col>2</xdr:col>
      <xdr:colOff>688850</xdr:colOff>
      <xdr:row>460</xdr:row>
      <xdr:rowOff>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5E6E32D8-41B7-4697-98D9-802857BA2D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86" t="5507" r="31592" b="6658"/>
        <a:stretch/>
      </xdr:blipFill>
      <xdr:spPr>
        <a:xfrm>
          <a:off x="2184595" y="85351619"/>
          <a:ext cx="180655" cy="4319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1</xdr:row>
      <xdr:rowOff>0</xdr:rowOff>
    </xdr:from>
    <xdr:to>
      <xdr:col>2</xdr:col>
      <xdr:colOff>352425</xdr:colOff>
      <xdr:row>3</xdr:row>
      <xdr:rowOff>104775</xdr:rowOff>
    </xdr:to>
    <xdr:pic>
      <xdr:nvPicPr>
        <xdr:cNvPr id="3744" name="Picture 383" descr="123">
          <a:extLst>
            <a:ext uri="{FF2B5EF4-FFF2-40B4-BE49-F238E27FC236}">
              <a16:creationId xmlns:a16="http://schemas.microsoft.com/office/drawing/2014/main" id="{00000000-0008-0000-0200-0000A00E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t="6827"/>
        <a:stretch>
          <a:fillRect/>
        </a:stretch>
      </xdr:blipFill>
      <xdr:spPr bwMode="auto">
        <a:xfrm>
          <a:off x="85725" y="161925"/>
          <a:ext cx="15144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>
    <tabColor indexed="11"/>
  </sheetPr>
  <dimension ref="A1:I54"/>
  <sheetViews>
    <sheetView showGridLines="0" tabSelected="1" workbookViewId="0">
      <selection activeCell="F14" sqref="F14"/>
    </sheetView>
  </sheetViews>
  <sheetFormatPr defaultColWidth="9.109375" defaultRowHeight="10.199999999999999"/>
  <cols>
    <col min="1" max="1" width="2.5546875" style="71" customWidth="1"/>
    <col min="2" max="2" width="5.109375" style="71" customWidth="1"/>
    <col min="3" max="3" width="41.33203125" style="71" bestFit="1" customWidth="1"/>
    <col min="4" max="4" width="9.109375" style="71"/>
    <col min="5" max="5" width="10.33203125" style="71" customWidth="1"/>
    <col min="6" max="8" width="9.109375" style="71"/>
    <col min="9" max="9" width="0" style="71" hidden="1" customWidth="1"/>
    <col min="10" max="16384" width="9.109375" style="71"/>
  </cols>
  <sheetData>
    <row r="1" spans="2:9" ht="5.0999999999999996" customHeight="1"/>
    <row r="2" spans="2:9">
      <c r="B2" s="484" t="str">
        <f>IF($E$4="ENG","VERSION: 58.00.25","ВЕРСІЯ: 58.00.25")</f>
        <v>ВЕРСІЯ: 58.00.25</v>
      </c>
      <c r="C2" s="484"/>
      <c r="D2" s="82" t="str">
        <f>IF($E$4="ENG","valid from: 01 February 2025","діє з: 01 лютого 2025 р.")</f>
        <v>діє з: 01 лютого 2025 р.</v>
      </c>
      <c r="I2" s="203" t="s">
        <v>67</v>
      </c>
    </row>
    <row r="3" spans="2:9">
      <c r="I3" s="203" t="s">
        <v>6</v>
      </c>
    </row>
    <row r="4" spans="2:9">
      <c r="D4" s="202" t="str">
        <f>IF(E4="ENG","choose language:","оберіть мову:")</f>
        <v>оберіть мову:</v>
      </c>
      <c r="E4" s="205" t="s">
        <v>67</v>
      </c>
    </row>
    <row r="6" spans="2:9" ht="5.0999999999999996" customHeight="1"/>
    <row r="7" spans="2:9" ht="13.2">
      <c r="B7" s="72" t="str">
        <f>IF($E$4="ENG","INTERIOR DOOR LEAFS","ДВЕРІ МІЖКІМНАТНІ ЛАМІНОВАНІ")</f>
        <v>ДВЕРІ МІЖКІМНАТНІ ЛАМІНОВАНІ</v>
      </c>
    </row>
    <row r="8" spans="2:9" ht="10.8">
      <c r="C8" s="73" t="str">
        <f>IF($E$4="ENG","Door leafs: STANDARD","Полотна каркасно-щитові: СТАНДАРТ")</f>
        <v>Полотна каркасно-щитові: СТАНДАРТ</v>
      </c>
      <c r="D8" s="74"/>
      <c r="E8" s="75"/>
    </row>
    <row r="9" spans="2:9" ht="10.8">
      <c r="C9" s="76" t="str">
        <f>IF($E$4="ENG","Door leafs: KUPAVA","Полотна каркасно-щитові: КУПАВА")</f>
        <v>Полотна каркасно-щитові: КУПАВА</v>
      </c>
      <c r="D9" s="77"/>
      <c r="E9" s="78"/>
    </row>
    <row r="10" spans="2:9" ht="10.8">
      <c r="C10" s="76" t="str">
        <f>IF($E$4="ENG","Door leafs: GEOMETRY","Полотна каркасно-щитові: ГЕОМЕТРІЯ")</f>
        <v>Полотна каркасно-щитові: ГЕОМЕТРІЯ</v>
      </c>
      <c r="D10" s="77"/>
      <c r="E10" s="78"/>
    </row>
    <row r="11" spans="2:9" ht="10.8">
      <c r="C11" s="76" t="str">
        <f>IF($E$4="ENG","Door leafs: IDEA","Полотна каркасно-щитові: ІДЕЯ")</f>
        <v>Полотна каркасно-щитові: ІДЕЯ</v>
      </c>
      <c r="D11" s="110"/>
      <c r="E11" s="78"/>
    </row>
    <row r="12" spans="2:9" ht="10.8">
      <c r="C12" s="76" t="str">
        <f>IF($E$4="ENG","Door leafs: IDEA-LOFT","Полотна каркасно-щитові: ІДЕЯ-ЛОФТ")</f>
        <v>Полотна каркасно-щитові: ІДЕЯ-ЛОФТ</v>
      </c>
      <c r="D12" s="110"/>
      <c r="E12" s="321"/>
    </row>
    <row r="13" spans="2:9" ht="10.8">
      <c r="C13" s="76" t="str">
        <f>IF($E$4="ENG","Wooden Door leafs:Classic","Полотна збірні: КЛАСІК")</f>
        <v>Полотна збірні: КЛАСІК</v>
      </c>
      <c r="D13" s="110"/>
      <c r="E13" s="321"/>
    </row>
    <row r="14" spans="2:9" ht="10.8">
      <c r="C14" s="76" t="str">
        <f>IF($E$4="ENG","Wooden Door leafs:Provence","Полотна збірні: ПРОВАНС")</f>
        <v>Полотна збірні: ПРОВАНС</v>
      </c>
      <c r="D14" s="110"/>
      <c r="E14" s="321"/>
    </row>
    <row r="15" spans="2:9" ht="10.8">
      <c r="C15" s="76" t="str">
        <f>IF($E$4="ENG","Wooden Door leafs: LADA A","Полотна збірні: ЛАДА A")</f>
        <v>Полотна збірні: ЛАДА A</v>
      </c>
      <c r="D15" s="110"/>
      <c r="E15" s="321"/>
    </row>
    <row r="16" spans="2:9" ht="10.8">
      <c r="C16" s="76" t="str">
        <f>IF($E$4="ENG","Wooden Door leafs: LADA B","Полотна збірні: ЛАДА B")</f>
        <v>Полотна збірні: ЛАДА B</v>
      </c>
      <c r="D16" s="110"/>
      <c r="E16" s="321"/>
    </row>
    <row r="17" spans="1:9" ht="10.8">
      <c r="C17" s="76" t="str">
        <f>IF($E$4="ENG","Wooden Door leafs: LADA C","Полотна збірні: ЛАДА C")</f>
        <v>Полотна збірні: ЛАДА C</v>
      </c>
      <c r="D17" s="110"/>
      <c r="E17" s="321"/>
    </row>
    <row r="18" spans="1:9" ht="10.8">
      <c r="C18" s="76" t="str">
        <f>IF($E$4="ENG","Wooden Door leafs: LADA D","Полотна збірні: ЛАДА D")</f>
        <v>Полотна збірні: ЛАДА D</v>
      </c>
      <c r="D18" s="110"/>
      <c r="E18" s="321"/>
    </row>
    <row r="19" spans="1:9" ht="10.8">
      <c r="C19" s="76" t="str">
        <f>IF($E$4="ENG","Wooden Door leafs: NIKA","Полотна збірні: НІКА")</f>
        <v>Полотна збірні: НІКА</v>
      </c>
      <c r="D19" s="110"/>
      <c r="E19" s="321"/>
    </row>
    <row r="20" spans="1:9" ht="10.8">
      <c r="C20" s="76" t="str">
        <f>IF($E$4="ENG","Wooden Door leafs: LISA","Полотна збірні: ЛІСА")</f>
        <v>Полотна збірні: ЛІСА</v>
      </c>
      <c r="D20" s="110"/>
      <c r="E20" s="321"/>
    </row>
    <row r="21" spans="1:9" ht="10.8">
      <c r="C21" s="76" t="str">
        <f>IF($E$4="ENG","Wooden Door leafs: LADA-CONCEPT","Полотна збірні: ЛАДА-КОНЦЕПТ")</f>
        <v>Полотна збірні: ЛАДА-КОНЦЕПТ</v>
      </c>
      <c r="D21" s="110"/>
      <c r="E21" s="78"/>
    </row>
    <row r="22" spans="1:9" ht="10.8">
      <c r="A22" s="79"/>
      <c r="B22" s="79"/>
      <c r="C22" s="76" t="str">
        <f>IF($E$4="ENG","Wooden Door leafs: LADA-NOVA","Полотна збірні: ЛАДА-НОВА")</f>
        <v>Полотна збірні: ЛАДА-НОВА</v>
      </c>
      <c r="D22" s="110"/>
      <c r="E22" s="78"/>
    </row>
    <row r="23" spans="1:9" ht="10.8">
      <c r="C23" s="76" t="str">
        <f>IF($E$4="ENG","Wooden Door leafs: MIRA","Полотна збірні: МІРА")</f>
        <v>Полотна збірні: МІРА</v>
      </c>
      <c r="D23" s="110"/>
      <c r="E23" s="321"/>
    </row>
    <row r="24" spans="1:9" ht="10.8">
      <c r="B24" s="112"/>
      <c r="C24" s="76" t="str">
        <f>IF($E$4="ENG","Wooden Door leafs: LADA-LOFT","Полотна збірні: ЛАДА-ЛОФТ")</f>
        <v>Полотна збірні: ЛАДА-ЛОФТ</v>
      </c>
      <c r="D24" s="110"/>
      <c r="E24" s="78"/>
    </row>
    <row r="25" spans="1:9" ht="10.8">
      <c r="C25" s="76" t="str">
        <f>IF($E$4="ENG","Door Wooden Door leafs: LINDA","Полотна збірні: ЛІНДА")</f>
        <v>Полотна збірні: ЛІНДА</v>
      </c>
      <c r="D25" s="110"/>
      <c r="E25" s="321"/>
    </row>
    <row r="26" spans="1:9" ht="10.8">
      <c r="C26" s="76" t="str">
        <f>IF($E$4="ENG","Wooden Door leafs: TIANA","Полотна збірні: ТІАНА")</f>
        <v>Полотна збірні: ТІАНА</v>
      </c>
      <c r="D26" s="110"/>
      <c r="E26" s="321"/>
    </row>
    <row r="27" spans="1:9" ht="10.8">
      <c r="C27" s="76" t="str">
        <f>IF($E$4="ENG","Wooden Door leafs: EVA","Полотна збірні: ЄВА")</f>
        <v>Полотна збірні: ЄВА</v>
      </c>
      <c r="D27" s="110"/>
      <c r="E27" s="321"/>
    </row>
    <row r="28" spans="1:9" ht="10.8">
      <c r="C28" s="76" t="str">
        <f>IF($E$4="ENG","Wooden Door leafs: TREND","Полотна збірні: ТРЕНД")</f>
        <v>Полотна збірні: ТРЕНД</v>
      </c>
      <c r="D28" s="110"/>
      <c r="E28" s="78"/>
    </row>
    <row r="29" spans="1:9" ht="10.8">
      <c r="C29" s="76" t="str">
        <f>IF($E$4="ENG","Wooden Door leafs: MODERN","Полотна збірні: МОДЕРН")</f>
        <v>Полотна збірні: МОДЕРН</v>
      </c>
      <c r="D29" s="110"/>
      <c r="E29" s="78"/>
      <c r="I29" s="80"/>
    </row>
    <row r="30" spans="1:9" ht="10.8">
      <c r="C30" s="76" t="str">
        <f>IF($E$4="ENG","Wooden Door leafs: POLLO","Полотна збірні: ПОЛО")</f>
        <v>Полотна збірні: ПОЛО</v>
      </c>
      <c r="D30" s="110"/>
      <c r="E30" s="78"/>
    </row>
    <row r="31" spans="1:9" ht="10.8">
      <c r="C31" s="76" t="str">
        <f>IF($E$4="ENG","Glass Door leafs: LINEYA","Полотна скляні: ЛІНЕЯ")</f>
        <v>Полотна скляні: ЛІНЕЯ</v>
      </c>
      <c r="D31" s="77"/>
      <c r="E31" s="78"/>
    </row>
    <row r="32" spans="1:9" ht="10.8">
      <c r="C32" s="76" t="str">
        <f>IF($E$4="ENG","Glass Door leafs: LINE","Полотна скляні: ЛАЙН")</f>
        <v>Полотна скляні: ЛАЙН</v>
      </c>
      <c r="D32" s="110"/>
      <c r="E32" s="78"/>
    </row>
    <row r="33" spans="2:7" ht="10.8">
      <c r="C33" s="76" t="str">
        <f>IF($E$4="ENG","Glass Door leafs: ELEGANT","Полотна скляні: ЕЛЕГАНТ")</f>
        <v>Полотна скляні: ЕЛЕГАНТ</v>
      </c>
      <c r="D33" s="110"/>
      <c r="E33" s="78"/>
    </row>
    <row r="34" spans="2:7" ht="10.8">
      <c r="C34" s="76" t="str">
        <f>IF($E$4="ENG","Glass Door leafs: GLASSFORD","Полотна скляні: ГЛАСФОРД")</f>
        <v>Полотна скляні: ГЛАСФОРД</v>
      </c>
      <c r="D34" s="77"/>
      <c r="E34" s="78"/>
      <c r="G34" s="204"/>
    </row>
    <row r="35" spans="2:7" ht="10.8">
      <c r="C35" s="76" t="str">
        <f>IF($E$4="ENG","Side Panel LADA","Полотна: ДОБОР LADA")</f>
        <v>Полотна: ДОБОР LADA</v>
      </c>
      <c r="D35" s="77"/>
      <c r="E35" s="321"/>
    </row>
    <row r="36" spans="2:7" ht="10.8">
      <c r="C36" s="76" t="str">
        <f>IF($E$4="ENG","Side Panels","Полотна: ДОБОРИ")</f>
        <v>Полотна: ДОБОРИ</v>
      </c>
      <c r="D36" s="77"/>
      <c r="E36" s="78"/>
    </row>
    <row r="38" spans="2:7" ht="13.2">
      <c r="B38" s="72" t="str">
        <f>IF($E$4="ENG","DOOR SLIDING SYSTEMS","РОЗСУВНІ СИСТЕМИ")</f>
        <v>РОЗСУВНІ СИСТЕМИ</v>
      </c>
      <c r="G38" s="204"/>
    </row>
    <row r="39" spans="2:7" ht="10.8">
      <c r="C39" s="73" t="str">
        <f>IF($E$4="ENG","Sliding System Verto-SLIDE","Розсувна система Verto-SLIDE")</f>
        <v>Розсувна система Verto-SLIDE</v>
      </c>
      <c r="D39" s="111"/>
      <c r="E39" s="75"/>
    </row>
    <row r="41" spans="2:7" ht="13.2">
      <c r="B41" s="72" t="str">
        <f>IF($E$4="ENG","DOOR FRAMES, TRANSOMS AND PLINTHS","ДВЕРНІ КОРОБКИ, ФРАМУГИ ТА ПЛІНТУСИ")</f>
        <v>ДВЕРНІ КОРОБКИ, ФРАМУГИ ТА ПЛІНТУСИ</v>
      </c>
    </row>
    <row r="42" spans="2:7" ht="10.8">
      <c r="C42" s="88" t="str">
        <f>IF($E$4="ENG","Door Frame: STANDART","Дверна коробка STANDARD")</f>
        <v>Дверна коробка STANDARD</v>
      </c>
      <c r="D42" s="111"/>
      <c r="E42" s="75"/>
    </row>
    <row r="43" spans="2:7" ht="10.8">
      <c r="C43" s="76" t="str">
        <f>IF($E$4="ENG","Door Frame: Verto-FIT","Дверна коробка Verto-FIT")</f>
        <v>Дверна коробка Verto-FIT</v>
      </c>
      <c r="D43" s="111"/>
      <c r="E43" s="78"/>
    </row>
    <row r="44" spans="2:7" ht="10.8">
      <c r="C44" s="76" t="str">
        <f>IF($E$4="ENG","Door Frame: Verto-FIT Plus","Дверна коробка Verto-FIT Plus")</f>
        <v>Дверна коробка Verto-FIT Plus</v>
      </c>
      <c r="D44" s="111"/>
      <c r="E44" s="78"/>
    </row>
    <row r="45" spans="2:7" ht="10.8">
      <c r="C45" s="76" t="str">
        <f>IF($E$4="ENG","Door Frame: Verto-FIT Comfort","Дверна коробка Verto-FIT Comfort")</f>
        <v>Дверна коробка Verto-FIT Comfort</v>
      </c>
      <c r="D45" s="111"/>
      <c r="E45" s="78"/>
      <c r="G45" s="204"/>
    </row>
    <row r="46" spans="2:7" ht="10.8">
      <c r="C46" s="76" t="str">
        <f>IF($E$4="ENG","Door Frame: Verto-FIT Comfort Inside","Дверна коробка Verto-FIT Comfort Inside")</f>
        <v>Дверна коробка Verto-FIT Comfort Inside</v>
      </c>
      <c r="D46" s="111"/>
      <c r="E46" s="78"/>
      <c r="G46" s="204"/>
    </row>
    <row r="47" spans="2:7" ht="10.8">
      <c r="C47" s="76" t="str">
        <f>IF($E$4="ENG","Plinths","Плінтуси")</f>
        <v>Плінтуси</v>
      </c>
      <c r="D47" s="111"/>
      <c r="E47" s="78"/>
    </row>
    <row r="48" spans="2:7" ht="10.8">
      <c r="C48" s="76" t="str">
        <f>IF($E$4="ENG","Transoms","Фрамуги")</f>
        <v>Фрамуги</v>
      </c>
      <c r="D48" s="111"/>
      <c r="E48" s="78"/>
    </row>
    <row r="50" spans="2:5" ht="13.2">
      <c r="B50" s="72" t="str">
        <f>IF($E$4="ENG","OTHER DOOR ACCESSORIES","ІНШІ АКСЕСУАРИ")</f>
        <v>ІНШІ АКСЕСУАРИ</v>
      </c>
    </row>
    <row r="51" spans="2:5" ht="13.2">
      <c r="B51" s="72"/>
      <c r="C51" s="182" t="str">
        <f>IF($E$4="ENG","Door handles","Дверні Ручки")</f>
        <v>Дверні Ручки</v>
      </c>
      <c r="D51" s="74"/>
      <c r="E51" s="75"/>
    </row>
    <row r="52" spans="2:5" ht="10.8">
      <c r="B52" s="112"/>
      <c r="C52" s="88" t="str">
        <f>IF($E$4="ENG","Other door accessories","Інші Аксесуари")</f>
        <v>Інші Аксесуари</v>
      </c>
      <c r="D52" s="74"/>
      <c r="E52" s="75"/>
    </row>
    <row r="53" spans="2:5">
      <c r="C53" s="81"/>
    </row>
    <row r="54" spans="2:5">
      <c r="C54" s="81"/>
    </row>
  </sheetData>
  <sheetProtection algorithmName="SHA-512" hashValue="y3HNA8ROFQdnZ2UrMrZt6MDIF9TEzINb1IIQPbBJhrmuqaRch65znJczCEKnXju3x1pSoHf7VUBi/qSgOvDLKg==" saltValue="iYDGzrK7oEn1KDDfgvpWKQ==" spinCount="100000" sheet="1" objects="1" scenarios="1"/>
  <mergeCells count="1">
    <mergeCell ref="B2:C2"/>
  </mergeCells>
  <phoneticPr fontId="5" type="noConversion"/>
  <dataValidations count="1">
    <dataValidation type="list" allowBlank="1" showInputMessage="1" showErrorMessage="1" sqref="E4" xr:uid="{00000000-0002-0000-0000-000000000000}">
      <formula1>$I$2:$I$3</formula1>
    </dataValidation>
  </dataValidations>
  <hyperlinks>
    <hyperlink ref="C8" location="Door_Standard" display="Полотна гладкие: СТАНДАРТ" xr:uid="{00000000-0004-0000-0000-000000000000}"/>
    <hyperlink ref="C9" location="Door_Kupava" display="Полотна гладкие: КУПАВА" xr:uid="{00000000-0004-0000-0000-000001000000}"/>
    <hyperlink ref="C10" location="Door_Geometry" display="Полотна гладкие: ГЕОМЕТРИЯ" xr:uid="{00000000-0004-0000-0000-000002000000}"/>
    <hyperlink ref="C11" location="Door_Idea" display="Полотна гладкие: ИДЕЯ" xr:uid="{00000000-0004-0000-0000-000003000000}"/>
    <hyperlink ref="C15" location="Door_LadaA" display="Door_LadaA" xr:uid="{00000000-0004-0000-0000-000004000000}"/>
    <hyperlink ref="C21" location="Door_LadaK" display="Полотна сборные: ЛАДА-КОНЦЕПТ" xr:uid="{00000000-0004-0000-0000-000005000000}"/>
    <hyperlink ref="C31" location="Door_Lineya" display="Полотна стеклянные: ЛИНЕЯ" xr:uid="{00000000-0004-0000-0000-000006000000}"/>
    <hyperlink ref="C32" location="Door_Line" display="Полотна стеклянные: ЛАЙН" xr:uid="{00000000-0004-0000-0000-000007000000}"/>
    <hyperlink ref="C33" location="Door_Elegant" display="Полотна стеклянные: ЭЛЕГАНТ" xr:uid="{00000000-0004-0000-0000-000008000000}"/>
    <hyperlink ref="C34" location="Door_Glasford" display="Полотна стеклянные: ГЛАСФОРД" xr:uid="{00000000-0004-0000-0000-000009000000}"/>
    <hyperlink ref="C42" location="Frame_Stand" display="Дверная коробка STANDART" xr:uid="{00000000-0004-0000-0000-00000A000000}"/>
    <hyperlink ref="C43" location="Frame_VFit" display="Дверная коробка Verto-FIT" xr:uid="{00000000-0004-0000-0000-00000B000000}"/>
    <hyperlink ref="C48" location="Framugi" display="Фрамуги" xr:uid="{00000000-0004-0000-0000-00000C000000}"/>
    <hyperlink ref="C52" location="Furniture" display="Фурнитура" xr:uid="{00000000-0004-0000-0000-00000D000000}"/>
    <hyperlink ref="C35" location="Door_Dobor_Lada" display="Door_Dobor_Lada" xr:uid="{00000000-0004-0000-0000-00000E000000}"/>
    <hyperlink ref="C39" location="Verto_Slide" display="Раздвижная система Verto-SLIDE" xr:uid="{00000000-0004-0000-0000-00000F000000}"/>
    <hyperlink ref="C51" location="DoorHandles" display="Дверные Ручки и Комплектующие" xr:uid="{00000000-0004-0000-0000-000010000000}"/>
    <hyperlink ref="C44" location="Frame_VFitPlus" display="Frame_VFitPlus" xr:uid="{00000000-0004-0000-0000-000011000000}"/>
    <hyperlink ref="C45" location="Frame_VFitComfort" display="Frame_VFitComfort" xr:uid="{00000000-0004-0000-0000-000012000000}"/>
    <hyperlink ref="C22" location="Door_LadaN" display="Полотна сборные: ЛАДА-НОВА" xr:uid="{00000000-0004-0000-0000-000013000000}"/>
    <hyperlink ref="C24" location="Door_LadaL" display="Door_LadaL" xr:uid="{00000000-0004-0000-0000-000014000000}"/>
    <hyperlink ref="C28" location="Door_Trend" display="Door_Trend" xr:uid="{00000000-0004-0000-0000-000015000000}"/>
    <hyperlink ref="C29" location="Door_Modern" display="Door_Modern" xr:uid="{00000000-0004-0000-0000-000016000000}"/>
    <hyperlink ref="C47" location="Plinths" display="Plinths" xr:uid="{00000000-0004-0000-0000-000017000000}"/>
    <hyperlink ref="C16:C18" location="Door_Lada" display="Полотна сборные: ЛАДА" xr:uid="{00000000-0004-0000-0000-000018000000}"/>
    <hyperlink ref="C19" location="Door_Nika" display="Door_Nika" xr:uid="{00000000-0004-0000-0000-000019000000}"/>
    <hyperlink ref="C20" location="Door_Lisa" display="Door_Lisa" xr:uid="{00000000-0004-0000-0000-00001A000000}"/>
    <hyperlink ref="C23" location="Door_Mira" display="Door_Mira" xr:uid="{00000000-0004-0000-0000-00001B000000}"/>
    <hyperlink ref="C30" location="Door_Pollo" display="Door_Pollo" xr:uid="{00000000-0004-0000-0000-00001C000000}"/>
    <hyperlink ref="C25" location="Door_Linda" display="Door_Linda" xr:uid="{00000000-0004-0000-0000-00001D000000}"/>
    <hyperlink ref="C26" location="Door_Tiana" display="Door_Tiana" xr:uid="{00000000-0004-0000-0000-00001E000000}"/>
    <hyperlink ref="C27" location="Door_Eva" display="Door_Eva" xr:uid="{00000000-0004-0000-0000-00001F000000}"/>
    <hyperlink ref="C16" location="Door_LadaB" display="Door_LadaB" xr:uid="{00000000-0004-0000-0000-000020000000}"/>
    <hyperlink ref="C17" location="Door_LadaC" display="Door_LadaC" xr:uid="{00000000-0004-0000-0000-000021000000}"/>
    <hyperlink ref="C18" location="Door_LadaD" display="Door_LadaD" xr:uid="{00000000-0004-0000-0000-000022000000}"/>
    <hyperlink ref="C36" location="Door_Dobor" display="Полотна: ДОБОРЫ" xr:uid="{00000000-0004-0000-0000-000023000000}"/>
    <hyperlink ref="C12" location="Door_IdeaLoft" display="Door_IdeaLoft" xr:uid="{00000000-0004-0000-0000-000024000000}"/>
    <hyperlink ref="C13" location="Полотна_збірні__КЛАСІК" display="Полотна_збірні__КЛАСІК" xr:uid="{00000000-0004-0000-0000-000025000000}"/>
    <hyperlink ref="C46" location="Inside" display="Inside" xr:uid="{F2AA43B6-01E0-4CAF-87D4-B82B1C2F0C73}"/>
    <hyperlink ref="C14" location="Products!Прованс" display="Products!Прованс" xr:uid="{F84BB7BE-792B-4F00-80C3-3A16FD796555}"/>
  </hyperlinks>
  <pageMargins left="0.37" right="0.41" top="0.49" bottom="0.49" header="0.5" footer="0.5"/>
  <pageSetup paperSize="9" scale="12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tabColor indexed="13"/>
  </sheetPr>
  <dimension ref="A1:BF2737"/>
  <sheetViews>
    <sheetView showGridLines="0" zoomScale="85" zoomScaleNormal="85" workbookViewId="0">
      <selection activeCell="E5" sqref="E5"/>
    </sheetView>
  </sheetViews>
  <sheetFormatPr defaultColWidth="9.109375" defaultRowHeight="13.2"/>
  <cols>
    <col min="1" max="1" width="1" style="1" customWidth="1"/>
    <col min="2" max="2" width="23.44140625" style="1" customWidth="1"/>
    <col min="3" max="3" width="14" style="246" customWidth="1"/>
    <col min="4" max="4" width="6.6640625" style="1" hidden="1" customWidth="1"/>
    <col min="5" max="5" width="15.5546875" style="1" customWidth="1"/>
    <col min="6" max="6" width="6.6640625" style="1" hidden="1" customWidth="1"/>
    <col min="7" max="7" width="15.5546875" style="1" customWidth="1"/>
    <col min="8" max="8" width="6.6640625" style="1" hidden="1" customWidth="1"/>
    <col min="9" max="9" width="15.5546875" style="1" customWidth="1"/>
    <col min="10" max="10" width="6.6640625" style="1" hidden="1" customWidth="1"/>
    <col min="11" max="11" width="15.5546875" style="1" customWidth="1"/>
    <col min="12" max="12" width="6.6640625" style="1" hidden="1" customWidth="1"/>
    <col min="13" max="13" width="15.5546875" style="1" customWidth="1"/>
    <col min="14" max="14" width="6.6640625" style="1" hidden="1" customWidth="1"/>
    <col min="15" max="15" width="15.5546875" style="1" customWidth="1"/>
    <col min="16" max="16" width="6.6640625" style="1" hidden="1" customWidth="1"/>
    <col min="17" max="17" width="15.5546875" style="1" customWidth="1"/>
    <col min="18" max="18" width="6.6640625" style="1" hidden="1" customWidth="1"/>
    <col min="19" max="19" width="15.5546875" style="1" customWidth="1"/>
    <col min="20" max="20" width="6.6640625" style="1" hidden="1" customWidth="1"/>
    <col min="21" max="21" width="15.5546875" style="1" customWidth="1"/>
    <col min="22" max="22" width="6.6640625" style="1" hidden="1" customWidth="1"/>
    <col min="23" max="23" width="15.5546875" style="1" customWidth="1"/>
    <col min="24" max="25" width="10.6640625" style="1" customWidth="1"/>
    <col min="26" max="28" width="10.6640625" style="1" hidden="1" customWidth="1"/>
    <col min="29" max="39" width="9.109375" style="1" hidden="1" customWidth="1"/>
    <col min="40" max="40" width="9.33203125" style="30" hidden="1" customWidth="1"/>
    <col min="41" max="46" width="9.109375" style="30" hidden="1" customWidth="1"/>
    <col min="47" max="50" width="9.109375" style="1" hidden="1" customWidth="1"/>
    <col min="51" max="73" width="9.109375" style="1" customWidth="1"/>
    <col min="74" max="16384" width="9.109375" style="1"/>
  </cols>
  <sheetData>
    <row r="1" spans="1:46" ht="12.75" customHeight="1">
      <c r="B1" s="113" t="str">
        <f>TITLE!B2</f>
        <v>ВЕРСІЯ: 58.00.25</v>
      </c>
      <c r="C1" s="245" t="str">
        <f>TITLE!E4</f>
        <v>UA</v>
      </c>
      <c r="E1" s="529" t="str">
        <f>IF($C$1="ENG","51400, Pavlograd town, 9 Teroshkina Str, tel. (0563) 20 93 80","51400, м. Павлоград, вул. Терьошкіна, 9, тел. (0563) 20 93 80")</f>
        <v>51400, м. Павлоград, вул. Терьошкіна, 9, тел. (0563) 20 93 80</v>
      </c>
      <c r="F1" s="529"/>
      <c r="G1" s="529"/>
      <c r="H1" s="529"/>
      <c r="I1" s="529"/>
      <c r="J1" s="529"/>
      <c r="K1" s="529"/>
      <c r="N1" s="91"/>
      <c r="O1" s="91"/>
      <c r="R1" s="91"/>
      <c r="S1" s="91"/>
      <c r="V1" s="89"/>
      <c r="W1" s="90"/>
      <c r="AC1" s="286"/>
    </row>
    <row r="2" spans="1:46">
      <c r="E2" s="530" t="str">
        <f>IF($C$1="ENG","e-mail: info@verto-doors.com, web-site: www.verto-doors.com","e-mail: info@verto-doors.com, web-site: www.verto-doors.com")</f>
        <v>e-mail: info@verto-doors.com, web-site: www.verto-doors.com</v>
      </c>
      <c r="F2" s="530"/>
      <c r="G2" s="530"/>
      <c r="H2" s="530"/>
      <c r="I2" s="530"/>
      <c r="J2" s="530"/>
      <c r="K2" s="530"/>
      <c r="U2" s="207" t="str">
        <f>IF($C$1="ENG","discount","знижка")</f>
        <v>знижка</v>
      </c>
      <c r="W2" s="70">
        <v>0</v>
      </c>
      <c r="AC2" s="287">
        <v>0.2</v>
      </c>
    </row>
    <row r="3" spans="1:46" ht="5.0999999999999996" customHeight="1">
      <c r="E3" s="8"/>
      <c r="H3" s="2"/>
      <c r="J3" s="3"/>
      <c r="K3" s="4"/>
      <c r="V3" s="89"/>
      <c r="AC3" s="288">
        <v>0</v>
      </c>
    </row>
    <row r="4" spans="1:46" ht="12.75" customHeight="1">
      <c r="E4" s="528" t="str">
        <f>IF($C$1="ENG","RETAIL PRICES FOR VERTO PRODUCTS","РОЗДРІБНІ ЦІНИ НА ПРОДУКЦІЮ ТМ VERTO")</f>
        <v>РОЗДРІБНІ ЦІНИ НА ПРОДУКЦІЮ ТМ VERTO</v>
      </c>
      <c r="F4" s="528"/>
      <c r="G4" s="528"/>
      <c r="H4" s="528"/>
      <c r="I4" s="528"/>
      <c r="U4" s="207" t="str">
        <f>IF($C$1="ENG","exchange rate (for 1 UAH)","курс валют (за 1 грн.)")</f>
        <v>курс валют (за 1 грн.)</v>
      </c>
      <c r="W4" s="208">
        <v>1</v>
      </c>
      <c r="AC4" s="286"/>
    </row>
    <row r="5" spans="1:46">
      <c r="C5" s="245"/>
      <c r="D5" s="5"/>
      <c r="E5" s="206" t="str">
        <f>TITLE!D2</f>
        <v>діє з: 01 лютого 2025 р.</v>
      </c>
      <c r="F5" s="5"/>
      <c r="G5" s="5"/>
      <c r="U5" s="209" t="str">
        <f>IF($C$1="ENG","VAT","ПДВ")</f>
        <v>ПДВ</v>
      </c>
      <c r="V5" s="210"/>
      <c r="W5" s="211">
        <v>0.2</v>
      </c>
      <c r="AC5" s="286"/>
    </row>
    <row r="6" spans="1:46" ht="5.0999999999999996" customHeight="1">
      <c r="C6" s="245"/>
      <c r="D6" s="5"/>
      <c r="E6" s="5"/>
      <c r="F6" s="5"/>
      <c r="G6" s="5"/>
      <c r="AC6" s="286"/>
    </row>
    <row r="7" spans="1:46" ht="12.75" customHeight="1">
      <c r="B7" s="525" t="str">
        <f>IF($C$1="ENG","TO MAIN PAGE","НА ГОЛОВНУ")</f>
        <v>НА ГОЛОВНУ</v>
      </c>
      <c r="C7" s="526"/>
      <c r="D7" s="507" t="str">
        <f>IF($C$1="ENG","Price","Ціна")</f>
        <v>Ціна</v>
      </c>
      <c r="E7" s="508"/>
      <c r="F7" s="507" t="str">
        <f>IF($C$1="ENG","Price","Ціна")</f>
        <v>Ціна</v>
      </c>
      <c r="G7" s="508"/>
      <c r="H7" s="507" t="str">
        <f>IF($C$1="ENG","Price","Ціна")</f>
        <v>Ціна</v>
      </c>
      <c r="I7" s="508"/>
      <c r="J7" s="507" t="str">
        <f>IF($C$1="ENG","Price","Ціна")</f>
        <v>Ціна</v>
      </c>
      <c r="K7" s="508"/>
      <c r="L7" s="507" t="str">
        <f>IF($C$1="ENG","Price","Ціна")</f>
        <v>Ціна</v>
      </c>
      <c r="M7" s="508"/>
      <c r="N7" s="507" t="str">
        <f>IF($C$1="ENG","Price","Ціна")</f>
        <v>Ціна</v>
      </c>
      <c r="O7" s="508"/>
      <c r="P7" s="507" t="str">
        <f>IF($C$1="ENG","Price","Ціна")</f>
        <v>Ціна</v>
      </c>
      <c r="Q7" s="508"/>
      <c r="R7" s="507" t="str">
        <f>IF($C$1="ENG","Price","Ціна")</f>
        <v>Ціна</v>
      </c>
      <c r="S7" s="508"/>
      <c r="T7" s="507" t="str">
        <f>IF($C$1="ENG","Price","Ціна")</f>
        <v>Ціна</v>
      </c>
      <c r="U7" s="508"/>
      <c r="V7" s="507" t="str">
        <f>IF($C$1="ENG","Price","Ціна")</f>
        <v>Ціна</v>
      </c>
      <c r="W7" s="508"/>
      <c r="AC7" s="286" t="s">
        <v>58</v>
      </c>
      <c r="AD7" s="286" t="s">
        <v>59</v>
      </c>
      <c r="AE7" s="286" t="s">
        <v>60</v>
      </c>
      <c r="AF7" s="286" t="s">
        <v>61</v>
      </c>
      <c r="AG7" s="286" t="s">
        <v>62</v>
      </c>
      <c r="AH7" s="286" t="s">
        <v>63</v>
      </c>
      <c r="AI7" s="286" t="s">
        <v>64</v>
      </c>
      <c r="AJ7" s="286" t="s">
        <v>65</v>
      </c>
      <c r="AK7" s="286" t="s">
        <v>69</v>
      </c>
      <c r="AL7" s="286" t="s">
        <v>70</v>
      </c>
    </row>
    <row r="8" spans="1:46">
      <c r="B8" s="523" t="str">
        <f>IF($C$1="ENG","Products","Асортимент")</f>
        <v>Асортимент</v>
      </c>
      <c r="C8" s="524"/>
      <c r="D8" s="6" t="s">
        <v>66</v>
      </c>
      <c r="E8" s="7" t="str">
        <f>IF($C$1="ENG",IF($W$5=0.2,"with VAT","no VAT"),IF($W$5=0.2,"з ПДВ","без ПДВ"))</f>
        <v>з ПДВ</v>
      </c>
      <c r="F8" s="6" t="s">
        <v>66</v>
      </c>
      <c r="G8" s="7" t="str">
        <f>IF($C$1="ENG",IF($W$5=0.2,"with VAT","no VAT"),IF($W$5=0.2,"з ПДВ","без ПДВ"))</f>
        <v>з ПДВ</v>
      </c>
      <c r="H8" s="6" t="s">
        <v>66</v>
      </c>
      <c r="I8" s="7" t="str">
        <f>IF($C$1="ENG",IF($W$5=0.2,"with VAT","no VAT"),IF($W$5=0.2,"з ПДВ","без ПДВ"))</f>
        <v>з ПДВ</v>
      </c>
      <c r="J8" s="6" t="s">
        <v>66</v>
      </c>
      <c r="K8" s="7" t="str">
        <f>IF($C$1="ENG",IF($W$5=0.2,"with VAT","no VAT"),IF($W$5=0.2,"з ПДВ","без ПДВ"))</f>
        <v>з ПДВ</v>
      </c>
      <c r="L8" s="6" t="s">
        <v>66</v>
      </c>
      <c r="M8" s="7" t="str">
        <f>IF($C$1="ENG",IF($W$5=0.2,"with VAT","no VAT"),IF($W$5=0.2,"з ПДВ","без ПДВ"))</f>
        <v>з ПДВ</v>
      </c>
      <c r="N8" s="6" t="s">
        <v>66</v>
      </c>
      <c r="O8" s="7" t="str">
        <f>IF($C$1="ENG",IF($W$5=0.2,"with VAT","no VAT"),IF($W$5=0.2,"з ПДВ","без ПДВ"))</f>
        <v>з ПДВ</v>
      </c>
      <c r="P8" s="6" t="s">
        <v>66</v>
      </c>
      <c r="Q8" s="7" t="str">
        <f>IF($C$1="ENG",IF($W$5=0.2,"with VAT","no VAT"),IF($W$5=0.2,"з ПДВ","без ПДВ"))</f>
        <v>з ПДВ</v>
      </c>
      <c r="R8" s="6" t="s">
        <v>66</v>
      </c>
      <c r="S8" s="7" t="str">
        <f>IF($C$1="ENG",IF($W$5=0.2,"with VAT","no VAT"),IF($W$5=0.2,"з ПДВ","без ПДВ"))</f>
        <v>з ПДВ</v>
      </c>
      <c r="T8" s="6" t="s">
        <v>66</v>
      </c>
      <c r="U8" s="7" t="str">
        <f>IF($C$1="ENG",IF($W$5=0.2,"with VAT","no VAT"),IF($W$5=0.2,"з ПДВ","без ПДВ"))</f>
        <v>з ПДВ</v>
      </c>
      <c r="V8" s="6" t="s">
        <v>66</v>
      </c>
      <c r="W8" s="7" t="str">
        <f>IF($C$1="ENG",IF($W$5=0.2,"with VAT","no VAT"),IF($W$5=0.2,"з ПДВ","без ПДВ"))</f>
        <v>з ПДВ</v>
      </c>
      <c r="AC8" s="286"/>
      <c r="AD8" s="286"/>
      <c r="AE8" s="286"/>
      <c r="AF8" s="286"/>
      <c r="AG8" s="286"/>
      <c r="AH8" s="286"/>
      <c r="AI8" s="286"/>
      <c r="AJ8" s="286"/>
      <c r="AK8" s="286"/>
      <c r="AL8" s="286"/>
    </row>
    <row r="10" spans="1:46" s="8" customFormat="1">
      <c r="B10" s="494" t="str">
        <f>TITLE!$C$8</f>
        <v>Полотна каркасно-щитові: СТАНДАРТ</v>
      </c>
      <c r="C10" s="494"/>
      <c r="D10" s="516"/>
      <c r="E10" s="516"/>
      <c r="F10" s="118"/>
      <c r="G10" s="118"/>
      <c r="H10" s="118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AN10" s="280"/>
      <c r="AO10" s="280"/>
      <c r="AP10" s="280"/>
      <c r="AQ10" s="280"/>
      <c r="AR10" s="280"/>
      <c r="AS10" s="280"/>
      <c r="AT10" s="280"/>
    </row>
    <row r="11" spans="1:46" s="8" customFormat="1" ht="5.0999999999999996" customHeight="1">
      <c r="B11" s="117"/>
      <c r="C11" s="420"/>
      <c r="D11" s="10"/>
      <c r="E11" s="10"/>
      <c r="F11" s="10"/>
      <c r="G11" s="10"/>
      <c r="H11" s="10"/>
      <c r="AN11" s="280"/>
      <c r="AO11" s="280"/>
      <c r="AP11" s="280"/>
      <c r="AQ11" s="280"/>
      <c r="AR11" s="280"/>
      <c r="AS11" s="280"/>
      <c r="AT11" s="280"/>
    </row>
    <row r="12" spans="1:46" s="8" customFormat="1" ht="14.25" customHeight="1">
      <c r="B12" s="509" t="str">
        <f>IF($C$1="ENG","model","модель")</f>
        <v>модель</v>
      </c>
      <c r="C12" s="122" t="str">
        <f>IF($C$1="ENG","cover:","покриття:")</f>
        <v>покриття:</v>
      </c>
      <c r="D12" s="498" t="str">
        <f>IF($C$1="ENG","SIMPL / V-CELL","SIMPL / V-CELL")</f>
        <v>SIMPL / V-CELL</v>
      </c>
      <c r="E12" s="500"/>
      <c r="F12" s="498" t="str">
        <f>IF($C$1="ENG","UNI-MAT","UNI-MAT")</f>
        <v>UNI-MAT</v>
      </c>
      <c r="G12" s="500"/>
      <c r="H12" s="46"/>
      <c r="I12" s="46"/>
      <c r="J12" s="46"/>
      <c r="K12" s="46"/>
      <c r="AN12" s="280"/>
      <c r="AO12" s="280"/>
      <c r="AP12" s="280"/>
      <c r="AQ12" s="280"/>
      <c r="AR12" s="280"/>
      <c r="AS12" s="280"/>
      <c r="AT12" s="280"/>
    </row>
    <row r="13" spans="1:46" ht="12.75" customHeight="1">
      <c r="A13" s="8"/>
      <c r="B13" s="510"/>
      <c r="C13" s="123" t="str">
        <f>IF($C$1="ENG","filling:","заповнення:")</f>
        <v>заповнення:</v>
      </c>
      <c r="D13" s="505" t="str">
        <f>IF($C$1="ENG","honeycomb core ","сотове заповнення")</f>
        <v>сотове заповнення</v>
      </c>
      <c r="E13" s="506"/>
      <c r="F13" s="505" t="str">
        <f>IF($C$1="ENG","honeycomb core ","сотове заповнення")</f>
        <v>сотове заповнення</v>
      </c>
      <c r="G13" s="506"/>
      <c r="H13" s="47"/>
      <c r="I13" s="47"/>
      <c r="J13" s="47"/>
      <c r="K13" s="131"/>
      <c r="L13" s="11"/>
      <c r="M13" s="11"/>
      <c r="P13" s="11"/>
      <c r="Q13" s="11"/>
    </row>
    <row r="14" spans="1:46" ht="12.75" customHeight="1">
      <c r="A14" s="8"/>
      <c r="B14" s="511"/>
      <c r="C14" s="124" t="str">
        <f>IF($C$1="ENG","glazing:","скління:")</f>
        <v>скління:</v>
      </c>
      <c r="D14" s="489" t="str">
        <f>IF($C$1="ENG","Krizet","Кризет")</f>
        <v>Кризет</v>
      </c>
      <c r="E14" s="492"/>
      <c r="F14" s="489" t="str">
        <f>IF($C$1="ENG","Krizet","Кризет")</f>
        <v>Кризет</v>
      </c>
      <c r="G14" s="492"/>
      <c r="H14" s="47"/>
      <c r="I14" s="47"/>
      <c r="J14" s="47"/>
      <c r="K14" s="396"/>
      <c r="L14" s="397"/>
      <c r="M14" s="397"/>
      <c r="N14" s="396"/>
      <c r="O14" s="397"/>
      <c r="P14" s="397"/>
      <c r="Q14" s="396"/>
      <c r="AC14" s="335" t="str">
        <f>D12</f>
        <v>SIMPL / V-CELL</v>
      </c>
      <c r="AD14" s="335" t="str">
        <f>F12</f>
        <v>UNI-MAT</v>
      </c>
    </row>
    <row r="15" spans="1:46" ht="35.1" customHeight="1">
      <c r="A15" s="8"/>
      <c r="B15" s="13" t="s">
        <v>0</v>
      </c>
      <c r="C15" s="14"/>
      <c r="D15" s="101">
        <f>IF(AC15="","",(1-$W$2)*(AC15/1.2))</f>
        <v>4425</v>
      </c>
      <c r="E15" s="64">
        <f t="shared" ref="E15:E20" si="0">IF($W$5=0.2,D15*1.2,D15)/$W$4</f>
        <v>5310</v>
      </c>
      <c r="F15" s="101">
        <f t="shared" ref="F15:F20" si="1">IF(AD15="","",(1-$W$2)*(AD15/1.2))</f>
        <v>5050</v>
      </c>
      <c r="G15" s="64">
        <f t="shared" ref="G15:G20" si="2">IF($W$5=0.2,F15*1.2,F15)/$W$4</f>
        <v>6060</v>
      </c>
      <c r="H15" s="28"/>
      <c r="I15" s="59"/>
      <c r="J15" s="28"/>
      <c r="K15" s="59"/>
      <c r="L15" s="11"/>
      <c r="M15" s="83"/>
      <c r="O15" s="20"/>
      <c r="P15" s="11"/>
      <c r="Q15" s="83"/>
      <c r="S15" s="20"/>
      <c r="U15" s="20"/>
      <c r="W15" s="20"/>
      <c r="AC15" s="332">
        <v>5310</v>
      </c>
      <c r="AD15" s="332">
        <v>6060</v>
      </c>
      <c r="AE15" s="289"/>
      <c r="AF15" s="289"/>
      <c r="AG15" s="398">
        <f>AE15/AC15-1</f>
        <v>-1</v>
      </c>
      <c r="AH15" s="398">
        <f>AF15/AD15-1</f>
        <v>-1</v>
      </c>
      <c r="AI15" s="289"/>
      <c r="AJ15" s="289"/>
      <c r="AK15" s="289"/>
      <c r="AL15" s="289"/>
    </row>
    <row r="16" spans="1:46" ht="35.1" customHeight="1">
      <c r="A16" s="8"/>
      <c r="B16" s="16" t="s">
        <v>2</v>
      </c>
      <c r="C16" s="17"/>
      <c r="D16" s="102">
        <f t="shared" ref="D16:D20" si="3">IF(AC16="","",(1-$W$2)*(AC16/1.2))</f>
        <v>4683.3333333333339</v>
      </c>
      <c r="E16" s="66">
        <f t="shared" si="0"/>
        <v>5620.0000000000009</v>
      </c>
      <c r="F16" s="102">
        <f t="shared" si="1"/>
        <v>5366.666666666667</v>
      </c>
      <c r="G16" s="66">
        <f t="shared" si="2"/>
        <v>6440</v>
      </c>
      <c r="H16" s="28"/>
      <c r="I16" s="59"/>
      <c r="J16" s="28"/>
      <c r="K16" s="59"/>
      <c r="L16" s="19"/>
      <c r="M16" s="83"/>
      <c r="O16" s="20"/>
      <c r="P16" s="19"/>
      <c r="Q16" s="83"/>
      <c r="S16" s="20"/>
      <c r="U16" s="20"/>
      <c r="W16" s="20"/>
      <c r="AC16" s="332">
        <v>5620</v>
      </c>
      <c r="AD16" s="332">
        <v>6440</v>
      </c>
      <c r="AE16" s="289"/>
      <c r="AF16" s="289"/>
      <c r="AG16" s="398">
        <f t="shared" ref="AG16:AH20" si="4">AE16/AC16-1</f>
        <v>-1</v>
      </c>
      <c r="AH16" s="398">
        <f t="shared" si="4"/>
        <v>-1</v>
      </c>
      <c r="AI16" s="289"/>
      <c r="AJ16" s="289"/>
      <c r="AK16" s="289"/>
      <c r="AL16" s="289"/>
    </row>
    <row r="17" spans="1:38" ht="35.1" customHeight="1">
      <c r="A17" s="8"/>
      <c r="B17" s="16" t="s">
        <v>1</v>
      </c>
      <c r="C17" s="17"/>
      <c r="D17" s="102">
        <f t="shared" si="3"/>
        <v>4425</v>
      </c>
      <c r="E17" s="66">
        <f t="shared" si="0"/>
        <v>5310</v>
      </c>
      <c r="F17" s="102">
        <f t="shared" si="1"/>
        <v>5050</v>
      </c>
      <c r="G17" s="66">
        <f t="shared" si="2"/>
        <v>6060</v>
      </c>
      <c r="H17" s="28"/>
      <c r="I17" s="59"/>
      <c r="J17" s="28"/>
      <c r="K17" s="59"/>
      <c r="L17" s="11"/>
      <c r="M17" s="83"/>
      <c r="N17" s="21"/>
      <c r="O17" s="20"/>
      <c r="P17" s="11"/>
      <c r="Q17" s="83"/>
      <c r="R17" s="21"/>
      <c r="S17" s="20"/>
      <c r="U17" s="20"/>
      <c r="W17" s="20"/>
      <c r="AC17" s="332">
        <v>5310</v>
      </c>
      <c r="AD17" s="332">
        <v>6060</v>
      </c>
      <c r="AE17" s="289"/>
      <c r="AF17" s="289"/>
      <c r="AG17" s="398">
        <f t="shared" si="4"/>
        <v>-1</v>
      </c>
      <c r="AH17" s="398">
        <f t="shared" si="4"/>
        <v>-1</v>
      </c>
      <c r="AI17" s="289"/>
      <c r="AJ17" s="289"/>
      <c r="AK17" s="289"/>
      <c r="AL17" s="289"/>
    </row>
    <row r="18" spans="1:38" ht="35.1" customHeight="1">
      <c r="A18" s="8"/>
      <c r="B18" s="16" t="s">
        <v>3</v>
      </c>
      <c r="C18" s="17"/>
      <c r="D18" s="102">
        <f t="shared" si="3"/>
        <v>4683.3333333333339</v>
      </c>
      <c r="E18" s="66">
        <f t="shared" si="0"/>
        <v>5620.0000000000009</v>
      </c>
      <c r="F18" s="102">
        <f t="shared" si="1"/>
        <v>5366.666666666667</v>
      </c>
      <c r="G18" s="66">
        <f t="shared" si="2"/>
        <v>6440</v>
      </c>
      <c r="H18" s="28"/>
      <c r="I18" s="59"/>
      <c r="J18" s="28"/>
      <c r="K18" s="59"/>
      <c r="L18" s="19"/>
      <c r="M18" s="83"/>
      <c r="N18" s="21"/>
      <c r="O18" s="20"/>
      <c r="P18" s="19"/>
      <c r="Q18" s="83"/>
      <c r="R18" s="21"/>
      <c r="S18" s="20"/>
      <c r="U18" s="20"/>
      <c r="W18" s="20"/>
      <c r="AC18" s="332">
        <v>5620</v>
      </c>
      <c r="AD18" s="332">
        <v>6440</v>
      </c>
      <c r="AE18" s="289"/>
      <c r="AF18" s="289"/>
      <c r="AG18" s="398">
        <f t="shared" si="4"/>
        <v>-1</v>
      </c>
      <c r="AH18" s="398">
        <f t="shared" si="4"/>
        <v>-1</v>
      </c>
      <c r="AI18" s="289"/>
      <c r="AJ18" s="289"/>
      <c r="AK18" s="289"/>
      <c r="AL18" s="289"/>
    </row>
    <row r="19" spans="1:38" ht="35.1" customHeight="1">
      <c r="A19" s="8"/>
      <c r="B19" s="16" t="s">
        <v>17</v>
      </c>
      <c r="C19" s="17"/>
      <c r="D19" s="102">
        <f t="shared" si="3"/>
        <v>4158.3333333333339</v>
      </c>
      <c r="E19" s="66">
        <f t="shared" si="0"/>
        <v>4990.0000000000009</v>
      </c>
      <c r="F19" s="102">
        <f t="shared" si="1"/>
        <v>4766.666666666667</v>
      </c>
      <c r="G19" s="66">
        <f t="shared" si="2"/>
        <v>5720</v>
      </c>
      <c r="H19" s="28"/>
      <c r="I19" s="59"/>
      <c r="J19" s="28"/>
      <c r="K19" s="59"/>
      <c r="L19" s="11"/>
      <c r="M19" s="83"/>
      <c r="N19" s="21"/>
      <c r="O19" s="20"/>
      <c r="P19" s="11"/>
      <c r="Q19" s="83"/>
      <c r="R19" s="21"/>
      <c r="S19" s="20"/>
      <c r="U19" s="20"/>
      <c r="W19" s="20"/>
      <c r="AC19" s="332">
        <v>4990</v>
      </c>
      <c r="AD19" s="332">
        <v>5720</v>
      </c>
      <c r="AE19" s="289"/>
      <c r="AF19" s="289"/>
      <c r="AG19" s="398">
        <f t="shared" si="4"/>
        <v>-1</v>
      </c>
      <c r="AH19" s="398">
        <f t="shared" si="4"/>
        <v>-1</v>
      </c>
      <c r="AI19" s="289"/>
      <c r="AJ19" s="289"/>
      <c r="AK19" s="289"/>
      <c r="AL19" s="289"/>
    </row>
    <row r="20" spans="1:38" ht="35.1" customHeight="1">
      <c r="A20" s="8"/>
      <c r="B20" s="23" t="s">
        <v>18</v>
      </c>
      <c r="C20" s="24"/>
      <c r="D20" s="103">
        <f t="shared" si="3"/>
        <v>4158.3333333333339</v>
      </c>
      <c r="E20" s="69">
        <f t="shared" si="0"/>
        <v>4990.0000000000009</v>
      </c>
      <c r="F20" s="103">
        <f t="shared" si="1"/>
        <v>4766.666666666667</v>
      </c>
      <c r="G20" s="69">
        <f t="shared" si="2"/>
        <v>5720</v>
      </c>
      <c r="H20" s="28"/>
      <c r="I20" s="59"/>
      <c r="J20" s="28"/>
      <c r="K20" s="59"/>
      <c r="L20" s="19"/>
      <c r="M20" s="83"/>
      <c r="N20" s="21"/>
      <c r="O20" s="20"/>
      <c r="P20" s="19"/>
      <c r="Q20" s="83"/>
      <c r="R20" s="21"/>
      <c r="S20" s="20"/>
      <c r="U20" s="20"/>
      <c r="W20" s="20"/>
      <c r="AC20" s="332">
        <v>4990</v>
      </c>
      <c r="AD20" s="332">
        <v>5720</v>
      </c>
      <c r="AE20" s="289"/>
      <c r="AF20" s="289"/>
      <c r="AG20" s="398">
        <f t="shared" si="4"/>
        <v>-1</v>
      </c>
      <c r="AH20" s="398">
        <f t="shared" si="4"/>
        <v>-1</v>
      </c>
      <c r="AI20" s="289"/>
      <c r="AJ20" s="289"/>
      <c r="AK20" s="289"/>
      <c r="AL20" s="289"/>
    </row>
    <row r="21" spans="1:38">
      <c r="C21" s="245"/>
      <c r="D21" s="26"/>
      <c r="E21" s="26"/>
      <c r="F21" s="325"/>
      <c r="G21" s="325"/>
      <c r="H21" s="10"/>
      <c r="I21" s="48"/>
      <c r="J21" s="48"/>
      <c r="K21" s="48"/>
    </row>
    <row r="22" spans="1:38">
      <c r="B22" s="212" t="str">
        <f>IF($C$1="ENG","For additonal charge:","Послуги за додаткову плату:")</f>
        <v>Послуги за додаткову плату:</v>
      </c>
      <c r="C22" s="421"/>
      <c r="D22" s="213"/>
      <c r="E22" s="214"/>
      <c r="F22" s="26"/>
      <c r="G22" s="26"/>
      <c r="H22" s="10"/>
      <c r="I22" s="48"/>
      <c r="J22" s="48"/>
      <c r="K22" s="48"/>
    </row>
    <row r="23" spans="1:38" ht="5.0999999999999996" customHeight="1">
      <c r="B23" s="27"/>
      <c r="C23" s="245"/>
      <c r="D23" s="39"/>
      <c r="E23" s="26"/>
      <c r="F23" s="26"/>
      <c r="G23" s="26"/>
      <c r="H23" s="10"/>
      <c r="I23" s="8"/>
    </row>
    <row r="24" spans="1:38">
      <c r="B24" s="514" t="str">
        <f>IF($C$1="ENG","Ventilation sleeves (1 row)","вентиляційні віддушини (1ряд)")</f>
        <v>вентиляційні віддушини (1ряд)</v>
      </c>
      <c r="C24" s="515"/>
      <c r="D24" s="132">
        <f t="shared" ref="D24:D39" si="5">IF(AC24="","",(1-$W$2)*(AC24/1.2))</f>
        <v>208.33333333333334</v>
      </c>
      <c r="E24" s="64">
        <f t="shared" ref="E24:E29" si="6">IF($W$5=0.2,D24*1.2,D24)/$W$4</f>
        <v>250</v>
      </c>
      <c r="F24" s="26"/>
      <c r="G24" s="26"/>
      <c r="I24" s="59"/>
      <c r="J24" s="28"/>
      <c r="AC24" s="298">
        <v>250</v>
      </c>
      <c r="AD24" s="289">
        <v>250</v>
      </c>
      <c r="AE24" s="289">
        <f>AD24/AC24-1</f>
        <v>0</v>
      </c>
      <c r="AF24" s="289"/>
      <c r="AG24" s="289"/>
      <c r="AH24" s="289"/>
      <c r="AI24" s="289"/>
      <c r="AJ24" s="289"/>
      <c r="AK24" s="289"/>
      <c r="AL24" s="289"/>
    </row>
    <row r="25" spans="1:38">
      <c r="B25" s="514" t="str">
        <f>IF($C$1="ENG","Ventilation cut","вентиляційний підріз")</f>
        <v>вентиляційний підріз</v>
      </c>
      <c r="C25" s="515"/>
      <c r="D25" s="133">
        <f>IF(AC25="","",(1-$W$2)*(AC25/1.2))</f>
        <v>141.66666666666669</v>
      </c>
      <c r="E25" s="66">
        <f t="shared" si="6"/>
        <v>170.00000000000003</v>
      </c>
      <c r="F25" s="26"/>
      <c r="G25" s="26"/>
      <c r="I25" s="59"/>
      <c r="J25" s="28"/>
      <c r="AC25" s="298">
        <v>170</v>
      </c>
      <c r="AD25" s="289">
        <v>170</v>
      </c>
      <c r="AE25" s="289">
        <f t="shared" ref="AE25:AE39" si="7">AD25/AC25-1</f>
        <v>0</v>
      </c>
      <c r="AF25" s="289"/>
      <c r="AG25" s="289"/>
      <c r="AH25" s="289"/>
      <c r="AI25" s="289"/>
      <c r="AJ25" s="289"/>
      <c r="AK25" s="289"/>
      <c r="AL25" s="289"/>
    </row>
    <row r="26" spans="1:38">
      <c r="B26" s="514" t="str">
        <f>IF($C$1="ENG","third door hindge","третя завіса")</f>
        <v>третя завіса</v>
      </c>
      <c r="C26" s="515"/>
      <c r="D26" s="133">
        <f t="shared" si="5"/>
        <v>66.666666666666671</v>
      </c>
      <c r="E26" s="66">
        <f t="shared" si="6"/>
        <v>80</v>
      </c>
      <c r="F26" s="26"/>
      <c r="G26" s="26"/>
      <c r="I26" s="59"/>
      <c r="J26" s="28"/>
      <c r="AC26" s="298">
        <v>80</v>
      </c>
      <c r="AD26" s="289">
        <v>80</v>
      </c>
      <c r="AE26" s="289">
        <f t="shared" si="7"/>
        <v>0</v>
      </c>
      <c r="AF26" s="289"/>
      <c r="AG26" s="289"/>
      <c r="AH26" s="289"/>
      <c r="AI26" s="289"/>
      <c r="AJ26" s="289"/>
      <c r="AK26" s="289"/>
      <c r="AL26" s="289"/>
    </row>
    <row r="27" spans="1:38">
      <c r="B27" s="501" t="str">
        <f>IF($C$1="ENG","glazing Satin (mod.1А,1Б)","скло Сатин (мод.1А,1Б)")</f>
        <v>скло Сатин (мод.1А,1Б)</v>
      </c>
      <c r="C27" s="502"/>
      <c r="D27" s="133">
        <f>IF(AC27="","",(1-$W$2)*(AC27/1.2))</f>
        <v>283.33333333333337</v>
      </c>
      <c r="E27" s="66">
        <f t="shared" si="6"/>
        <v>340.00000000000006</v>
      </c>
      <c r="F27" s="141"/>
      <c r="G27" s="141"/>
      <c r="AC27" s="298">
        <v>340</v>
      </c>
      <c r="AD27" s="289">
        <v>340</v>
      </c>
      <c r="AE27" s="289">
        <f t="shared" si="7"/>
        <v>0</v>
      </c>
      <c r="AF27" s="289"/>
      <c r="AG27" s="289"/>
      <c r="AH27" s="289"/>
      <c r="AI27" s="289"/>
      <c r="AJ27" s="289"/>
      <c r="AK27" s="289"/>
      <c r="AL27" s="289"/>
    </row>
    <row r="28" spans="1:38">
      <c r="B28" s="501" t="str">
        <f>IF($C$1="ENG","glazing Satin (mod.2А,2Б,3,4)","скло Сатин (мод.2А,2Б,3,4)")</f>
        <v>скло Сатин (мод.2А,2Б,3,4)</v>
      </c>
      <c r="C28" s="502"/>
      <c r="D28" s="133">
        <f>IF(AC28="","",(1-$W$2)*(AC28/1.2))</f>
        <v>350</v>
      </c>
      <c r="E28" s="66">
        <f t="shared" si="6"/>
        <v>420</v>
      </c>
      <c r="F28" s="141"/>
      <c r="G28" s="141"/>
      <c r="AC28" s="298">
        <v>420</v>
      </c>
      <c r="AD28" s="289">
        <v>420</v>
      </c>
      <c r="AE28" s="289">
        <f t="shared" si="7"/>
        <v>0</v>
      </c>
      <c r="AF28" s="289"/>
      <c r="AG28" s="289"/>
      <c r="AH28" s="289"/>
      <c r="AI28" s="289"/>
      <c r="AJ28" s="289"/>
      <c r="AK28" s="289"/>
      <c r="AL28" s="289"/>
    </row>
    <row r="29" spans="1:38">
      <c r="B29" s="501" t="str">
        <f>IF($C$1="ENG","glazing Graphite / Bronze","скло Графіт / Бронза")</f>
        <v>скло Графіт / Бронза</v>
      </c>
      <c r="C29" s="502"/>
      <c r="D29" s="133">
        <f>IF(AC29="","",(1-$W$2)*(AC29/1.2))</f>
        <v>458.33333333333337</v>
      </c>
      <c r="E29" s="66">
        <f t="shared" si="6"/>
        <v>550</v>
      </c>
      <c r="F29" s="141"/>
      <c r="G29" s="141"/>
      <c r="AC29" s="298">
        <v>550</v>
      </c>
      <c r="AD29" s="289">
        <v>550</v>
      </c>
      <c r="AE29" s="289">
        <f t="shared" si="7"/>
        <v>0</v>
      </c>
      <c r="AF29" s="289"/>
      <c r="AG29" s="289"/>
      <c r="AH29" s="289"/>
      <c r="AI29" s="289"/>
      <c r="AJ29" s="289"/>
      <c r="AK29" s="289"/>
      <c r="AL29" s="289"/>
    </row>
    <row r="30" spans="1:38">
      <c r="B30" s="501" t="str">
        <f>IF($C$1="ENG","door lock Soft","замок Soft")</f>
        <v>замок Soft</v>
      </c>
      <c r="C30" s="502"/>
      <c r="D30" s="274">
        <f t="shared" si="5"/>
        <v>458.33333333333337</v>
      </c>
      <c r="E30" s="66">
        <f t="shared" ref="E30:E37" si="8">IF($W$5=0.2,D30*1.2,D30)/$W$4</f>
        <v>550</v>
      </c>
      <c r="F30" s="26"/>
      <c r="G30" s="26"/>
      <c r="H30" s="43"/>
      <c r="I30" s="280"/>
      <c r="J30" s="8"/>
      <c r="K30" s="280"/>
      <c r="L30" s="8"/>
      <c r="M30" s="280"/>
      <c r="P30" s="8"/>
      <c r="Q30" s="280"/>
      <c r="U30" s="293"/>
      <c r="AC30" s="298">
        <v>550</v>
      </c>
      <c r="AD30" s="289">
        <v>550</v>
      </c>
      <c r="AE30" s="289">
        <f t="shared" si="7"/>
        <v>0</v>
      </c>
      <c r="AF30" s="289"/>
      <c r="AG30" s="289"/>
      <c r="AH30" s="289"/>
      <c r="AI30" s="289"/>
      <c r="AJ30" s="289"/>
      <c r="AK30" s="289"/>
      <c r="AL30" s="289"/>
    </row>
    <row r="31" spans="1:38">
      <c r="B31" s="501" t="str">
        <f>IF($C$1="ENG","door lock Soft black","замок Soft чорн.")</f>
        <v>замок Soft чорн.</v>
      </c>
      <c r="C31" s="502"/>
      <c r="D31" s="274">
        <f t="shared" si="5"/>
        <v>566.66666666666674</v>
      </c>
      <c r="E31" s="66">
        <f t="shared" ref="E31" si="9">IF($W$5=0.2,D31*1.2,D31)/$W$4</f>
        <v>680.00000000000011</v>
      </c>
      <c r="F31" s="26"/>
      <c r="G31" s="26"/>
      <c r="H31" s="43"/>
      <c r="I31" s="280"/>
      <c r="J31" s="8"/>
      <c r="K31" s="280"/>
      <c r="L31" s="8"/>
      <c r="M31" s="280"/>
      <c r="P31" s="8"/>
      <c r="Q31" s="280"/>
      <c r="U31" s="293"/>
      <c r="AC31" s="298">
        <v>680</v>
      </c>
      <c r="AD31" s="289"/>
      <c r="AE31" s="289"/>
      <c r="AF31" s="289"/>
      <c r="AG31" s="289"/>
      <c r="AH31" s="289"/>
      <c r="AI31" s="289"/>
      <c r="AJ31" s="289"/>
      <c r="AK31" s="289"/>
      <c r="AL31" s="289"/>
    </row>
    <row r="32" spans="1:38">
      <c r="B32" s="501" t="str">
        <f>IF($C$1="ENG","door lock Magnet","замок Magnet")</f>
        <v>замок Magnet</v>
      </c>
      <c r="C32" s="502"/>
      <c r="D32" s="274">
        <f t="shared" si="5"/>
        <v>666.66666666666674</v>
      </c>
      <c r="E32" s="66">
        <f t="shared" si="8"/>
        <v>800.00000000000011</v>
      </c>
      <c r="F32" s="26"/>
      <c r="G32" s="26"/>
      <c r="H32" s="43"/>
      <c r="I32" s="280"/>
      <c r="J32" s="8"/>
      <c r="K32" s="280"/>
      <c r="L32" s="8"/>
      <c r="M32" s="280"/>
      <c r="P32" s="8"/>
      <c r="Q32" s="280"/>
      <c r="U32" s="293"/>
      <c r="AC32" s="298">
        <v>800</v>
      </c>
      <c r="AD32" s="289">
        <v>800</v>
      </c>
      <c r="AE32" s="289">
        <f t="shared" si="7"/>
        <v>0</v>
      </c>
      <c r="AF32" s="289"/>
      <c r="AG32" s="289"/>
      <c r="AH32" s="289"/>
      <c r="AI32" s="289"/>
      <c r="AJ32" s="289"/>
      <c r="AK32" s="289"/>
      <c r="AL32" s="289"/>
    </row>
    <row r="33" spans="2:38">
      <c r="B33" s="501" t="str">
        <f>IF($C$1="ENG","door lock Magnet black","замок Magnet чорн.")</f>
        <v>замок Magnet чорн.</v>
      </c>
      <c r="C33" s="502"/>
      <c r="D33" s="274">
        <f t="shared" ref="D33" si="10">IF(AC33="","",(1-$W$2)*(AC33/1.2))</f>
        <v>833.33333333333337</v>
      </c>
      <c r="E33" s="66">
        <f t="shared" si="8"/>
        <v>1000</v>
      </c>
      <c r="F33" s="26"/>
      <c r="G33" s="26"/>
      <c r="H33" s="43"/>
      <c r="I33" s="280"/>
      <c r="J33" s="8"/>
      <c r="K33" s="280"/>
      <c r="L33" s="8"/>
      <c r="M33" s="280"/>
      <c r="P33" s="8"/>
      <c r="Q33" s="280"/>
      <c r="U33" s="293"/>
      <c r="AC33" s="298">
        <v>1000</v>
      </c>
      <c r="AD33" s="289">
        <v>800</v>
      </c>
      <c r="AE33" s="289">
        <f t="shared" ref="AE33" si="11">AD33/AC33-1</f>
        <v>-0.19999999999999996</v>
      </c>
      <c r="AF33" s="289"/>
      <c r="AG33" s="289"/>
      <c r="AH33" s="289"/>
      <c r="AI33" s="289"/>
      <c r="AJ33" s="289"/>
      <c r="AK33" s="289"/>
      <c r="AL33" s="289"/>
    </row>
    <row r="34" spans="2:38">
      <c r="B34" s="501" t="str">
        <f>IF($C$1="ENG","door handle-lock (for sliding doors)","ручка-замок (для дверей купе)")</f>
        <v>ручка-замок (для дверей купе)</v>
      </c>
      <c r="C34" s="502"/>
      <c r="D34" s="133">
        <f t="shared" si="5"/>
        <v>466.66666666666669</v>
      </c>
      <c r="E34" s="66">
        <f t="shared" si="8"/>
        <v>560</v>
      </c>
      <c r="F34" s="26"/>
      <c r="G34" s="26"/>
      <c r="I34" s="30"/>
      <c r="K34" s="30"/>
      <c r="AC34" s="298">
        <v>560</v>
      </c>
      <c r="AD34" s="289">
        <v>560</v>
      </c>
      <c r="AE34" s="289">
        <f t="shared" si="7"/>
        <v>0</v>
      </c>
      <c r="AF34" s="289"/>
      <c r="AG34" s="289"/>
      <c r="AH34" s="289"/>
      <c r="AI34" s="289"/>
      <c r="AJ34" s="289"/>
      <c r="AK34" s="289"/>
      <c r="AL34" s="289"/>
    </row>
    <row r="35" spans="2:38">
      <c r="B35" s="501" t="str">
        <f>IF($C$1="ENG","cylinder incert","циліндр несиметричний")</f>
        <v>циліндр несиметричний</v>
      </c>
      <c r="C35" s="502"/>
      <c r="D35" s="133">
        <f t="shared" si="5"/>
        <v>325</v>
      </c>
      <c r="E35" s="66">
        <f t="shared" si="8"/>
        <v>390</v>
      </c>
      <c r="F35" s="26"/>
      <c r="G35" s="26"/>
      <c r="I35" s="59"/>
      <c r="J35" s="28"/>
      <c r="AC35" s="298">
        <v>390</v>
      </c>
      <c r="AD35" s="289">
        <v>390</v>
      </c>
      <c r="AE35" s="289">
        <f t="shared" si="7"/>
        <v>0</v>
      </c>
      <c r="AF35" s="289"/>
      <c r="AG35" s="289"/>
      <c r="AH35" s="289"/>
      <c r="AI35" s="289"/>
      <c r="AJ35" s="289"/>
      <c r="AK35" s="289"/>
      <c r="AL35" s="289"/>
    </row>
    <row r="36" spans="2:38">
      <c r="B36" s="501" t="str">
        <f>IF($C$1="ENG","door hindge Prestige (1 unit)","завіса Prestige (1 шт)")</f>
        <v>завіса Prestige (1 шт)</v>
      </c>
      <c r="C36" s="502"/>
      <c r="D36" s="135">
        <f t="shared" si="5"/>
        <v>216.66666666666669</v>
      </c>
      <c r="E36" s="66">
        <f t="shared" si="8"/>
        <v>260</v>
      </c>
      <c r="F36" s="26"/>
      <c r="G36" s="26"/>
      <c r="I36" s="59"/>
      <c r="J36" s="28"/>
      <c r="AC36" s="298">
        <v>260</v>
      </c>
      <c r="AD36" s="289">
        <v>260</v>
      </c>
      <c r="AE36" s="289">
        <f t="shared" si="7"/>
        <v>0</v>
      </c>
      <c r="AF36" s="289"/>
      <c r="AG36" s="289"/>
      <c r="AH36" s="289"/>
      <c r="AI36" s="289"/>
      <c r="AJ36" s="289"/>
      <c r="AK36" s="289"/>
      <c r="AL36" s="289"/>
    </row>
    <row r="37" spans="2:38">
      <c r="B37" s="501" t="str">
        <f>IF($C$1="ENG","door hinge caps (1 set)","накладка на завіси (1 к-т)")</f>
        <v>накладка на завіси (1 к-т)</v>
      </c>
      <c r="C37" s="502"/>
      <c r="D37" s="135">
        <f t="shared" si="5"/>
        <v>66.666666666666671</v>
      </c>
      <c r="E37" s="66">
        <f t="shared" si="8"/>
        <v>80</v>
      </c>
      <c r="F37" s="26"/>
      <c r="G37" s="26"/>
      <c r="H37" s="26"/>
      <c r="I37" s="59"/>
      <c r="J37" s="28"/>
      <c r="AC37" s="298">
        <v>80</v>
      </c>
      <c r="AD37" s="289">
        <v>80</v>
      </c>
      <c r="AE37" s="289">
        <f t="shared" si="7"/>
        <v>0</v>
      </c>
      <c r="AF37" s="289"/>
      <c r="AG37" s="289"/>
      <c r="AH37" s="289"/>
      <c r="AI37" s="289"/>
      <c r="AJ37" s="289"/>
      <c r="AK37" s="289"/>
      <c r="AL37" s="289"/>
    </row>
    <row r="38" spans="2:38">
      <c r="B38" s="501" t="str">
        <f>IF($C$1="ENG","door handle","дверна ручка")</f>
        <v>дверна ручка</v>
      </c>
      <c r="C38" s="502"/>
      <c r="D38" s="133">
        <f t="shared" si="5"/>
        <v>0</v>
      </c>
      <c r="E38" s="136" t="str">
        <f>IF($C$1="ENG","see Handles Price","див. Таблицю Ручки")</f>
        <v>див. Таблицю Ручки</v>
      </c>
      <c r="F38" s="141"/>
      <c r="G38" s="26"/>
      <c r="AC38" s="298">
        <v>0</v>
      </c>
      <c r="AD38" s="289">
        <f t="shared" ref="AD38" si="12">AC38/100*13+AC38</f>
        <v>0</v>
      </c>
      <c r="AE38" s="289" t="e">
        <f t="shared" si="7"/>
        <v>#DIV/0!</v>
      </c>
      <c r="AF38" s="289"/>
      <c r="AG38" s="289"/>
      <c r="AH38" s="289"/>
      <c r="AI38" s="289"/>
      <c r="AJ38" s="289"/>
      <c r="AK38" s="289"/>
      <c r="AL38" s="289"/>
    </row>
    <row r="39" spans="2:38">
      <c r="B39" s="501" t="str">
        <f>IF($C$1="ENG","perforated chipboard","ДСП трубчасте")</f>
        <v>ДСП трубчасте</v>
      </c>
      <c r="C39" s="502"/>
      <c r="D39" s="134">
        <f t="shared" si="5"/>
        <v>1083.3333333333335</v>
      </c>
      <c r="E39" s="69">
        <f>IF($W$5=0.2,D39*1.2,D39)/$W$4</f>
        <v>1300.0000000000002</v>
      </c>
      <c r="F39" s="26"/>
      <c r="G39" s="26"/>
      <c r="I39" s="59"/>
      <c r="J39" s="28"/>
      <c r="AC39" s="298">
        <v>1300</v>
      </c>
      <c r="AD39" s="289">
        <v>1300</v>
      </c>
      <c r="AE39" s="289">
        <f t="shared" si="7"/>
        <v>0</v>
      </c>
      <c r="AF39" s="289"/>
      <c r="AG39" s="289"/>
      <c r="AH39" s="289"/>
      <c r="AI39" s="289"/>
      <c r="AJ39" s="289"/>
      <c r="AK39" s="289"/>
      <c r="AL39" s="289"/>
    </row>
    <row r="40" spans="2:38" ht="14.25" customHeight="1">
      <c r="C40" s="245"/>
      <c r="D40" s="26"/>
      <c r="E40" s="26"/>
      <c r="F40" s="26"/>
      <c r="G40" s="26"/>
      <c r="H40" s="10"/>
      <c r="I40" s="8"/>
      <c r="S40" s="503" t="str">
        <f>IF($C$1="ENG",CONCATENATE("down to: ",B90),CONCATENATE("вниз до: ",B90))</f>
        <v>вниз до: Полотна каркасно-щитові: КУПАВА</v>
      </c>
      <c r="T40" s="504"/>
      <c r="U40" s="504"/>
      <c r="V40" s="504"/>
      <c r="W40" s="504"/>
    </row>
    <row r="41" spans="2:38" ht="14.25" customHeight="1">
      <c r="C41" s="245"/>
      <c r="D41" s="26"/>
      <c r="E41" s="26"/>
      <c r="F41" s="26"/>
      <c r="G41" s="26"/>
      <c r="H41" s="10"/>
      <c r="I41" s="8"/>
    </row>
    <row r="42" spans="2:38" ht="14.25" customHeight="1">
      <c r="C42" s="245"/>
      <c r="D42" s="26"/>
      <c r="E42" s="26"/>
      <c r="F42" s="26"/>
      <c r="G42" s="26"/>
      <c r="H42" s="10"/>
      <c r="I42" s="8"/>
    </row>
    <row r="43" spans="2:38" ht="14.25" customHeight="1">
      <c r="C43" s="245"/>
      <c r="D43" s="26"/>
      <c r="E43" s="26"/>
      <c r="F43" s="26"/>
      <c r="G43" s="26"/>
      <c r="H43" s="10"/>
      <c r="I43" s="8"/>
    </row>
    <row r="44" spans="2:38" ht="14.25" customHeight="1">
      <c r="C44" s="245"/>
      <c r="D44" s="26"/>
      <c r="E44" s="26"/>
      <c r="F44" s="26"/>
      <c r="G44" s="26"/>
      <c r="H44" s="10"/>
      <c r="I44" s="8"/>
    </row>
    <row r="45" spans="2:38" ht="14.25" customHeight="1">
      <c r="C45" s="245"/>
      <c r="D45" s="26"/>
      <c r="E45" s="26"/>
      <c r="F45" s="26"/>
      <c r="G45" s="26"/>
      <c r="H45" s="10"/>
      <c r="I45" s="8"/>
    </row>
    <row r="46" spans="2:38" ht="14.25" customHeight="1">
      <c r="C46" s="245"/>
      <c r="D46" s="26"/>
      <c r="E46" s="26"/>
      <c r="F46" s="26"/>
      <c r="G46" s="26"/>
      <c r="H46" s="10"/>
      <c r="I46" s="8"/>
    </row>
    <row r="47" spans="2:38" ht="14.25" customHeight="1">
      <c r="C47" s="245"/>
      <c r="D47" s="26"/>
      <c r="E47" s="26"/>
      <c r="F47" s="26"/>
      <c r="G47" s="26"/>
      <c r="H47" s="10"/>
      <c r="I47" s="8"/>
    </row>
    <row r="48" spans="2:38" ht="14.25" customHeight="1">
      <c r="C48" s="245"/>
      <c r="D48" s="26"/>
      <c r="E48" s="26"/>
      <c r="F48" s="26"/>
      <c r="G48" s="26"/>
      <c r="H48" s="10"/>
      <c r="I48" s="8"/>
    </row>
    <row r="49" spans="3:9" ht="14.25" customHeight="1">
      <c r="C49" s="245"/>
      <c r="D49" s="26"/>
      <c r="E49" s="26"/>
      <c r="F49" s="26"/>
      <c r="G49" s="26"/>
      <c r="H49" s="10"/>
      <c r="I49" s="8"/>
    </row>
    <row r="50" spans="3:9" ht="14.25" customHeight="1">
      <c r="C50" s="245"/>
      <c r="D50" s="26"/>
      <c r="E50" s="26"/>
      <c r="F50" s="26"/>
      <c r="G50" s="26"/>
      <c r="H50" s="10"/>
      <c r="I50" s="8"/>
    </row>
    <row r="51" spans="3:9" ht="14.25" customHeight="1">
      <c r="C51" s="245"/>
      <c r="D51" s="26"/>
      <c r="E51" s="26"/>
      <c r="F51" s="26"/>
      <c r="G51" s="26"/>
      <c r="H51" s="10"/>
      <c r="I51" s="8"/>
    </row>
    <row r="52" spans="3:9" ht="14.25" customHeight="1">
      <c r="C52" s="245"/>
      <c r="D52" s="26"/>
      <c r="E52" s="26"/>
      <c r="F52" s="26"/>
      <c r="G52" s="26"/>
      <c r="H52" s="10"/>
      <c r="I52" s="8"/>
    </row>
    <row r="53" spans="3:9" ht="14.25" customHeight="1">
      <c r="C53" s="245"/>
      <c r="D53" s="26"/>
      <c r="E53" s="26"/>
      <c r="F53" s="26"/>
      <c r="G53" s="26"/>
      <c r="H53" s="10"/>
      <c r="I53" s="8"/>
    </row>
    <row r="54" spans="3:9" ht="14.25" customHeight="1">
      <c r="C54" s="245"/>
      <c r="D54" s="26"/>
      <c r="E54" s="26"/>
      <c r="F54" s="26"/>
      <c r="G54" s="26"/>
      <c r="H54" s="10"/>
      <c r="I54" s="8"/>
    </row>
    <row r="55" spans="3:9" ht="14.25" customHeight="1">
      <c r="C55" s="245"/>
      <c r="D55" s="26"/>
      <c r="E55" s="26"/>
      <c r="F55" s="26"/>
      <c r="G55" s="26"/>
      <c r="H55" s="10"/>
      <c r="I55" s="8"/>
    </row>
    <row r="56" spans="3:9" ht="14.25" customHeight="1">
      <c r="C56" s="245"/>
      <c r="D56" s="26"/>
      <c r="E56" s="26"/>
      <c r="F56" s="26"/>
      <c r="G56" s="26"/>
      <c r="H56" s="10"/>
      <c r="I56" s="8"/>
    </row>
    <row r="57" spans="3:9" ht="14.25" customHeight="1">
      <c r="C57" s="245"/>
      <c r="D57" s="26"/>
      <c r="E57" s="26"/>
      <c r="F57" s="26"/>
      <c r="G57" s="26"/>
      <c r="H57" s="10"/>
      <c r="I57" s="8"/>
    </row>
    <row r="58" spans="3:9" ht="14.25" customHeight="1">
      <c r="C58" s="245"/>
      <c r="D58" s="26"/>
      <c r="E58" s="26"/>
      <c r="F58" s="26"/>
      <c r="G58" s="26"/>
      <c r="H58" s="10"/>
      <c r="I58" s="8"/>
    </row>
    <row r="59" spans="3:9" ht="14.25" customHeight="1">
      <c r="C59" s="245"/>
      <c r="D59" s="26"/>
      <c r="E59" s="26"/>
      <c r="F59" s="26"/>
      <c r="G59" s="26"/>
      <c r="H59" s="10"/>
      <c r="I59" s="8"/>
    </row>
    <row r="60" spans="3:9" ht="14.25" customHeight="1">
      <c r="C60" s="245"/>
      <c r="D60" s="26"/>
      <c r="E60" s="26"/>
      <c r="F60" s="26"/>
      <c r="G60" s="26"/>
      <c r="H60" s="10"/>
      <c r="I60" s="8"/>
    </row>
    <row r="61" spans="3:9" ht="14.25" customHeight="1">
      <c r="C61" s="245"/>
      <c r="D61" s="26"/>
      <c r="E61" s="26"/>
      <c r="F61" s="26"/>
      <c r="G61" s="26"/>
      <c r="H61" s="10"/>
      <c r="I61" s="8"/>
    </row>
    <row r="62" spans="3:9" ht="14.25" customHeight="1">
      <c r="C62" s="245"/>
      <c r="D62" s="26"/>
      <c r="E62" s="26"/>
      <c r="F62" s="26"/>
      <c r="G62" s="26"/>
      <c r="H62" s="10"/>
      <c r="I62" s="8"/>
    </row>
    <row r="63" spans="3:9" ht="14.25" customHeight="1">
      <c r="C63" s="245"/>
      <c r="D63" s="26"/>
      <c r="E63" s="26"/>
      <c r="F63" s="26"/>
      <c r="G63" s="26"/>
      <c r="H63" s="10"/>
      <c r="I63" s="8"/>
    </row>
    <row r="64" spans="3:9" ht="14.25" customHeight="1">
      <c r="C64" s="245"/>
      <c r="D64" s="26"/>
      <c r="E64" s="26"/>
      <c r="F64" s="26"/>
      <c r="G64" s="26"/>
      <c r="H64" s="10"/>
      <c r="I64" s="8"/>
    </row>
    <row r="65" spans="3:9" ht="14.25" customHeight="1">
      <c r="C65" s="245"/>
      <c r="D65" s="26"/>
      <c r="E65" s="26"/>
      <c r="F65" s="26"/>
      <c r="G65" s="26"/>
      <c r="H65" s="10"/>
      <c r="I65" s="8"/>
    </row>
    <row r="66" spans="3:9" ht="14.25" customHeight="1">
      <c r="C66" s="245"/>
      <c r="D66" s="26"/>
      <c r="E66" s="26"/>
      <c r="F66" s="26"/>
      <c r="G66" s="26"/>
      <c r="H66" s="10"/>
      <c r="I66" s="8"/>
    </row>
    <row r="67" spans="3:9" ht="14.25" customHeight="1">
      <c r="C67" s="245"/>
      <c r="D67" s="26"/>
      <c r="E67" s="26"/>
      <c r="F67" s="26"/>
      <c r="G67" s="26"/>
      <c r="H67" s="10"/>
      <c r="I67" s="8"/>
    </row>
    <row r="68" spans="3:9" ht="14.25" customHeight="1">
      <c r="C68" s="245"/>
      <c r="D68" s="26"/>
      <c r="E68" s="26"/>
      <c r="F68" s="26"/>
      <c r="G68" s="26"/>
      <c r="H68" s="10"/>
      <c r="I68" s="8"/>
    </row>
    <row r="69" spans="3:9" ht="14.25" customHeight="1">
      <c r="C69" s="245"/>
      <c r="D69" s="26"/>
      <c r="E69" s="26"/>
      <c r="F69" s="26"/>
      <c r="G69" s="26"/>
      <c r="H69" s="10"/>
      <c r="I69" s="8"/>
    </row>
    <row r="70" spans="3:9" ht="14.25" customHeight="1">
      <c r="C70" s="245"/>
      <c r="D70" s="26"/>
      <c r="E70" s="26"/>
      <c r="F70" s="26"/>
      <c r="G70" s="26"/>
      <c r="H70" s="10"/>
      <c r="I70" s="8"/>
    </row>
    <row r="71" spans="3:9" ht="14.25" customHeight="1">
      <c r="C71" s="245"/>
      <c r="D71" s="26"/>
      <c r="E71" s="26"/>
      <c r="F71" s="26"/>
      <c r="G71" s="26"/>
      <c r="H71" s="10"/>
      <c r="I71" s="8"/>
    </row>
    <row r="72" spans="3:9" ht="14.25" customHeight="1">
      <c r="C72" s="245"/>
      <c r="D72" s="26"/>
      <c r="E72" s="26"/>
      <c r="F72" s="26"/>
      <c r="G72" s="26"/>
      <c r="H72" s="10"/>
      <c r="I72" s="8"/>
    </row>
    <row r="73" spans="3:9" ht="14.25" customHeight="1">
      <c r="C73" s="245"/>
      <c r="D73" s="26"/>
      <c r="E73" s="26"/>
      <c r="F73" s="26"/>
      <c r="G73" s="26"/>
      <c r="H73" s="10"/>
      <c r="I73" s="8"/>
    </row>
    <row r="74" spans="3:9" ht="14.25" customHeight="1">
      <c r="C74" s="245"/>
      <c r="D74" s="26"/>
      <c r="E74" s="26"/>
      <c r="F74" s="26"/>
      <c r="G74" s="26"/>
      <c r="H74" s="10"/>
      <c r="I74" s="8"/>
    </row>
    <row r="75" spans="3:9" ht="14.25" customHeight="1">
      <c r="C75" s="245"/>
      <c r="D75" s="26"/>
      <c r="E75" s="26"/>
      <c r="F75" s="26"/>
      <c r="G75" s="26"/>
      <c r="H75" s="10"/>
      <c r="I75" s="8"/>
    </row>
    <row r="76" spans="3:9" ht="14.25" customHeight="1">
      <c r="C76" s="245"/>
      <c r="D76" s="26"/>
      <c r="E76" s="26"/>
      <c r="F76" s="26"/>
      <c r="G76" s="26"/>
      <c r="H76" s="10"/>
      <c r="I76" s="8"/>
    </row>
    <row r="77" spans="3:9" ht="14.25" customHeight="1">
      <c r="C77" s="245"/>
      <c r="D77" s="26"/>
      <c r="E77" s="26"/>
      <c r="F77" s="26"/>
      <c r="G77" s="26"/>
      <c r="H77" s="10"/>
      <c r="I77" s="8"/>
    </row>
    <row r="78" spans="3:9" ht="14.25" customHeight="1">
      <c r="C78" s="245"/>
      <c r="D78" s="26"/>
      <c r="E78" s="26"/>
      <c r="F78" s="26"/>
      <c r="G78" s="26"/>
      <c r="H78" s="10"/>
      <c r="I78" s="8"/>
    </row>
    <row r="79" spans="3:9" ht="14.25" customHeight="1">
      <c r="C79" s="245"/>
      <c r="D79" s="26"/>
      <c r="E79" s="26"/>
      <c r="F79" s="26"/>
      <c r="G79" s="26"/>
      <c r="H79" s="10"/>
      <c r="I79" s="8"/>
    </row>
    <row r="80" spans="3:9" ht="14.25" customHeight="1">
      <c r="C80" s="245"/>
      <c r="D80" s="26"/>
      <c r="E80" s="26"/>
      <c r="F80" s="26"/>
      <c r="G80" s="26"/>
      <c r="H80" s="10"/>
      <c r="I80" s="8"/>
    </row>
    <row r="81" spans="1:46" ht="14.25" customHeight="1">
      <c r="C81" s="245"/>
      <c r="D81" s="26"/>
      <c r="E81" s="26"/>
      <c r="F81" s="26"/>
      <c r="G81" s="26"/>
      <c r="H81" s="10"/>
      <c r="I81" s="8"/>
    </row>
    <row r="82" spans="1:46" ht="14.25" customHeight="1">
      <c r="C82" s="245"/>
      <c r="D82" s="26"/>
      <c r="E82" s="26"/>
      <c r="F82" s="26"/>
      <c r="G82" s="26"/>
      <c r="H82" s="10"/>
      <c r="I82" s="8"/>
    </row>
    <row r="83" spans="1:46" ht="14.25" customHeight="1">
      <c r="C83" s="245"/>
      <c r="D83" s="26"/>
      <c r="E83" s="26"/>
      <c r="F83" s="26"/>
      <c r="G83" s="26"/>
      <c r="H83" s="10"/>
      <c r="I83" s="8"/>
    </row>
    <row r="84" spans="1:46" ht="14.25" customHeight="1">
      <c r="C84" s="245"/>
      <c r="D84" s="26"/>
      <c r="E84" s="26"/>
      <c r="F84" s="26"/>
      <c r="G84" s="26"/>
      <c r="H84" s="10"/>
      <c r="I84" s="8"/>
    </row>
    <row r="85" spans="1:46" ht="14.25" customHeight="1">
      <c r="C85" s="245"/>
      <c r="D85" s="26"/>
      <c r="E85" s="26"/>
      <c r="F85" s="26"/>
      <c r="G85" s="26"/>
      <c r="H85" s="10"/>
      <c r="I85" s="8"/>
    </row>
    <row r="86" spans="1:46" ht="14.25" customHeight="1">
      <c r="C86" s="245"/>
      <c r="D86" s="26"/>
      <c r="E86" s="26"/>
      <c r="F86" s="26"/>
      <c r="G86" s="26"/>
      <c r="H86" s="10"/>
      <c r="I86" s="8"/>
    </row>
    <row r="87" spans="1:46" ht="14.25" customHeight="1">
      <c r="C87" s="245"/>
      <c r="D87" s="26"/>
      <c r="E87" s="26"/>
      <c r="F87" s="26"/>
      <c r="G87" s="26"/>
      <c r="H87" s="10"/>
      <c r="I87" s="8"/>
    </row>
    <row r="88" spans="1:46" ht="14.25" customHeight="1">
      <c r="C88" s="245"/>
      <c r="D88" s="26"/>
      <c r="E88" s="26"/>
      <c r="F88" s="26"/>
      <c r="G88" s="26"/>
      <c r="H88" s="10"/>
      <c r="I88" s="8"/>
    </row>
    <row r="89" spans="1:46" ht="14.25" customHeight="1">
      <c r="C89" s="245"/>
      <c r="D89" s="26"/>
      <c r="E89" s="26"/>
      <c r="F89" s="26"/>
      <c r="G89" s="26"/>
      <c r="H89" s="10"/>
      <c r="I89" s="8"/>
    </row>
    <row r="90" spans="1:46" s="8" customFormat="1">
      <c r="B90" s="494" t="str">
        <f>TITLE!$C$9</f>
        <v>Полотна каркасно-щитові: КУПАВА</v>
      </c>
      <c r="C90" s="494"/>
      <c r="D90" s="118"/>
      <c r="E90" s="118"/>
      <c r="F90" s="118"/>
      <c r="G90" s="118"/>
      <c r="H90" s="118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517" t="str">
        <f>IF($C$1="ENG",CONCATENATE("up to: ",B10),CONCATENATE("вгору до: ",B10))</f>
        <v>вгору до: Полотна каркасно-щитові: СТАНДАРТ</v>
      </c>
      <c r="T90" s="527"/>
      <c r="U90" s="527"/>
      <c r="V90" s="527"/>
      <c r="W90" s="527"/>
      <c r="AN90" s="280"/>
      <c r="AO90" s="280"/>
      <c r="AP90" s="280"/>
      <c r="AQ90" s="280"/>
      <c r="AR90" s="280"/>
      <c r="AS90" s="280"/>
      <c r="AT90" s="280"/>
    </row>
    <row r="91" spans="1:46" s="8" customFormat="1" ht="5.0999999999999996" customHeight="1">
      <c r="B91" s="117"/>
      <c r="C91" s="420"/>
      <c r="D91" s="9"/>
      <c r="E91" s="9"/>
      <c r="F91" s="10"/>
      <c r="G91" s="10"/>
      <c r="H91" s="10"/>
      <c r="T91" s="115"/>
      <c r="U91" s="115"/>
      <c r="V91" s="115"/>
      <c r="W91" s="115"/>
      <c r="AN91" s="280"/>
      <c r="AO91" s="280"/>
      <c r="AP91" s="280"/>
      <c r="AQ91" s="280"/>
      <c r="AR91" s="280"/>
      <c r="AS91" s="280"/>
      <c r="AT91" s="280"/>
    </row>
    <row r="92" spans="1:46" s="8" customFormat="1" ht="12.75" customHeight="1">
      <c r="B92" s="509" t="str">
        <f>IF($C$1="ENG","model","модель")</f>
        <v>модель</v>
      </c>
      <c r="C92" s="122" t="str">
        <f>IF($C$1="ENG","cover:","покриття:")</f>
        <v>покриття:</v>
      </c>
      <c r="D92" s="498" t="str">
        <f>IF($C$1="ENG","SIMPL / V-CELL","SIMPL / V-CELL")</f>
        <v>SIMPL / V-CELL</v>
      </c>
      <c r="E92" s="500"/>
      <c r="F92" s="498" t="str">
        <f>IF($C$1="ENG","UNI-MAT","UNI-MAT")</f>
        <v>UNI-MAT</v>
      </c>
      <c r="G92" s="500"/>
      <c r="H92" s="46"/>
      <c r="I92" s="46"/>
      <c r="J92" s="46"/>
      <c r="K92" s="46"/>
      <c r="T92" s="115"/>
      <c r="U92" s="115"/>
      <c r="V92" s="115"/>
      <c r="W92" s="115"/>
      <c r="AN92" s="280"/>
      <c r="AO92" s="280"/>
      <c r="AP92" s="280"/>
      <c r="AQ92" s="280"/>
      <c r="AR92" s="280"/>
      <c r="AS92" s="280"/>
      <c r="AT92" s="280"/>
    </row>
    <row r="93" spans="1:46" ht="12.75" customHeight="1">
      <c r="A93" s="8"/>
      <c r="B93" s="510"/>
      <c r="C93" s="123" t="str">
        <f>IF($C$1="ENG","filling:","заповнення:")</f>
        <v>заповнення:</v>
      </c>
      <c r="D93" s="505" t="str">
        <f>IF($C$1="ENG","honeycomb core ","сотове заповнення")</f>
        <v>сотове заповнення</v>
      </c>
      <c r="E93" s="506"/>
      <c r="F93" s="505" t="str">
        <f>IF($C$1="ENG","honeycomb core ","сотове заповнення")</f>
        <v>сотове заповнення</v>
      </c>
      <c r="G93" s="506"/>
      <c r="H93" s="46"/>
      <c r="I93" s="46"/>
      <c r="J93" s="46"/>
      <c r="K93" s="46"/>
      <c r="L93" s="11"/>
      <c r="M93" s="11"/>
      <c r="P93" s="11"/>
      <c r="Q93" s="11"/>
    </row>
    <row r="94" spans="1:46" ht="12.75" customHeight="1">
      <c r="A94" s="8"/>
      <c r="B94" s="511"/>
      <c r="C94" s="124" t="str">
        <f>IF($C$1="ENG","glazing:","скління:")</f>
        <v>скління:</v>
      </c>
      <c r="D94" s="489" t="str">
        <f>IF($C$1="ENG","Krizet","Кризет")</f>
        <v>Кризет</v>
      </c>
      <c r="E94" s="492"/>
      <c r="F94" s="489" t="str">
        <f>IF($C$1="ENG","Krizet","Кризет")</f>
        <v>Кризет</v>
      </c>
      <c r="G94" s="492"/>
      <c r="H94" s="47"/>
      <c r="I94" s="47"/>
      <c r="J94" s="47"/>
      <c r="K94" s="131"/>
      <c r="L94" s="11"/>
      <c r="M94" s="11"/>
      <c r="P94" s="11"/>
      <c r="Q94" s="11"/>
      <c r="AC94" s="1" t="str">
        <f>D92</f>
        <v>SIMPL / V-CELL</v>
      </c>
      <c r="AD94" s="1" t="str">
        <f>F92</f>
        <v>UNI-MAT</v>
      </c>
    </row>
    <row r="95" spans="1:46" ht="35.1" customHeight="1">
      <c r="A95" s="8"/>
      <c r="B95" s="16" t="s">
        <v>17</v>
      </c>
      <c r="C95" s="17"/>
      <c r="D95" s="18">
        <f>IF(AC95="","",(1-$W$2)*(AC95/1.2))</f>
        <v>2975</v>
      </c>
      <c r="E95" s="66">
        <f>IF($W$5=0.2,D95*1.2,D95)/$W$4</f>
        <v>3570</v>
      </c>
      <c r="F95" s="18">
        <f>IF(AD95="","",(1-$W$2)*(AD95/1.2))</f>
        <v>3425</v>
      </c>
      <c r="G95" s="66">
        <f>IF($W$5=0.2,F95*1.2,F95)/$W$4</f>
        <v>4110</v>
      </c>
      <c r="H95" s="28"/>
      <c r="I95" s="59"/>
      <c r="J95" s="28"/>
      <c r="K95" s="59"/>
      <c r="L95" s="104"/>
      <c r="M95" s="59"/>
      <c r="N95" s="104"/>
      <c r="O95" s="59"/>
      <c r="P95" s="104"/>
      <c r="Q95" s="59"/>
      <c r="R95" s="104"/>
      <c r="S95" s="59"/>
      <c r="T95" s="104"/>
      <c r="U95" s="20"/>
      <c r="V95" s="104"/>
      <c r="W95" s="20"/>
      <c r="AC95" s="332">
        <v>3570</v>
      </c>
      <c r="AD95" s="332">
        <v>4110</v>
      </c>
      <c r="AE95" s="289">
        <v>3570</v>
      </c>
      <c r="AF95" s="289">
        <v>4110</v>
      </c>
      <c r="AG95" s="289">
        <f>AE95/AC95-1</f>
        <v>0</v>
      </c>
      <c r="AH95" s="289">
        <f>AF95/AD95-1</f>
        <v>0</v>
      </c>
      <c r="AI95" s="289"/>
      <c r="AJ95" s="289"/>
      <c r="AK95" s="289"/>
      <c r="AL95" s="289"/>
    </row>
    <row r="96" spans="1:46" ht="35.1" customHeight="1">
      <c r="A96" s="8"/>
      <c r="B96" s="23" t="s">
        <v>20</v>
      </c>
      <c r="C96" s="24"/>
      <c r="D96" s="25">
        <f>IF(AC96="","",(1-$W$2)*(AC96/1.2))</f>
        <v>3383.3333333333335</v>
      </c>
      <c r="E96" s="69">
        <f>IF($W$5=0.2,D96*1.2,D96)/$W$4</f>
        <v>4060</v>
      </c>
      <c r="F96" s="25">
        <f>IF(AD96="","",(1-$W$2)*(AD96/1.2))</f>
        <v>3883.3333333333335</v>
      </c>
      <c r="G96" s="69">
        <f>IF($W$5=0.2,F96*1.2,F96)/$W$4</f>
        <v>4660</v>
      </c>
      <c r="H96" s="28"/>
      <c r="I96" s="59"/>
      <c r="J96" s="28"/>
      <c r="K96" s="59"/>
      <c r="L96" s="104"/>
      <c r="M96" s="59"/>
      <c r="N96" s="104"/>
      <c r="O96" s="59"/>
      <c r="P96" s="104"/>
      <c r="Q96" s="59"/>
      <c r="R96" s="104"/>
      <c r="S96" s="59"/>
      <c r="T96" s="104"/>
      <c r="U96" s="20"/>
      <c r="V96" s="104"/>
      <c r="W96" s="20"/>
      <c r="AC96" s="332">
        <v>4060</v>
      </c>
      <c r="AD96" s="332">
        <v>4660</v>
      </c>
      <c r="AE96" s="289">
        <v>4060</v>
      </c>
      <c r="AF96" s="289">
        <v>4660</v>
      </c>
      <c r="AG96" s="289">
        <f>AE96/AC96-1</f>
        <v>0</v>
      </c>
      <c r="AH96" s="289">
        <f>AF96/AD96-1</f>
        <v>0</v>
      </c>
      <c r="AI96" s="289"/>
      <c r="AJ96" s="289"/>
      <c r="AK96" s="289"/>
      <c r="AL96" s="289"/>
    </row>
    <row r="97" spans="2:38">
      <c r="C97" s="245"/>
      <c r="D97" s="26"/>
      <c r="E97" s="26"/>
      <c r="F97" s="26"/>
      <c r="G97" s="26"/>
      <c r="H97" s="60"/>
      <c r="I97" s="48"/>
      <c r="J97" s="48"/>
      <c r="K97" s="48"/>
    </row>
    <row r="98" spans="2:38">
      <c r="B98" s="212" t="str">
        <f>IF($C$1="ENG","For additonal charge:","Послуги за додаткову плату:")</f>
        <v>Послуги за додаткову плату:</v>
      </c>
      <c r="C98" s="421"/>
      <c r="D98" s="213"/>
      <c r="E98" s="214"/>
      <c r="F98" s="26"/>
      <c r="G98" s="26"/>
      <c r="H98" s="60"/>
      <c r="I98" s="48"/>
      <c r="J98" s="48"/>
      <c r="K98" s="48"/>
    </row>
    <row r="99" spans="2:38" ht="5.0999999999999996" customHeight="1">
      <c r="B99" s="27"/>
      <c r="C99" s="245"/>
      <c r="D99" s="127"/>
      <c r="E99" s="26"/>
      <c r="F99" s="26"/>
      <c r="G99" s="26"/>
      <c r="H99" s="5"/>
    </row>
    <row r="100" spans="2:38">
      <c r="B100" s="514" t="str">
        <f>IF($C$1="ENG","Ventilation cut","вентиляційний підріз")</f>
        <v>вентиляційний підріз</v>
      </c>
      <c r="C100" s="515"/>
      <c r="D100" s="405">
        <f>IF(AC100="","",(1-$W$2)*(AC100/1.2))</f>
        <v>141.66666666666669</v>
      </c>
      <c r="E100" s="92">
        <f>IF($W$5=0.2,D100*1.2,D100)/$W$4</f>
        <v>170.00000000000003</v>
      </c>
      <c r="F100" s="26"/>
      <c r="G100" s="26"/>
      <c r="I100" s="59"/>
      <c r="J100" s="28"/>
      <c r="AC100" s="298">
        <v>170</v>
      </c>
      <c r="AD100" s="289">
        <v>170</v>
      </c>
      <c r="AE100" s="289">
        <f>AD100/AC100-1</f>
        <v>0</v>
      </c>
      <c r="AF100" s="289"/>
      <c r="AG100" s="289"/>
      <c r="AH100" s="289"/>
      <c r="AI100" s="289"/>
      <c r="AJ100" s="289"/>
      <c r="AK100" s="289"/>
      <c r="AL100" s="289"/>
    </row>
    <row r="101" spans="2:38">
      <c r="B101" s="501" t="str">
        <f>IF($C$1="ENG","third door hindge","третя завіса")</f>
        <v>третя завіса</v>
      </c>
      <c r="C101" s="502"/>
      <c r="D101" s="406">
        <f t="shared" ref="D101:D113" si="13">IF(AC101="","",(1-$W$2)*(AC101/1.2))</f>
        <v>66.666666666666671</v>
      </c>
      <c r="E101" s="93">
        <f>IF($W$5=0.2,D101*1.2,D101)/$W$4</f>
        <v>80</v>
      </c>
      <c r="F101" s="26"/>
      <c r="G101" s="26"/>
      <c r="H101" s="5"/>
      <c r="I101" s="390"/>
      <c r="AC101" s="298">
        <v>80</v>
      </c>
      <c r="AD101" s="289">
        <v>80</v>
      </c>
      <c r="AE101" s="289">
        <f t="shared" ref="AE101:AE113" si="14">AD101/AC101-1</f>
        <v>0</v>
      </c>
      <c r="AF101" s="289"/>
      <c r="AG101" s="289"/>
      <c r="AH101" s="289"/>
      <c r="AI101" s="289"/>
      <c r="AJ101" s="289"/>
      <c r="AK101" s="289"/>
      <c r="AL101" s="289"/>
    </row>
    <row r="102" spans="2:38">
      <c r="B102" s="501" t="str">
        <f>IF($C$1="ENG","glazing Satin","скло Сатин")</f>
        <v>скло Сатин</v>
      </c>
      <c r="C102" s="502"/>
      <c r="D102" s="405">
        <f t="shared" si="13"/>
        <v>283.33333333333337</v>
      </c>
      <c r="E102" s="93">
        <f t="shared" ref="E102:E111" si="15">IF($W$5=0.2,D102*1.2,D102)/$W$4</f>
        <v>340.00000000000006</v>
      </c>
      <c r="F102" s="141"/>
      <c r="G102" s="141"/>
      <c r="AC102" s="298">
        <v>340</v>
      </c>
      <c r="AD102" s="289">
        <v>340</v>
      </c>
      <c r="AE102" s="289">
        <f t="shared" si="14"/>
        <v>0</v>
      </c>
      <c r="AF102" s="289"/>
      <c r="AG102" s="289"/>
      <c r="AH102" s="289"/>
      <c r="AI102" s="289"/>
      <c r="AJ102" s="289"/>
      <c r="AK102" s="289"/>
      <c r="AL102" s="289"/>
    </row>
    <row r="103" spans="2:38">
      <c r="B103" s="501" t="str">
        <f>IF($C$1="ENG","glazing Graphite / Bronze","скло Графіт / Бронза")</f>
        <v>скло Графіт / Бронза</v>
      </c>
      <c r="C103" s="502"/>
      <c r="D103" s="405">
        <f>IF(AC103="","",(1-$W$2)*(AC103/1.2))</f>
        <v>458.33333333333337</v>
      </c>
      <c r="E103" s="93">
        <f t="shared" si="15"/>
        <v>550</v>
      </c>
      <c r="F103" s="141"/>
      <c r="G103" s="141"/>
      <c r="AC103" s="298">
        <v>550</v>
      </c>
      <c r="AD103" s="289">
        <v>550</v>
      </c>
      <c r="AE103" s="289">
        <f t="shared" si="14"/>
        <v>0</v>
      </c>
      <c r="AF103" s="289"/>
      <c r="AG103" s="289"/>
      <c r="AH103" s="289"/>
      <c r="AI103" s="289"/>
      <c r="AJ103" s="289"/>
      <c r="AK103" s="289"/>
      <c r="AL103" s="289"/>
    </row>
    <row r="104" spans="2:38">
      <c r="B104" s="501" t="str">
        <f>IF($C$1="ENG","door lock Soft","замок Soft")</f>
        <v>замок Soft</v>
      </c>
      <c r="C104" s="502"/>
      <c r="D104" s="407">
        <f t="shared" si="13"/>
        <v>458.33333333333337</v>
      </c>
      <c r="E104" s="93">
        <f t="shared" si="15"/>
        <v>550</v>
      </c>
      <c r="F104" s="26"/>
      <c r="G104" s="26"/>
      <c r="H104" s="5"/>
      <c r="AC104" s="298">
        <v>550</v>
      </c>
      <c r="AD104" s="289">
        <v>550</v>
      </c>
      <c r="AE104" s="289">
        <f t="shared" si="14"/>
        <v>0</v>
      </c>
      <c r="AF104" s="289"/>
      <c r="AG104" s="289"/>
      <c r="AH104" s="289"/>
      <c r="AI104" s="289"/>
      <c r="AJ104" s="289"/>
      <c r="AK104" s="289"/>
      <c r="AL104" s="289"/>
    </row>
    <row r="105" spans="2:38">
      <c r="B105" s="501" t="str">
        <f>IF($C$1="ENG","door lock Soft black","замок Soft чорн.")</f>
        <v>замок Soft чорн.</v>
      </c>
      <c r="C105" s="502"/>
      <c r="D105" s="407">
        <f t="shared" ref="D105" si="16">IF(AC105="","",(1-$W$2)*(AC105/1.2))</f>
        <v>566.66666666666674</v>
      </c>
      <c r="E105" s="93">
        <f t="shared" ref="E105" si="17">IF($W$5=0.2,D105*1.2,D105)/$W$4</f>
        <v>680.00000000000011</v>
      </c>
      <c r="F105" s="26"/>
      <c r="G105" s="26"/>
      <c r="H105" s="5"/>
      <c r="AC105" s="298">
        <v>680</v>
      </c>
      <c r="AD105" s="289"/>
      <c r="AE105" s="289"/>
      <c r="AF105" s="289"/>
      <c r="AG105" s="289"/>
      <c r="AH105" s="289"/>
      <c r="AI105" s="289"/>
      <c r="AJ105" s="289"/>
      <c r="AK105" s="289"/>
      <c r="AL105" s="289"/>
    </row>
    <row r="106" spans="2:38">
      <c r="B106" s="501" t="str">
        <f>IF($C$1="ENG","door lock Magnet","замок Magnet")</f>
        <v>замок Magnet</v>
      </c>
      <c r="C106" s="502"/>
      <c r="D106" s="407">
        <f t="shared" si="13"/>
        <v>666.66666666666674</v>
      </c>
      <c r="E106" s="93">
        <f t="shared" si="15"/>
        <v>800.00000000000011</v>
      </c>
      <c r="F106" s="26"/>
      <c r="G106" s="26"/>
      <c r="H106" s="5"/>
      <c r="AC106" s="298">
        <v>800</v>
      </c>
      <c r="AD106" s="289">
        <v>800</v>
      </c>
      <c r="AE106" s="289">
        <f t="shared" si="14"/>
        <v>0</v>
      </c>
      <c r="AF106" s="289"/>
      <c r="AG106" s="289"/>
      <c r="AH106" s="289"/>
      <c r="AI106" s="289"/>
      <c r="AJ106" s="289"/>
      <c r="AK106" s="289"/>
      <c r="AL106" s="289"/>
    </row>
    <row r="107" spans="2:38">
      <c r="B107" s="411"/>
      <c r="C107" s="411" t="str">
        <f>IF($C$1="ENG","door lock Magnet black","замок Magnet чорн.")</f>
        <v>замок Magnet чорн.</v>
      </c>
      <c r="D107" s="416">
        <f t="shared" si="13"/>
        <v>833.33333333333337</v>
      </c>
      <c r="E107" s="93">
        <f t="shared" si="15"/>
        <v>1000</v>
      </c>
      <c r="F107" s="26"/>
      <c r="G107" s="26"/>
      <c r="H107" s="5"/>
      <c r="AC107" s="298">
        <v>1000</v>
      </c>
      <c r="AD107" s="289"/>
      <c r="AE107" s="289"/>
      <c r="AF107" s="289"/>
      <c r="AG107" s="289"/>
      <c r="AH107" s="289"/>
      <c r="AI107" s="289"/>
      <c r="AJ107" s="289"/>
      <c r="AK107" s="289"/>
      <c r="AL107" s="289"/>
    </row>
    <row r="108" spans="2:38">
      <c r="B108" s="501" t="str">
        <f>IF($C$1="ENG","door handle-lock (for sliding doors)","ручка-замок (для дверей купе)")</f>
        <v>ручка-замок (для дверей купе)</v>
      </c>
      <c r="C108" s="502"/>
      <c r="D108" s="407">
        <f t="shared" si="13"/>
        <v>466.66666666666669</v>
      </c>
      <c r="E108" s="93">
        <f t="shared" si="15"/>
        <v>560</v>
      </c>
      <c r="F108" s="26"/>
      <c r="G108" s="26"/>
      <c r="H108" s="5"/>
      <c r="AC108" s="298">
        <v>560</v>
      </c>
      <c r="AD108" s="289">
        <v>560</v>
      </c>
      <c r="AE108" s="289">
        <f t="shared" si="14"/>
        <v>0</v>
      </c>
      <c r="AF108" s="289"/>
      <c r="AG108" s="289"/>
      <c r="AH108" s="289"/>
      <c r="AI108" s="289"/>
      <c r="AJ108" s="289"/>
      <c r="AK108" s="289"/>
      <c r="AL108" s="289"/>
    </row>
    <row r="109" spans="2:38">
      <c r="B109" s="501" t="str">
        <f>IF($C$1="ENG","cylinder incert","циліндр несиметричний")</f>
        <v>циліндр несиметричний</v>
      </c>
      <c r="C109" s="502"/>
      <c r="D109" s="405">
        <f t="shared" si="13"/>
        <v>325</v>
      </c>
      <c r="E109" s="93">
        <f t="shared" si="15"/>
        <v>390</v>
      </c>
      <c r="F109" s="26"/>
      <c r="G109" s="26"/>
      <c r="AC109" s="298">
        <v>390</v>
      </c>
      <c r="AD109" s="289">
        <v>390</v>
      </c>
      <c r="AE109" s="289">
        <f t="shared" si="14"/>
        <v>0</v>
      </c>
      <c r="AF109" s="289"/>
      <c r="AG109" s="289"/>
      <c r="AH109" s="289"/>
      <c r="AI109" s="289"/>
      <c r="AJ109" s="289"/>
      <c r="AK109" s="289"/>
      <c r="AL109" s="289"/>
    </row>
    <row r="110" spans="2:38">
      <c r="B110" s="501" t="str">
        <f>IF($C$1="ENG","door hindge Prestige (1 unit)","завіса Prestige (1 шт)")</f>
        <v>завіса Prestige (1 шт)</v>
      </c>
      <c r="C110" s="502"/>
      <c r="D110" s="408">
        <f t="shared" si="13"/>
        <v>216.66666666666669</v>
      </c>
      <c r="E110" s="93">
        <f t="shared" si="15"/>
        <v>260</v>
      </c>
      <c r="F110" s="26"/>
      <c r="G110" s="26"/>
      <c r="AC110" s="298">
        <v>260</v>
      </c>
      <c r="AD110" s="289">
        <v>260</v>
      </c>
      <c r="AE110" s="289">
        <f t="shared" si="14"/>
        <v>0</v>
      </c>
      <c r="AF110" s="289"/>
      <c r="AG110" s="289"/>
      <c r="AH110" s="289"/>
      <c r="AI110" s="289"/>
      <c r="AJ110" s="289"/>
      <c r="AK110" s="289"/>
      <c r="AL110" s="289"/>
    </row>
    <row r="111" spans="2:38">
      <c r="B111" s="501" t="str">
        <f>IF($C$1="ENG","door hinge caps (1 set)","накладка на завіси (1 к-т)")</f>
        <v>накладка на завіси (1 к-т)</v>
      </c>
      <c r="C111" s="502"/>
      <c r="D111" s="408">
        <f t="shared" si="13"/>
        <v>66.666666666666671</v>
      </c>
      <c r="E111" s="93">
        <f t="shared" si="15"/>
        <v>80</v>
      </c>
      <c r="F111" s="26"/>
      <c r="G111" s="26"/>
      <c r="AC111" s="298">
        <v>80</v>
      </c>
      <c r="AD111" s="289">
        <v>80</v>
      </c>
      <c r="AE111" s="289">
        <f t="shared" si="14"/>
        <v>0</v>
      </c>
      <c r="AF111" s="289"/>
      <c r="AG111" s="289"/>
      <c r="AH111" s="289"/>
      <c r="AI111" s="289"/>
      <c r="AJ111" s="289"/>
      <c r="AK111" s="289"/>
      <c r="AL111" s="289"/>
    </row>
    <row r="112" spans="2:38">
      <c r="B112" s="501" t="str">
        <f>IF($C$1="ENG","door handle","дверна ручка")</f>
        <v>дверна ручка</v>
      </c>
      <c r="C112" s="502"/>
      <c r="D112" s="405">
        <f t="shared" si="13"/>
        <v>0</v>
      </c>
      <c r="E112" s="296" t="str">
        <f>IF($C$1="ENG","see Handles Price","див. Таблицю Ручки")</f>
        <v>див. Таблицю Ручки</v>
      </c>
      <c r="F112" s="26"/>
      <c r="G112" s="26"/>
      <c r="AC112" s="298">
        <f t="shared" ref="AC112:AD112" si="18">AB112/100*13+AB112</f>
        <v>0</v>
      </c>
      <c r="AD112" s="289">
        <f t="shared" si="18"/>
        <v>0</v>
      </c>
      <c r="AE112" s="289" t="e">
        <f t="shared" si="14"/>
        <v>#DIV/0!</v>
      </c>
      <c r="AF112" s="289"/>
      <c r="AG112" s="289"/>
      <c r="AH112" s="289"/>
      <c r="AI112" s="289"/>
      <c r="AJ112" s="289"/>
      <c r="AK112" s="289"/>
      <c r="AL112" s="289"/>
    </row>
    <row r="113" spans="2:38">
      <c r="B113" s="501" t="str">
        <f>IF($C$1="ENG","perforated chipboard","ДСП трубчасте")</f>
        <v>ДСП трубчасте</v>
      </c>
      <c r="C113" s="502"/>
      <c r="D113" s="409">
        <f t="shared" si="13"/>
        <v>1083.3333333333335</v>
      </c>
      <c r="E113" s="94">
        <f>IF($W$5=0.2,D113*1.2,D113)/$W$4</f>
        <v>1300.0000000000002</v>
      </c>
      <c r="F113" s="26"/>
      <c r="G113" s="26"/>
      <c r="AC113" s="298">
        <v>1300</v>
      </c>
      <c r="AD113" s="289">
        <v>1300</v>
      </c>
      <c r="AE113" s="289">
        <f t="shared" si="14"/>
        <v>0</v>
      </c>
      <c r="AF113" s="289"/>
      <c r="AG113" s="289"/>
      <c r="AH113" s="289"/>
      <c r="AI113" s="289"/>
      <c r="AJ113" s="289"/>
      <c r="AK113" s="289"/>
      <c r="AL113" s="289"/>
    </row>
    <row r="114" spans="2:38" ht="14.25" customHeight="1">
      <c r="C114" s="245"/>
      <c r="D114" s="26"/>
      <c r="E114" s="26"/>
      <c r="F114" s="26"/>
      <c r="G114" s="26"/>
      <c r="H114" s="5"/>
      <c r="S114" s="503" t="str">
        <f>IF($C$1="ENG",CONCATENATE("down to: B209",),CONCATENATE("вниз до: ",B164))</f>
        <v>вниз до: Полотна каркасно-щитові: ГЕОМЕТРІЯ</v>
      </c>
      <c r="T114" s="504"/>
      <c r="U114" s="504"/>
      <c r="V114" s="504"/>
      <c r="W114" s="504"/>
    </row>
    <row r="115" spans="2:38" ht="14.25" customHeight="1">
      <c r="C115" s="245"/>
      <c r="D115" s="26"/>
      <c r="E115" s="26"/>
      <c r="F115" s="26"/>
      <c r="G115" s="26"/>
      <c r="H115" s="5"/>
    </row>
    <row r="116" spans="2:38" ht="14.25" customHeight="1">
      <c r="C116" s="245"/>
      <c r="D116" s="26"/>
      <c r="F116" s="26"/>
      <c r="G116" s="26"/>
      <c r="H116" s="5"/>
    </row>
    <row r="117" spans="2:38" ht="14.25" customHeight="1">
      <c r="C117" s="245"/>
      <c r="D117" s="26"/>
      <c r="E117" s="26"/>
      <c r="F117" s="26"/>
      <c r="G117" s="26"/>
      <c r="H117" s="5"/>
    </row>
    <row r="118" spans="2:38" ht="14.25" customHeight="1">
      <c r="C118" s="245"/>
      <c r="D118" s="26"/>
      <c r="E118" s="26"/>
      <c r="F118" s="26"/>
      <c r="G118" s="26"/>
      <c r="H118" s="5"/>
    </row>
    <row r="119" spans="2:38" ht="14.25" customHeight="1">
      <c r="C119" s="245"/>
      <c r="D119" s="26"/>
      <c r="E119" s="26"/>
      <c r="F119" s="26"/>
      <c r="G119" s="26"/>
      <c r="H119" s="5"/>
    </row>
    <row r="120" spans="2:38" ht="14.25" customHeight="1">
      <c r="C120" s="245"/>
      <c r="D120" s="26"/>
      <c r="E120" s="26"/>
      <c r="F120" s="26"/>
      <c r="G120" s="26"/>
      <c r="H120" s="5"/>
    </row>
    <row r="121" spans="2:38" ht="14.25" customHeight="1">
      <c r="C121" s="245"/>
      <c r="D121" s="26"/>
      <c r="E121" s="26"/>
      <c r="F121" s="26"/>
      <c r="G121" s="26"/>
      <c r="H121" s="5"/>
    </row>
    <row r="122" spans="2:38" ht="14.25" customHeight="1">
      <c r="C122" s="245"/>
      <c r="D122" s="26"/>
      <c r="E122" s="26"/>
      <c r="F122" s="26"/>
      <c r="G122" s="26"/>
      <c r="H122" s="5"/>
    </row>
    <row r="123" spans="2:38" ht="14.25" customHeight="1">
      <c r="C123" s="245"/>
      <c r="D123" s="26"/>
      <c r="E123" s="26"/>
      <c r="F123" s="26"/>
      <c r="G123" s="26"/>
      <c r="H123" s="5"/>
    </row>
    <row r="124" spans="2:38" ht="14.25" customHeight="1">
      <c r="C124" s="245"/>
      <c r="D124" s="26"/>
      <c r="E124" s="26"/>
      <c r="F124" s="26"/>
      <c r="G124" s="26"/>
      <c r="H124" s="5"/>
    </row>
    <row r="125" spans="2:38" ht="14.25" customHeight="1">
      <c r="C125" s="245"/>
      <c r="D125" s="26"/>
      <c r="E125" s="26"/>
      <c r="F125" s="26"/>
      <c r="G125" s="26"/>
      <c r="H125" s="5"/>
    </row>
    <row r="126" spans="2:38" ht="14.25" customHeight="1">
      <c r="C126" s="245"/>
      <c r="D126" s="26"/>
      <c r="E126" s="26"/>
      <c r="F126" s="26"/>
      <c r="G126" s="26"/>
      <c r="H126" s="5"/>
    </row>
    <row r="127" spans="2:38" ht="14.25" customHeight="1">
      <c r="C127" s="245"/>
      <c r="D127" s="26"/>
      <c r="E127" s="26"/>
      <c r="F127" s="26"/>
      <c r="G127" s="26"/>
      <c r="H127" s="5"/>
    </row>
    <row r="128" spans="2:38" ht="14.25" customHeight="1">
      <c r="C128" s="245"/>
      <c r="D128" s="26"/>
      <c r="E128" s="26"/>
      <c r="F128" s="26"/>
      <c r="G128" s="26"/>
      <c r="H128" s="5"/>
    </row>
    <row r="129" spans="3:8" ht="14.25" customHeight="1">
      <c r="C129" s="245"/>
      <c r="D129" s="26"/>
      <c r="E129" s="26"/>
      <c r="F129" s="26"/>
      <c r="G129" s="26"/>
      <c r="H129" s="5"/>
    </row>
    <row r="130" spans="3:8" ht="14.25" customHeight="1">
      <c r="C130" s="245"/>
      <c r="D130" s="26"/>
      <c r="E130" s="26"/>
      <c r="F130" s="26"/>
      <c r="G130" s="26"/>
      <c r="H130" s="5"/>
    </row>
    <row r="131" spans="3:8" ht="14.25" customHeight="1">
      <c r="C131" s="245"/>
      <c r="D131" s="26"/>
      <c r="E131" s="26"/>
      <c r="F131" s="26"/>
      <c r="G131" s="26"/>
      <c r="H131" s="5"/>
    </row>
    <row r="132" spans="3:8" ht="14.25" customHeight="1">
      <c r="C132" s="245"/>
      <c r="D132" s="26"/>
      <c r="E132" s="26"/>
      <c r="F132" s="26"/>
      <c r="G132" s="26"/>
      <c r="H132" s="5"/>
    </row>
    <row r="133" spans="3:8" ht="14.25" customHeight="1">
      <c r="C133" s="245"/>
      <c r="D133" s="26"/>
      <c r="E133" s="26"/>
      <c r="F133" s="26"/>
      <c r="G133" s="26"/>
      <c r="H133" s="5"/>
    </row>
    <row r="134" spans="3:8" ht="14.25" customHeight="1">
      <c r="C134" s="245"/>
      <c r="D134" s="26"/>
      <c r="E134" s="26"/>
      <c r="F134" s="26"/>
      <c r="G134" s="26"/>
      <c r="H134" s="5"/>
    </row>
    <row r="135" spans="3:8" ht="14.25" customHeight="1">
      <c r="C135" s="245"/>
      <c r="D135" s="26"/>
      <c r="E135" s="26"/>
      <c r="F135" s="26"/>
      <c r="G135" s="26"/>
      <c r="H135" s="5"/>
    </row>
    <row r="136" spans="3:8" ht="14.25" customHeight="1">
      <c r="C136" s="245"/>
      <c r="D136" s="26"/>
      <c r="E136" s="26"/>
      <c r="F136" s="26"/>
      <c r="G136" s="26"/>
      <c r="H136" s="5"/>
    </row>
    <row r="137" spans="3:8" ht="14.25" customHeight="1">
      <c r="C137" s="245"/>
      <c r="D137" s="26"/>
      <c r="E137" s="26"/>
      <c r="F137" s="26"/>
      <c r="G137" s="26"/>
      <c r="H137" s="5"/>
    </row>
    <row r="138" spans="3:8" ht="14.25" customHeight="1">
      <c r="C138" s="245"/>
      <c r="D138" s="26"/>
      <c r="E138" s="26"/>
      <c r="F138" s="26"/>
      <c r="G138" s="26"/>
      <c r="H138" s="5"/>
    </row>
    <row r="139" spans="3:8" ht="14.25" customHeight="1">
      <c r="C139" s="245"/>
      <c r="D139" s="26"/>
      <c r="E139" s="26"/>
      <c r="F139" s="26"/>
      <c r="G139" s="26"/>
      <c r="H139" s="5"/>
    </row>
    <row r="140" spans="3:8" ht="14.25" customHeight="1">
      <c r="C140" s="245"/>
      <c r="D140" s="26"/>
      <c r="E140" s="26"/>
      <c r="F140" s="26"/>
      <c r="G140" s="26"/>
      <c r="H140" s="5"/>
    </row>
    <row r="141" spans="3:8" ht="14.25" customHeight="1">
      <c r="C141" s="245"/>
      <c r="D141" s="26"/>
      <c r="E141" s="26"/>
      <c r="F141" s="26"/>
      <c r="G141" s="26"/>
      <c r="H141" s="5"/>
    </row>
    <row r="142" spans="3:8" ht="14.25" customHeight="1">
      <c r="C142" s="245"/>
      <c r="D142" s="26"/>
      <c r="E142" s="26"/>
      <c r="F142" s="26"/>
      <c r="G142" s="26"/>
      <c r="H142" s="5"/>
    </row>
    <row r="143" spans="3:8" ht="14.25" customHeight="1">
      <c r="C143" s="245"/>
      <c r="D143" s="26"/>
      <c r="E143" s="26"/>
      <c r="F143" s="26"/>
      <c r="G143" s="26"/>
      <c r="H143" s="5"/>
    </row>
    <row r="144" spans="3:8" ht="14.25" customHeight="1">
      <c r="C144" s="245"/>
      <c r="D144" s="26"/>
      <c r="E144" s="26"/>
      <c r="F144" s="26"/>
      <c r="G144" s="26"/>
      <c r="H144" s="5"/>
    </row>
    <row r="145" spans="3:8" ht="14.25" customHeight="1">
      <c r="C145" s="245"/>
      <c r="D145" s="26"/>
      <c r="E145" s="26"/>
      <c r="F145" s="26"/>
      <c r="G145" s="26"/>
      <c r="H145" s="5"/>
    </row>
    <row r="146" spans="3:8" ht="14.25" customHeight="1">
      <c r="C146" s="245"/>
      <c r="D146" s="26"/>
      <c r="E146" s="26"/>
      <c r="F146" s="26"/>
      <c r="G146" s="26"/>
      <c r="H146" s="5"/>
    </row>
    <row r="147" spans="3:8" ht="14.25" customHeight="1">
      <c r="C147" s="245"/>
      <c r="D147" s="26"/>
      <c r="E147" s="26"/>
      <c r="F147" s="26"/>
      <c r="G147" s="26"/>
      <c r="H147" s="5"/>
    </row>
    <row r="148" spans="3:8" ht="14.25" customHeight="1">
      <c r="C148" s="245"/>
      <c r="D148" s="26"/>
      <c r="E148" s="26"/>
      <c r="F148" s="26"/>
      <c r="G148" s="26"/>
      <c r="H148" s="5"/>
    </row>
    <row r="149" spans="3:8" ht="14.25" customHeight="1">
      <c r="C149" s="245"/>
      <c r="D149" s="26"/>
      <c r="E149" s="26"/>
      <c r="F149" s="26"/>
      <c r="G149" s="26"/>
      <c r="H149" s="5"/>
    </row>
    <row r="150" spans="3:8" ht="14.25" customHeight="1">
      <c r="C150" s="245"/>
      <c r="D150" s="26"/>
      <c r="E150" s="26"/>
      <c r="F150" s="26"/>
      <c r="G150" s="26"/>
      <c r="H150" s="5"/>
    </row>
    <row r="151" spans="3:8" ht="14.25" customHeight="1">
      <c r="C151" s="245"/>
      <c r="D151" s="26"/>
      <c r="E151" s="26"/>
      <c r="F151" s="26"/>
      <c r="G151" s="26"/>
      <c r="H151" s="5"/>
    </row>
    <row r="152" spans="3:8" ht="14.25" customHeight="1">
      <c r="C152" s="245"/>
      <c r="D152" s="26"/>
      <c r="E152" s="26"/>
      <c r="F152" s="26"/>
      <c r="G152" s="26"/>
      <c r="H152" s="5"/>
    </row>
    <row r="153" spans="3:8" ht="14.25" customHeight="1">
      <c r="C153" s="245"/>
      <c r="D153" s="26"/>
      <c r="E153" s="26"/>
      <c r="F153" s="26"/>
      <c r="G153" s="26"/>
      <c r="H153" s="5"/>
    </row>
    <row r="154" spans="3:8" ht="14.25" customHeight="1">
      <c r="C154" s="245"/>
      <c r="D154" s="26"/>
      <c r="E154" s="26"/>
      <c r="F154" s="26"/>
      <c r="G154" s="26"/>
      <c r="H154" s="5"/>
    </row>
    <row r="155" spans="3:8" ht="14.25" customHeight="1">
      <c r="C155" s="245"/>
      <c r="D155" s="26"/>
      <c r="E155" s="26"/>
      <c r="F155" s="26"/>
      <c r="G155" s="26"/>
      <c r="H155" s="5"/>
    </row>
    <row r="156" spans="3:8" ht="14.25" customHeight="1">
      <c r="C156" s="245"/>
      <c r="D156" s="26"/>
      <c r="E156" s="26"/>
      <c r="F156" s="26"/>
      <c r="G156" s="26"/>
      <c r="H156" s="5"/>
    </row>
    <row r="157" spans="3:8" ht="14.25" customHeight="1">
      <c r="C157" s="245"/>
      <c r="D157" s="26"/>
      <c r="E157" s="26"/>
      <c r="F157" s="26"/>
      <c r="G157" s="26"/>
      <c r="H157" s="5"/>
    </row>
    <row r="158" spans="3:8" ht="14.25" customHeight="1">
      <c r="C158" s="245"/>
      <c r="D158" s="26"/>
      <c r="E158" s="26"/>
      <c r="F158" s="26"/>
      <c r="G158" s="26"/>
      <c r="H158" s="5"/>
    </row>
    <row r="159" spans="3:8" ht="14.25" customHeight="1">
      <c r="C159" s="245"/>
      <c r="D159" s="26"/>
      <c r="E159" s="26"/>
      <c r="F159" s="26"/>
      <c r="G159" s="26"/>
      <c r="H159" s="5"/>
    </row>
    <row r="160" spans="3:8" ht="14.25" customHeight="1">
      <c r="C160" s="245"/>
      <c r="D160" s="26"/>
      <c r="E160" s="26"/>
      <c r="F160" s="26"/>
      <c r="G160" s="26"/>
      <c r="H160" s="5"/>
    </row>
    <row r="161" spans="1:46" ht="14.25" customHeight="1">
      <c r="C161" s="245"/>
      <c r="D161" s="26"/>
      <c r="E161" s="26"/>
      <c r="F161" s="26"/>
      <c r="G161" s="26"/>
      <c r="H161" s="5"/>
    </row>
    <row r="162" spans="1:46" ht="14.25" customHeight="1">
      <c r="C162" s="245"/>
      <c r="D162" s="26"/>
      <c r="E162" s="26"/>
      <c r="F162" s="26"/>
      <c r="G162" s="26"/>
      <c r="H162" s="5"/>
    </row>
    <row r="163" spans="1:46" ht="14.25" customHeight="1">
      <c r="C163" s="245"/>
      <c r="D163" s="26"/>
      <c r="E163" s="26"/>
      <c r="F163" s="26"/>
      <c r="G163" s="26"/>
      <c r="H163" s="5"/>
    </row>
    <row r="164" spans="1:46" s="8" customFormat="1">
      <c r="B164" s="494" t="str">
        <f>TITLE!$C$10</f>
        <v>Полотна каркасно-щитові: ГЕОМЕТРІЯ</v>
      </c>
      <c r="C164" s="494"/>
      <c r="D164" s="516"/>
      <c r="E164" s="516"/>
      <c r="F164" s="118"/>
      <c r="G164" s="118"/>
      <c r="H164" s="118"/>
      <c r="I164" s="121"/>
      <c r="J164" s="121"/>
      <c r="K164" s="121"/>
      <c r="L164" s="121"/>
      <c r="M164" s="121"/>
      <c r="N164" s="121"/>
      <c r="O164" s="121"/>
      <c r="P164" s="121"/>
      <c r="Q164" s="121"/>
      <c r="R164" s="121"/>
      <c r="S164" s="517" t="str">
        <f>IF($C$1="ENG",CONCATENATE("up to: ",B90),CONCATENATE("вгору до: ",B90))</f>
        <v>вгору до: Полотна каркасно-щитові: КУПАВА</v>
      </c>
      <c r="T164" s="527"/>
      <c r="U164" s="527"/>
      <c r="V164" s="527"/>
      <c r="W164" s="527"/>
      <c r="AN164" s="280"/>
      <c r="AO164" s="280"/>
      <c r="AP164" s="280"/>
      <c r="AQ164" s="280"/>
      <c r="AR164" s="280"/>
      <c r="AS164" s="280"/>
      <c r="AT164" s="280"/>
    </row>
    <row r="165" spans="1:46" s="8" customFormat="1" ht="5.0999999999999996" customHeight="1">
      <c r="B165" s="117"/>
      <c r="C165" s="420"/>
      <c r="D165" s="9"/>
      <c r="E165" s="9"/>
      <c r="F165" s="9"/>
      <c r="G165" s="9"/>
      <c r="H165" s="10"/>
      <c r="T165" s="144"/>
      <c r="U165" s="144"/>
      <c r="V165" s="144"/>
      <c r="W165" s="144"/>
      <c r="AN165" s="280"/>
      <c r="AO165" s="280"/>
      <c r="AP165" s="280"/>
      <c r="AQ165" s="280"/>
      <c r="AR165" s="280"/>
      <c r="AS165" s="280"/>
      <c r="AT165" s="280"/>
    </row>
    <row r="166" spans="1:46" ht="12.75" customHeight="1">
      <c r="A166" s="8"/>
      <c r="B166" s="509" t="str">
        <f>IF($C$1="ENG","model","модель")</f>
        <v>модель</v>
      </c>
      <c r="C166" s="122" t="str">
        <f>IF($C$1="ENG","cover:","покриття:")</f>
        <v>покриття:</v>
      </c>
      <c r="D166" s="498" t="str">
        <f>IF($C$1="ENG","SIMPL / V-CELL","SIMPL / V-CELL")</f>
        <v>SIMPL / V-CELL</v>
      </c>
      <c r="E166" s="500"/>
      <c r="F166" s="498" t="str">
        <f>IF($C$1="ENG","UNI-MAT","UNI-MAT")</f>
        <v>UNI-MAT</v>
      </c>
      <c r="G166" s="500"/>
      <c r="H166" s="498" t="str">
        <f>IF($C$1="ENG","RESIST","RESIST")</f>
        <v>RESIST</v>
      </c>
      <c r="I166" s="500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</row>
    <row r="167" spans="1:46" ht="12.75" customHeight="1">
      <c r="A167" s="8"/>
      <c r="B167" s="510"/>
      <c r="C167" s="123" t="str">
        <f>IF($C$1="ENG","filling:","заповнення:")</f>
        <v>заповнення:</v>
      </c>
      <c r="D167" s="505" t="str">
        <f>IF($C$1="ENG","honeycomb core ","сотове заповнення")</f>
        <v>сотове заповнення</v>
      </c>
      <c r="E167" s="506"/>
      <c r="F167" s="505" t="str">
        <f>IF($C$1="ENG","honeycomb core ","сотове заповнення")</f>
        <v>сотове заповнення</v>
      </c>
      <c r="G167" s="506"/>
      <c r="H167" s="505" t="str">
        <f>IF($C$1="ENG","honeycomb core ","сотове заповнення")</f>
        <v>сотове заповнення</v>
      </c>
      <c r="I167" s="506"/>
      <c r="J167" s="47"/>
      <c r="K167" s="47"/>
      <c r="L167" s="48"/>
      <c r="M167" s="48"/>
      <c r="N167" s="48"/>
      <c r="O167" s="48"/>
      <c r="P167" s="48"/>
      <c r="Q167" s="48"/>
      <c r="R167" s="48"/>
      <c r="S167" s="48"/>
      <c r="T167" s="47"/>
      <c r="U167" s="47"/>
      <c r="V167" s="47"/>
      <c r="W167" s="47"/>
    </row>
    <row r="168" spans="1:46" ht="12.75" customHeight="1">
      <c r="A168" s="8"/>
      <c r="B168" s="511"/>
      <c r="C168" s="124" t="str">
        <f>IF($C$1="ENG","glazing:","скління:")</f>
        <v>скління:</v>
      </c>
      <c r="D168" s="489" t="str">
        <f>IF($C$1="ENG","Krizet","Кризет")</f>
        <v>Кризет</v>
      </c>
      <c r="E168" s="492"/>
      <c r="F168" s="489" t="str">
        <f>IF($C$1="ENG","Krizet","Кризет")</f>
        <v>Кризет</v>
      </c>
      <c r="G168" s="531"/>
      <c r="H168" s="489" t="str">
        <f>IF($C$1="ENG","Krizet","Кризет")</f>
        <v>Кризет</v>
      </c>
      <c r="I168" s="531"/>
      <c r="J168" s="47"/>
      <c r="K168" s="131"/>
      <c r="L168" s="48"/>
      <c r="M168" s="48"/>
      <c r="N168" s="48"/>
      <c r="O168" s="48"/>
      <c r="P168" s="48"/>
      <c r="Q168" s="48"/>
      <c r="R168" s="48"/>
      <c r="S168" s="48"/>
      <c r="T168" s="47"/>
      <c r="U168" s="47"/>
      <c r="V168" s="47"/>
      <c r="W168" s="131"/>
      <c r="AC168" s="1" t="str">
        <f>D166</f>
        <v>SIMPL / V-CELL</v>
      </c>
      <c r="AD168" s="1" t="str">
        <f>F166</f>
        <v>UNI-MAT</v>
      </c>
      <c r="AE168" s="1" t="str">
        <f>H166</f>
        <v>RESIST</v>
      </c>
    </row>
    <row r="169" spans="1:46" ht="35.1" customHeight="1">
      <c r="A169" s="8"/>
      <c r="B169" s="13" t="s">
        <v>19</v>
      </c>
      <c r="C169" s="14"/>
      <c r="D169" s="101">
        <f>IF(AC169="","",(1-$W$2)*(AC169/1.2))</f>
        <v>2958.3333333333335</v>
      </c>
      <c r="E169" s="64">
        <f>IF($W$5=0.2,D169*1.2,D169)/$W$4</f>
        <v>3550</v>
      </c>
      <c r="F169" s="101">
        <f>IF(AD169="","",(1-$W$2)*(AD169/1.2))</f>
        <v>3400</v>
      </c>
      <c r="G169" s="64">
        <f>IF($W$5=0.2,F169*1.2,F169)/$W$4</f>
        <v>4080</v>
      </c>
      <c r="H169" s="101">
        <f>IF(AE169="","",(1-$W$2)*(AE169/1.2))</f>
        <v>3633.3333333333335</v>
      </c>
      <c r="I169" s="64">
        <f>IF($W$5=0.2,H169*1.2,H169)/$W$4</f>
        <v>4360</v>
      </c>
      <c r="J169" s="28"/>
      <c r="K169" s="59"/>
      <c r="L169" s="254"/>
      <c r="M169" s="143"/>
      <c r="N169" s="254"/>
      <c r="O169" s="278"/>
      <c r="P169" s="254"/>
      <c r="Q169" s="143"/>
      <c r="R169" s="254"/>
      <c r="S169" s="278"/>
      <c r="T169" s="28"/>
      <c r="U169" s="59"/>
      <c r="V169" s="28"/>
      <c r="W169" s="59"/>
      <c r="X169" s="59"/>
      <c r="Y169" s="59"/>
      <c r="Z169" s="59"/>
      <c r="AA169" s="59"/>
      <c r="AB169" s="59"/>
      <c r="AC169" s="332">
        <v>3550</v>
      </c>
      <c r="AD169" s="332">
        <v>4080</v>
      </c>
      <c r="AE169" s="332">
        <v>4360</v>
      </c>
      <c r="AF169" s="289">
        <v>3550</v>
      </c>
      <c r="AG169" s="289">
        <f>AF169/AC169-1</f>
        <v>0</v>
      </c>
      <c r="AH169" s="289">
        <v>4080</v>
      </c>
      <c r="AI169" s="289">
        <f>AH169/AD169-1</f>
        <v>0</v>
      </c>
      <c r="AJ169" s="289">
        <v>4360</v>
      </c>
      <c r="AK169" s="289">
        <f>AJ169/AE169-1</f>
        <v>0</v>
      </c>
      <c r="AL169" s="289"/>
      <c r="AM169" s="334"/>
      <c r="AN169" s="310"/>
      <c r="AO169" s="334"/>
    </row>
    <row r="170" spans="1:46" ht="35.1" customHeight="1">
      <c r="A170" s="8"/>
      <c r="B170" s="16" t="s">
        <v>22</v>
      </c>
      <c r="C170" s="17"/>
      <c r="D170" s="102">
        <f>IF(AC170="","",(1-$W$2)*(AC170/1.2))</f>
        <v>3208.3333333333335</v>
      </c>
      <c r="E170" s="66">
        <f>IF($W$5=0.2,D170*1.2,D170)/$W$4</f>
        <v>3850</v>
      </c>
      <c r="F170" s="102">
        <f>IF(AD170="","",(1-$W$2)*(AD170/1.2))</f>
        <v>3700</v>
      </c>
      <c r="G170" s="66">
        <f>IF($W$5=0.2,F170*1.2,F170)/$W$4</f>
        <v>4440</v>
      </c>
      <c r="H170" s="102">
        <f>IF(AE170="","",(1-$W$2)*(AE170/1.2))</f>
        <v>3850</v>
      </c>
      <c r="I170" s="66">
        <f>IF($W$5=0.2,H170*1.2,H170)/$W$4</f>
        <v>4620</v>
      </c>
      <c r="J170" s="28"/>
      <c r="K170" s="59"/>
      <c r="L170" s="254"/>
      <c r="M170" s="143"/>
      <c r="N170" s="254"/>
      <c r="O170" s="278"/>
      <c r="P170" s="254"/>
      <c r="Q170" s="143"/>
      <c r="R170" s="254"/>
      <c r="S170" s="278"/>
      <c r="T170" s="28"/>
      <c r="U170" s="59"/>
      <c r="V170" s="28"/>
      <c r="W170" s="59"/>
      <c r="AC170" s="332">
        <v>3850</v>
      </c>
      <c r="AD170" s="332">
        <v>4440</v>
      </c>
      <c r="AE170" s="332">
        <v>4620</v>
      </c>
      <c r="AF170" s="289">
        <v>3850</v>
      </c>
      <c r="AG170" s="289">
        <f t="shared" ref="AG170:AG173" si="19">AF170/AC170-1</f>
        <v>0</v>
      </c>
      <c r="AH170" s="289">
        <v>4440</v>
      </c>
      <c r="AI170" s="289">
        <f t="shared" ref="AI170:AI173" si="20">AH170/AD170-1</f>
        <v>0</v>
      </c>
      <c r="AJ170" s="289">
        <v>4620</v>
      </c>
      <c r="AK170" s="289">
        <f t="shared" ref="AK170:AK173" si="21">AJ170/AE170-1</f>
        <v>0</v>
      </c>
      <c r="AL170" s="289"/>
      <c r="AM170" s="334"/>
      <c r="AN170" s="310"/>
      <c r="AO170" s="334"/>
    </row>
    <row r="171" spans="1:46" ht="35.1" customHeight="1">
      <c r="A171" s="8"/>
      <c r="B171" s="16" t="s">
        <v>23</v>
      </c>
      <c r="C171" s="17"/>
      <c r="D171" s="102">
        <f>IF(AC171="","",(1-$W$2)*(AC171/1.2))</f>
        <v>3208.3333333333335</v>
      </c>
      <c r="E171" s="66">
        <f>IF($W$5=0.2,D171*1.2,D171)/$W$4</f>
        <v>3850</v>
      </c>
      <c r="F171" s="102">
        <f>IF(AD171="","",(1-$W$2)*(AD171/1.2))</f>
        <v>3700</v>
      </c>
      <c r="G171" s="66">
        <f>IF($W$5=0.2,F171*1.2,F171)/$W$4</f>
        <v>4440</v>
      </c>
      <c r="H171" s="102">
        <f>IF(AE171="","",(1-$W$2)*(AE171/1.2))</f>
        <v>3850</v>
      </c>
      <c r="I171" s="66">
        <f>IF($W$5=0.2,H171*1.2,H171)/$W$4</f>
        <v>4620</v>
      </c>
      <c r="J171" s="28"/>
      <c r="K171" s="59"/>
      <c r="L171" s="254"/>
      <c r="M171" s="143"/>
      <c r="N171" s="254"/>
      <c r="O171" s="278"/>
      <c r="P171" s="254"/>
      <c r="Q171" s="143"/>
      <c r="R171" s="254"/>
      <c r="S171" s="278"/>
      <c r="T171" s="28"/>
      <c r="U171" s="59"/>
      <c r="V171" s="28"/>
      <c r="W171" s="59"/>
      <c r="AC171" s="332">
        <v>3850</v>
      </c>
      <c r="AD171" s="332">
        <v>4440</v>
      </c>
      <c r="AE171" s="332">
        <v>4620</v>
      </c>
      <c r="AF171" s="289">
        <v>3850</v>
      </c>
      <c r="AG171" s="289">
        <f t="shared" si="19"/>
        <v>0</v>
      </c>
      <c r="AH171" s="289">
        <v>4440</v>
      </c>
      <c r="AI171" s="289">
        <f t="shared" si="20"/>
        <v>0</v>
      </c>
      <c r="AJ171" s="289">
        <v>4620</v>
      </c>
      <c r="AK171" s="289">
        <f t="shared" si="21"/>
        <v>0</v>
      </c>
      <c r="AL171" s="289"/>
      <c r="AM171" s="334"/>
      <c r="AN171" s="310"/>
      <c r="AO171" s="334"/>
    </row>
    <row r="172" spans="1:46" ht="35.1" customHeight="1">
      <c r="A172" s="8"/>
      <c r="B172" s="16" t="s">
        <v>24</v>
      </c>
      <c r="C172" s="17"/>
      <c r="D172" s="102">
        <f>IF(AC172="","",(1-$W$2)*(AC172/1.2))</f>
        <v>3208.3333333333335</v>
      </c>
      <c r="E172" s="66">
        <f>IF($W$5=0.2,D172*1.2,D172)/$W$4</f>
        <v>3850</v>
      </c>
      <c r="F172" s="102">
        <f>IF(AD172="","",(1-$W$2)*(AD172/1.2))</f>
        <v>3700</v>
      </c>
      <c r="G172" s="66">
        <f>IF($W$5=0.2,F172*1.2,F172)/$W$4</f>
        <v>4440</v>
      </c>
      <c r="H172" s="102">
        <f>IF(AE172="","",(1-$W$2)*(AE172/1.2))</f>
        <v>3850</v>
      </c>
      <c r="I172" s="66">
        <f>IF($W$5=0.2,H172*1.2,H172)/$W$4</f>
        <v>4620</v>
      </c>
      <c r="J172" s="28"/>
      <c r="K172" s="59"/>
      <c r="L172" s="254"/>
      <c r="M172" s="143"/>
      <c r="N172" s="254"/>
      <c r="O172" s="278"/>
      <c r="P172" s="254"/>
      <c r="Q172" s="143"/>
      <c r="R172" s="254"/>
      <c r="S172" s="278"/>
      <c r="T172" s="28"/>
      <c r="U172" s="59"/>
      <c r="V172" s="28"/>
      <c r="W172" s="59"/>
      <c r="AC172" s="332">
        <v>3850</v>
      </c>
      <c r="AD172" s="332">
        <v>4440</v>
      </c>
      <c r="AE172" s="332">
        <v>4620</v>
      </c>
      <c r="AF172" s="289">
        <v>3850</v>
      </c>
      <c r="AG172" s="289">
        <f t="shared" si="19"/>
        <v>0</v>
      </c>
      <c r="AH172" s="289">
        <v>4440</v>
      </c>
      <c r="AI172" s="289">
        <f t="shared" si="20"/>
        <v>0</v>
      </c>
      <c r="AJ172" s="289">
        <v>4620</v>
      </c>
      <c r="AK172" s="289">
        <f t="shared" si="21"/>
        <v>0</v>
      </c>
      <c r="AL172" s="289"/>
      <c r="AM172" s="334"/>
      <c r="AN172" s="310"/>
      <c r="AO172" s="334"/>
    </row>
    <row r="173" spans="1:46" ht="35.1" customHeight="1">
      <c r="A173" s="8"/>
      <c r="B173" s="23" t="s">
        <v>25</v>
      </c>
      <c r="C173" s="24"/>
      <c r="D173" s="103">
        <f>IF(AC173="","",(1-$W$2)*(AC173/1.2))</f>
        <v>3208.3333333333335</v>
      </c>
      <c r="E173" s="69">
        <f>IF($W$5=0.2,D173*1.2,D173)/$W$4</f>
        <v>3850</v>
      </c>
      <c r="F173" s="103">
        <f>IF(AD173="","",(1-$W$2)*(AD173/1.2))</f>
        <v>3700</v>
      </c>
      <c r="G173" s="69">
        <f>IF($W$5=0.2,F173*1.2,F173)/$W$4</f>
        <v>4440</v>
      </c>
      <c r="H173" s="103">
        <f>IF(AE173="","",(1-$W$2)*(AE173/1.2))</f>
        <v>3850</v>
      </c>
      <c r="I173" s="69">
        <f>IF($W$5=0.2,H173*1.2,H173)/$W$4</f>
        <v>4620</v>
      </c>
      <c r="J173" s="28"/>
      <c r="K173" s="59"/>
      <c r="L173" s="254"/>
      <c r="M173" s="143"/>
      <c r="N173" s="254"/>
      <c r="O173" s="278"/>
      <c r="P173" s="254"/>
      <c r="Q173" s="143"/>
      <c r="R173" s="254"/>
      <c r="S173" s="278"/>
      <c r="T173" s="28"/>
      <c r="U173" s="59"/>
      <c r="V173" s="28"/>
      <c r="W173" s="59"/>
      <c r="AC173" s="332">
        <v>3850</v>
      </c>
      <c r="AD173" s="332">
        <v>4440</v>
      </c>
      <c r="AE173" s="332">
        <v>4620</v>
      </c>
      <c r="AF173" s="289">
        <v>3850</v>
      </c>
      <c r="AG173" s="289">
        <f t="shared" si="19"/>
        <v>0</v>
      </c>
      <c r="AH173" s="289">
        <v>4440</v>
      </c>
      <c r="AI173" s="289">
        <f t="shared" si="20"/>
        <v>0</v>
      </c>
      <c r="AJ173" s="289">
        <v>4620</v>
      </c>
      <c r="AK173" s="289">
        <f t="shared" si="21"/>
        <v>0</v>
      </c>
      <c r="AL173" s="289"/>
      <c r="AM173" s="334"/>
      <c r="AN173" s="310"/>
      <c r="AO173" s="334"/>
    </row>
    <row r="174" spans="1:46">
      <c r="C174" s="245"/>
      <c r="D174" s="26"/>
      <c r="E174" s="26"/>
      <c r="F174" s="26"/>
      <c r="G174" s="26"/>
      <c r="H174" s="60"/>
      <c r="I174" s="48"/>
      <c r="J174" s="48"/>
      <c r="K174" s="143"/>
      <c r="L174" s="48"/>
      <c r="M174" s="48"/>
      <c r="N174" s="48"/>
      <c r="O174" s="143"/>
      <c r="P174" s="48"/>
      <c r="Q174" s="48"/>
      <c r="R174" s="48"/>
      <c r="S174" s="143"/>
      <c r="T174" s="48"/>
      <c r="U174" s="59"/>
      <c r="V174" s="48"/>
      <c r="W174" s="48"/>
    </row>
    <row r="175" spans="1:46">
      <c r="B175" s="212" t="str">
        <f>IF($C$1="ENG","For additonal charge:","Послуги за додаткову плату:")</f>
        <v>Послуги за додаткову плату:</v>
      </c>
      <c r="C175" s="421"/>
      <c r="D175" s="213"/>
      <c r="E175" s="214"/>
      <c r="F175" s="26"/>
      <c r="G175" s="26"/>
      <c r="H175" s="10"/>
      <c r="I175" s="8"/>
    </row>
    <row r="176" spans="1:46" ht="5.0999999999999996" customHeight="1">
      <c r="B176" s="27"/>
      <c r="C176" s="245"/>
      <c r="D176" s="26"/>
      <c r="E176" s="26"/>
      <c r="F176" s="26"/>
      <c r="G176" s="26"/>
      <c r="H176" s="10"/>
      <c r="I176" s="8"/>
    </row>
    <row r="177" spans="2:38">
      <c r="B177" s="514" t="str">
        <f>IF($C$1="ENG","Ventilation sleeves (1 row)","вентиляційні віддушини (1ряд)")</f>
        <v>вентиляційні віддушини (1ряд)</v>
      </c>
      <c r="C177" s="515"/>
      <c r="D177" s="417">
        <f t="shared" ref="D177:D191" si="22">IF(AC177="","",(1-$W$2)*(AC177/1.2))</f>
        <v>208.33333333333334</v>
      </c>
      <c r="E177" s="92">
        <f>IF($W$5=0.2,D177*1.2,D177)/$W$4</f>
        <v>250</v>
      </c>
      <c r="F177" s="26"/>
      <c r="G177" s="26"/>
      <c r="AC177" s="298">
        <v>250</v>
      </c>
      <c r="AD177" s="289">
        <v>250</v>
      </c>
      <c r="AE177" s="289">
        <f t="shared" ref="AE177:AE191" si="23">AD177/AC177-1</f>
        <v>0</v>
      </c>
      <c r="AF177" s="289"/>
      <c r="AG177" s="289"/>
      <c r="AH177" s="289"/>
      <c r="AI177" s="289"/>
      <c r="AJ177" s="289"/>
      <c r="AK177" s="289"/>
      <c r="AL177" s="289"/>
    </row>
    <row r="178" spans="2:38">
      <c r="B178" s="514" t="str">
        <f>IF($C$1="ENG","Ventilation cut","вентиляційний підріз")</f>
        <v>вентиляційний підріз</v>
      </c>
      <c r="C178" s="515"/>
      <c r="D178" s="406">
        <f t="shared" si="22"/>
        <v>141.66666666666669</v>
      </c>
      <c r="E178" s="93">
        <f>IF($W$5=0.2,D178*1.2,D178)/$W$4</f>
        <v>170.00000000000003</v>
      </c>
      <c r="F178" s="26"/>
      <c r="G178" s="26"/>
      <c r="I178" s="59"/>
      <c r="J178" s="28"/>
      <c r="AC178" s="298">
        <v>170</v>
      </c>
      <c r="AD178" s="289">
        <v>170</v>
      </c>
      <c r="AE178" s="289">
        <f t="shared" si="23"/>
        <v>0</v>
      </c>
      <c r="AF178" s="289"/>
      <c r="AG178" s="289"/>
      <c r="AH178" s="289"/>
      <c r="AI178" s="289"/>
      <c r="AJ178" s="289"/>
      <c r="AK178" s="289"/>
      <c r="AL178" s="289"/>
    </row>
    <row r="179" spans="2:38">
      <c r="B179" s="514" t="str">
        <f>IF($C$1="ENG","third door hindge","третя завіса")</f>
        <v>третя завіса</v>
      </c>
      <c r="C179" s="515"/>
      <c r="D179" s="406">
        <f t="shared" si="22"/>
        <v>66.666666666666671</v>
      </c>
      <c r="E179" s="93">
        <f>IF($W$5=0.2,D179*1.2,D179)/$W$4</f>
        <v>80</v>
      </c>
      <c r="F179" s="26"/>
      <c r="G179" s="26"/>
      <c r="AC179" s="298">
        <v>80</v>
      </c>
      <c r="AD179" s="289">
        <v>80</v>
      </c>
      <c r="AE179" s="289">
        <f t="shared" si="23"/>
        <v>0</v>
      </c>
      <c r="AF179" s="289"/>
      <c r="AG179" s="289"/>
      <c r="AH179" s="289"/>
      <c r="AI179" s="289"/>
      <c r="AJ179" s="289"/>
      <c r="AK179" s="289"/>
      <c r="AL179" s="289"/>
    </row>
    <row r="180" spans="2:38">
      <c r="B180" s="501" t="str">
        <f>IF($C$1="ENG","glazing Satin / Wave","скло Сатин / Жалюзі")</f>
        <v>скло Сатин / Жалюзі</v>
      </c>
      <c r="C180" s="502"/>
      <c r="D180" s="406">
        <f t="shared" si="22"/>
        <v>283.33333333333337</v>
      </c>
      <c r="E180" s="93">
        <f>IF($W$5=0.2,D180*1.2,D180)/$W$4</f>
        <v>340.00000000000006</v>
      </c>
      <c r="F180" s="141"/>
      <c r="G180" s="141"/>
      <c r="AC180" s="298">
        <v>340</v>
      </c>
      <c r="AD180" s="289">
        <v>340</v>
      </c>
      <c r="AE180" s="289">
        <f t="shared" si="23"/>
        <v>0</v>
      </c>
      <c r="AF180" s="289"/>
      <c r="AG180" s="289"/>
      <c r="AH180" s="289"/>
      <c r="AI180" s="289"/>
      <c r="AJ180" s="289"/>
      <c r="AK180" s="289"/>
      <c r="AL180" s="289"/>
    </row>
    <row r="181" spans="2:38">
      <c r="B181" s="501" t="str">
        <f>IF($C$1="ENG","glazing Graphite / Bronze","скло Графіт / Бронза")</f>
        <v>скло Графіт / Бронза</v>
      </c>
      <c r="C181" s="502"/>
      <c r="D181" s="406">
        <f>IF(AC181="","",(1-$W$2)*(AC181/1.2))</f>
        <v>458.33333333333337</v>
      </c>
      <c r="E181" s="93">
        <f>IF($W$5=0.2,D181*1.2,D181)/$W$4</f>
        <v>550</v>
      </c>
      <c r="F181" s="141"/>
      <c r="G181" s="141"/>
      <c r="AC181" s="298">
        <v>550</v>
      </c>
      <c r="AD181" s="289">
        <v>550</v>
      </c>
      <c r="AE181" s="289">
        <f t="shared" si="23"/>
        <v>0</v>
      </c>
      <c r="AF181" s="289"/>
      <c r="AG181" s="289"/>
      <c r="AH181" s="289"/>
      <c r="AI181" s="289"/>
      <c r="AJ181" s="289"/>
      <c r="AK181" s="289"/>
      <c r="AL181" s="289"/>
    </row>
    <row r="182" spans="2:38">
      <c r="B182" s="501" t="str">
        <f>IF($C$1="ENG","door lock Soft","замок Soft")</f>
        <v>замок Soft</v>
      </c>
      <c r="C182" s="502"/>
      <c r="D182" s="407">
        <f t="shared" si="22"/>
        <v>458.33333333333337</v>
      </c>
      <c r="E182" s="93">
        <f t="shared" ref="E182:E189" si="24">IF($W$5=0.2,D182*1.2,D182)/$W$4</f>
        <v>550</v>
      </c>
      <c r="F182" s="26"/>
      <c r="G182" s="26"/>
      <c r="H182" s="5"/>
      <c r="AC182" s="298">
        <v>550</v>
      </c>
      <c r="AD182" s="289">
        <v>550</v>
      </c>
      <c r="AE182" s="289">
        <f t="shared" si="23"/>
        <v>0</v>
      </c>
      <c r="AF182" s="289"/>
      <c r="AG182" s="289"/>
      <c r="AH182" s="289"/>
      <c r="AI182" s="289"/>
      <c r="AJ182" s="289"/>
      <c r="AK182" s="289"/>
      <c r="AL182" s="289"/>
    </row>
    <row r="183" spans="2:38">
      <c r="B183" s="501" t="str">
        <f>IF($C$1="ENG","door lock Soft black","замок Soft чорн.")</f>
        <v>замок Soft чорн.</v>
      </c>
      <c r="C183" s="502"/>
      <c r="D183" s="407">
        <f t="shared" si="22"/>
        <v>566.66666666666674</v>
      </c>
      <c r="E183" s="93">
        <f t="shared" si="24"/>
        <v>680.00000000000011</v>
      </c>
      <c r="F183" s="26"/>
      <c r="G183" s="26"/>
      <c r="H183" s="5"/>
      <c r="AC183" s="298">
        <v>680</v>
      </c>
      <c r="AD183" s="289"/>
      <c r="AE183" s="289"/>
      <c r="AF183" s="289"/>
      <c r="AG183" s="289"/>
      <c r="AH183" s="289"/>
      <c r="AI183" s="289"/>
      <c r="AJ183" s="289"/>
      <c r="AK183" s="289"/>
      <c r="AL183" s="289"/>
    </row>
    <row r="184" spans="2:38">
      <c r="B184" s="501" t="str">
        <f>IF($C$1="ENG","door lock Magnet","замок Magnet")</f>
        <v>замок Magnet</v>
      </c>
      <c r="C184" s="502"/>
      <c r="D184" s="407">
        <f>IF(AC184="","",(1-$W$2)*(AC184/1.2))</f>
        <v>666.66666666666674</v>
      </c>
      <c r="E184" s="93">
        <f t="shared" si="24"/>
        <v>800.00000000000011</v>
      </c>
      <c r="F184" s="26"/>
      <c r="G184" s="26"/>
      <c r="H184" s="5"/>
      <c r="AC184" s="298">
        <v>800</v>
      </c>
      <c r="AD184" s="289">
        <v>800</v>
      </c>
      <c r="AE184" s="289">
        <f t="shared" si="23"/>
        <v>0</v>
      </c>
      <c r="AF184" s="289"/>
      <c r="AG184" s="289"/>
      <c r="AH184" s="289"/>
      <c r="AI184" s="289"/>
      <c r="AJ184" s="289"/>
      <c r="AK184" s="289"/>
      <c r="AL184" s="289"/>
    </row>
    <row r="185" spans="2:38">
      <c r="B185" s="411"/>
      <c r="C185" s="411" t="str">
        <f>IF($C$1="ENG","door lock Magnet black","замок Magnet чорн.")</f>
        <v>замок Magnet чорн.</v>
      </c>
      <c r="D185" s="407">
        <f>IF(AC185="","",(1-$W$2)*(AC185/1.2))</f>
        <v>833.33333333333337</v>
      </c>
      <c r="E185" s="93">
        <f t="shared" si="24"/>
        <v>1000</v>
      </c>
      <c r="F185" s="26"/>
      <c r="G185" s="26"/>
      <c r="H185" s="5"/>
      <c r="AC185" s="298">
        <v>1000</v>
      </c>
      <c r="AD185" s="289"/>
      <c r="AE185" s="289"/>
      <c r="AF185" s="289"/>
      <c r="AG185" s="289"/>
      <c r="AH185" s="289"/>
      <c r="AI185" s="289"/>
      <c r="AJ185" s="289"/>
      <c r="AK185" s="289"/>
      <c r="AL185" s="289"/>
    </row>
    <row r="186" spans="2:38">
      <c r="B186" s="501" t="str">
        <f>IF($C$1="ENG","door handle-lock (for sliding doors)","ручка-замок (для дверей купе)")</f>
        <v>ручка-замок (для дверей купе)</v>
      </c>
      <c r="C186" s="502"/>
      <c r="D186" s="406">
        <f t="shared" si="22"/>
        <v>466.66666666666669</v>
      </c>
      <c r="E186" s="93">
        <f t="shared" si="24"/>
        <v>560</v>
      </c>
      <c r="F186" s="26"/>
      <c r="G186" s="26"/>
      <c r="I186" s="30"/>
      <c r="K186" s="30"/>
      <c r="AC186" s="298">
        <v>560</v>
      </c>
      <c r="AD186" s="289">
        <v>560</v>
      </c>
      <c r="AE186" s="289">
        <f t="shared" si="23"/>
        <v>0</v>
      </c>
      <c r="AF186" s="289"/>
      <c r="AG186" s="289"/>
      <c r="AH186" s="289"/>
      <c r="AI186" s="289"/>
      <c r="AJ186" s="289"/>
      <c r="AK186" s="289"/>
      <c r="AL186" s="289"/>
    </row>
    <row r="187" spans="2:38">
      <c r="B187" s="501" t="str">
        <f>IF($C$1="ENG","cylinder incert","циліндр несиметричний")</f>
        <v>циліндр несиметричний</v>
      </c>
      <c r="C187" s="502"/>
      <c r="D187" s="406">
        <f t="shared" si="22"/>
        <v>325</v>
      </c>
      <c r="E187" s="93">
        <f t="shared" si="24"/>
        <v>390</v>
      </c>
      <c r="F187" s="26"/>
      <c r="G187" s="26"/>
      <c r="AC187" s="298">
        <v>390</v>
      </c>
      <c r="AD187" s="289">
        <v>390</v>
      </c>
      <c r="AE187" s="289">
        <f t="shared" si="23"/>
        <v>0</v>
      </c>
      <c r="AF187" s="289"/>
      <c r="AG187" s="289"/>
      <c r="AH187" s="289"/>
      <c r="AI187" s="289"/>
      <c r="AJ187" s="289"/>
      <c r="AK187" s="289"/>
      <c r="AL187" s="289"/>
    </row>
    <row r="188" spans="2:38">
      <c r="B188" s="501" t="str">
        <f>IF($C$1="ENG","door hindge Prestige (1 unit)","завіса Prestige (1 шт)")</f>
        <v>завіса Prestige (1 шт)</v>
      </c>
      <c r="C188" s="502"/>
      <c r="D188" s="418">
        <f t="shared" si="22"/>
        <v>216.66666666666669</v>
      </c>
      <c r="E188" s="93">
        <f t="shared" si="24"/>
        <v>260</v>
      </c>
      <c r="F188" s="26"/>
      <c r="G188" s="26"/>
      <c r="AC188" s="298">
        <v>260</v>
      </c>
      <c r="AD188" s="289">
        <v>260</v>
      </c>
      <c r="AE188" s="289">
        <f t="shared" si="23"/>
        <v>0</v>
      </c>
      <c r="AF188" s="289"/>
      <c r="AG188" s="289"/>
      <c r="AH188" s="289"/>
      <c r="AI188" s="289"/>
      <c r="AJ188" s="289"/>
      <c r="AK188" s="289"/>
      <c r="AL188" s="289"/>
    </row>
    <row r="189" spans="2:38">
      <c r="B189" s="501" t="str">
        <f>IF($C$1="ENG","door hinge caps (1 set)","накладка на завіси (1 к-т)")</f>
        <v>накладка на завіси (1 к-т)</v>
      </c>
      <c r="C189" s="502"/>
      <c r="D189" s="418">
        <f t="shared" si="22"/>
        <v>66.666666666666671</v>
      </c>
      <c r="E189" s="93">
        <f t="shared" si="24"/>
        <v>80</v>
      </c>
      <c r="F189" s="26"/>
      <c r="G189" s="26"/>
      <c r="AC189" s="298">
        <v>80</v>
      </c>
      <c r="AD189" s="289">
        <v>80</v>
      </c>
      <c r="AE189" s="289">
        <f t="shared" si="23"/>
        <v>0</v>
      </c>
      <c r="AF189" s="289"/>
      <c r="AG189" s="289"/>
      <c r="AH189" s="289"/>
      <c r="AI189" s="289"/>
      <c r="AJ189" s="289"/>
      <c r="AK189" s="289"/>
      <c r="AL189" s="289"/>
    </row>
    <row r="190" spans="2:38">
      <c r="B190" s="501" t="str">
        <f>IF($C$1="ENG","door handle","дверна ручка")</f>
        <v>дверна ручка</v>
      </c>
      <c r="C190" s="502"/>
      <c r="D190" s="406">
        <f t="shared" si="22"/>
        <v>0</v>
      </c>
      <c r="E190" s="296" t="str">
        <f>IF($C$1="ENG","see Handles Price","див. Таблицю Ручки")</f>
        <v>див. Таблицю Ручки</v>
      </c>
      <c r="F190" s="26"/>
      <c r="G190" s="26"/>
      <c r="AC190" s="298">
        <v>0</v>
      </c>
      <c r="AD190" s="289">
        <f t="shared" ref="AD190" si="25">AC190/100*13+AC190</f>
        <v>0</v>
      </c>
      <c r="AE190" s="289" t="e">
        <f t="shared" si="23"/>
        <v>#DIV/0!</v>
      </c>
      <c r="AF190" s="289"/>
      <c r="AG190" s="289"/>
      <c r="AH190" s="289"/>
      <c r="AI190" s="289"/>
      <c r="AJ190" s="289"/>
      <c r="AK190" s="289"/>
      <c r="AL190" s="289"/>
    </row>
    <row r="191" spans="2:38">
      <c r="B191" s="501" t="str">
        <f>IF($C$1="ENG","perforated chipboard","ДСП трубчасте")</f>
        <v>ДСП трубчасте</v>
      </c>
      <c r="C191" s="502"/>
      <c r="D191" s="419">
        <f t="shared" si="22"/>
        <v>1083.3333333333335</v>
      </c>
      <c r="E191" s="94">
        <f>IF($W$5=0.2,D191*1.2,D191)/$W$4</f>
        <v>1300.0000000000002</v>
      </c>
      <c r="F191" s="26"/>
      <c r="G191" s="26"/>
      <c r="AC191" s="298">
        <v>1300</v>
      </c>
      <c r="AD191" s="289">
        <v>1300</v>
      </c>
      <c r="AE191" s="289">
        <f t="shared" si="23"/>
        <v>0</v>
      </c>
      <c r="AF191" s="289"/>
      <c r="AG191" s="289"/>
      <c r="AH191" s="289"/>
      <c r="AI191" s="289"/>
      <c r="AJ191" s="289"/>
      <c r="AK191" s="289"/>
      <c r="AL191" s="289"/>
    </row>
    <row r="192" spans="2:38" ht="14.25" customHeight="1">
      <c r="C192" s="245"/>
      <c r="D192" s="26"/>
      <c r="E192" s="26"/>
      <c r="F192" s="26"/>
      <c r="G192" s="26"/>
      <c r="H192" s="5"/>
      <c r="S192" s="390"/>
      <c r="T192" s="503" t="str">
        <f>IF($C$1="ENG",CONCATENATE("down to: ",B291),CONCATENATE("вниз до: ",B291))</f>
        <v>вниз до: Полотна каркасно-щитові: ІДЕЯ</v>
      </c>
      <c r="U192" s="503"/>
      <c r="V192" s="503"/>
      <c r="W192" s="503"/>
    </row>
    <row r="193" spans="3:23" ht="14.25" customHeight="1">
      <c r="C193" s="245"/>
      <c r="D193" s="26"/>
      <c r="E193" s="26"/>
      <c r="F193" s="26"/>
      <c r="G193" s="26"/>
      <c r="H193" s="5"/>
      <c r="L193" s="104"/>
      <c r="N193" s="104"/>
      <c r="O193" s="20"/>
      <c r="P193" s="104"/>
      <c r="R193" s="104"/>
      <c r="S193" s="20"/>
    </row>
    <row r="194" spans="3:23" ht="14.25" customHeight="1">
      <c r="C194" s="245"/>
      <c r="D194" s="26"/>
      <c r="E194" s="26"/>
      <c r="F194" s="26"/>
      <c r="G194" s="26"/>
      <c r="H194" s="5"/>
      <c r="L194" s="104"/>
      <c r="N194" s="104"/>
      <c r="O194" s="20"/>
      <c r="P194" s="104"/>
      <c r="R194" s="104"/>
      <c r="S194" s="20"/>
      <c r="T194" s="104"/>
      <c r="V194" s="104"/>
      <c r="W194" s="20"/>
    </row>
    <row r="195" spans="3:23" ht="14.25" customHeight="1">
      <c r="C195" s="245"/>
      <c r="D195" s="26"/>
      <c r="E195" s="26"/>
      <c r="F195" s="26"/>
      <c r="G195" s="26"/>
      <c r="H195" s="5"/>
      <c r="L195" s="104"/>
      <c r="N195" s="104"/>
      <c r="O195" s="20"/>
      <c r="P195" s="104"/>
      <c r="R195" s="104"/>
      <c r="S195" s="20"/>
      <c r="T195" s="104"/>
      <c r="V195" s="104"/>
      <c r="W195" s="20"/>
    </row>
    <row r="196" spans="3:23" ht="14.25" customHeight="1">
      <c r="C196" s="245"/>
      <c r="D196" s="26"/>
      <c r="E196" s="26"/>
      <c r="F196" s="26"/>
      <c r="G196" s="26"/>
      <c r="H196" s="5"/>
      <c r="L196" s="104"/>
      <c r="N196" s="104"/>
      <c r="O196" s="20"/>
      <c r="P196" s="104"/>
      <c r="R196" s="104"/>
      <c r="S196" s="20"/>
      <c r="T196" s="104"/>
      <c r="V196" s="104"/>
      <c r="W196" s="20"/>
    </row>
    <row r="197" spans="3:23" ht="14.25" customHeight="1">
      <c r="C197" s="245"/>
      <c r="D197" s="26"/>
      <c r="E197" s="26"/>
      <c r="F197" s="26"/>
      <c r="G197" s="26"/>
      <c r="H197" s="5"/>
      <c r="L197" s="104"/>
      <c r="N197" s="104"/>
      <c r="O197" s="20"/>
      <c r="P197" s="104"/>
      <c r="R197" s="104"/>
      <c r="S197" s="20"/>
      <c r="T197" s="104"/>
      <c r="V197" s="104"/>
      <c r="W197" s="20"/>
    </row>
    <row r="198" spans="3:23" ht="14.25" customHeight="1">
      <c r="C198" s="245"/>
      <c r="D198" s="26"/>
      <c r="E198" s="26"/>
      <c r="F198" s="26"/>
      <c r="G198" s="26"/>
      <c r="H198" s="5"/>
      <c r="L198" s="104"/>
      <c r="N198" s="104"/>
      <c r="O198" s="20"/>
      <c r="P198" s="104"/>
      <c r="R198" s="104"/>
      <c r="S198" s="20"/>
      <c r="T198" s="104"/>
      <c r="V198" s="104"/>
      <c r="W198" s="20"/>
    </row>
    <row r="199" spans="3:23" ht="14.25" customHeight="1">
      <c r="C199" s="245"/>
      <c r="D199" s="26"/>
      <c r="E199" s="26"/>
      <c r="F199" s="26"/>
      <c r="G199" s="26"/>
      <c r="H199" s="5"/>
      <c r="L199" s="104"/>
      <c r="N199" s="104"/>
      <c r="O199" s="20"/>
      <c r="P199" s="104"/>
      <c r="R199" s="104"/>
      <c r="S199" s="20"/>
      <c r="T199" s="104"/>
      <c r="V199" s="104"/>
      <c r="W199" s="20"/>
    </row>
    <row r="200" spans="3:23" ht="14.25" customHeight="1">
      <c r="C200" s="245"/>
      <c r="D200" s="26"/>
      <c r="E200" s="26"/>
      <c r="F200" s="26"/>
      <c r="G200" s="26"/>
      <c r="H200" s="5"/>
      <c r="L200" s="104"/>
      <c r="N200" s="104"/>
      <c r="O200" s="20"/>
      <c r="P200" s="104"/>
      <c r="R200" s="104"/>
      <c r="S200" s="20"/>
      <c r="T200" s="104"/>
      <c r="V200" s="104"/>
      <c r="W200" s="20"/>
    </row>
    <row r="201" spans="3:23" ht="14.25" customHeight="1">
      <c r="C201" s="245"/>
      <c r="D201" s="26"/>
      <c r="E201" s="26"/>
      <c r="F201" s="26"/>
      <c r="G201" s="26"/>
      <c r="H201" s="5"/>
    </row>
    <row r="202" spans="3:23" ht="14.25" customHeight="1">
      <c r="C202" s="245"/>
      <c r="D202" s="26"/>
      <c r="E202" s="26"/>
      <c r="F202" s="26"/>
      <c r="G202" s="26"/>
      <c r="H202" s="5"/>
    </row>
    <row r="203" spans="3:23" ht="14.25" customHeight="1">
      <c r="C203" s="245"/>
      <c r="D203" s="26"/>
      <c r="E203" s="26"/>
      <c r="F203" s="26"/>
      <c r="G203" s="26"/>
      <c r="H203" s="5"/>
    </row>
    <row r="204" spans="3:23" ht="14.25" customHeight="1">
      <c r="C204" s="245"/>
      <c r="D204" s="26"/>
      <c r="E204" s="26"/>
      <c r="F204" s="26"/>
      <c r="G204" s="26"/>
      <c r="H204" s="5"/>
    </row>
    <row r="205" spans="3:23" ht="14.25" customHeight="1">
      <c r="C205" s="245"/>
      <c r="D205" s="26"/>
      <c r="E205" s="26"/>
      <c r="F205" s="26"/>
      <c r="G205" s="26"/>
      <c r="H205" s="5"/>
    </row>
    <row r="206" spans="3:23" ht="14.25" customHeight="1">
      <c r="C206" s="245"/>
      <c r="D206" s="26"/>
      <c r="E206" s="26"/>
      <c r="F206" s="26"/>
      <c r="G206" s="26"/>
      <c r="H206" s="5"/>
    </row>
    <row r="207" spans="3:23" ht="14.25" customHeight="1">
      <c r="C207" s="245"/>
      <c r="D207" s="26"/>
      <c r="E207" s="26"/>
      <c r="F207" s="26"/>
      <c r="G207" s="26"/>
      <c r="H207" s="5"/>
    </row>
    <row r="208" spans="3:23" ht="14.25" customHeight="1">
      <c r="C208" s="245"/>
      <c r="D208" s="26"/>
      <c r="E208" s="26"/>
      <c r="F208" s="26"/>
      <c r="G208" s="26"/>
      <c r="H208" s="5"/>
    </row>
    <row r="209" spans="3:8" ht="14.25" customHeight="1">
      <c r="C209" s="245"/>
      <c r="D209" s="26"/>
      <c r="E209" s="26"/>
      <c r="F209" s="26"/>
      <c r="G209" s="26"/>
      <c r="H209" s="5"/>
    </row>
    <row r="210" spans="3:8" ht="14.25" customHeight="1">
      <c r="C210" s="245"/>
      <c r="D210" s="26"/>
      <c r="E210" s="26"/>
      <c r="F210" s="26"/>
      <c r="G210" s="26"/>
      <c r="H210" s="5"/>
    </row>
    <row r="211" spans="3:8" ht="14.25" customHeight="1">
      <c r="C211" s="245"/>
      <c r="D211" s="26"/>
      <c r="E211" s="26"/>
      <c r="F211" s="26"/>
      <c r="G211" s="26"/>
      <c r="H211" s="5"/>
    </row>
    <row r="212" spans="3:8" ht="14.25" customHeight="1">
      <c r="C212" s="245"/>
      <c r="D212" s="26"/>
      <c r="E212" s="26"/>
      <c r="F212" s="26"/>
      <c r="G212" s="26"/>
      <c r="H212" s="5"/>
    </row>
    <row r="213" spans="3:8" ht="14.25" customHeight="1">
      <c r="C213" s="245"/>
      <c r="D213" s="26"/>
      <c r="E213" s="26"/>
      <c r="F213" s="26"/>
      <c r="G213" s="26"/>
      <c r="H213" s="5"/>
    </row>
    <row r="214" spans="3:8" ht="14.25" customHeight="1">
      <c r="C214" s="245"/>
      <c r="D214" s="26"/>
      <c r="E214" s="26"/>
      <c r="F214" s="26"/>
      <c r="G214" s="26"/>
      <c r="H214" s="5"/>
    </row>
    <row r="215" spans="3:8" ht="14.25" customHeight="1">
      <c r="C215" s="245"/>
      <c r="D215" s="26"/>
      <c r="E215" s="26"/>
      <c r="F215" s="26"/>
      <c r="G215" s="26"/>
      <c r="H215" s="5"/>
    </row>
    <row r="216" spans="3:8" ht="14.25" customHeight="1">
      <c r="C216" s="245"/>
      <c r="D216" s="26"/>
      <c r="E216" s="26"/>
      <c r="F216" s="26"/>
      <c r="G216" s="26"/>
      <c r="H216" s="5"/>
    </row>
    <row r="217" spans="3:8" ht="14.25" customHeight="1">
      <c r="C217" s="245"/>
      <c r="D217" s="26"/>
      <c r="E217" s="26"/>
      <c r="F217" s="26"/>
      <c r="G217" s="26"/>
      <c r="H217" s="5"/>
    </row>
    <row r="218" spans="3:8" ht="14.25" customHeight="1">
      <c r="C218" s="245"/>
      <c r="D218" s="26"/>
      <c r="E218" s="26"/>
      <c r="F218" s="26"/>
      <c r="G218" s="26"/>
      <c r="H218" s="5"/>
    </row>
    <row r="219" spans="3:8" ht="14.25" customHeight="1">
      <c r="C219" s="245"/>
      <c r="D219" s="26"/>
      <c r="E219" s="26"/>
      <c r="F219" s="26"/>
      <c r="G219" s="26"/>
      <c r="H219" s="5"/>
    </row>
    <row r="220" spans="3:8" ht="14.25" customHeight="1">
      <c r="C220" s="245"/>
      <c r="D220" s="26"/>
      <c r="E220" s="26"/>
      <c r="F220" s="26"/>
      <c r="G220" s="26"/>
      <c r="H220" s="5"/>
    </row>
    <row r="221" spans="3:8" ht="14.25" customHeight="1">
      <c r="C221" s="245"/>
      <c r="D221" s="26"/>
      <c r="E221" s="26"/>
      <c r="F221" s="26"/>
      <c r="G221" s="26"/>
      <c r="H221" s="5"/>
    </row>
    <row r="222" spans="3:8" ht="14.25" customHeight="1">
      <c r="C222" s="245"/>
      <c r="D222" s="26"/>
      <c r="E222" s="26"/>
      <c r="F222" s="26"/>
      <c r="G222" s="26"/>
      <c r="H222" s="5"/>
    </row>
    <row r="223" spans="3:8" ht="14.25" customHeight="1">
      <c r="C223" s="245"/>
      <c r="D223" s="26"/>
      <c r="E223" s="26"/>
      <c r="F223" s="26"/>
      <c r="G223" s="26"/>
      <c r="H223" s="5"/>
    </row>
    <row r="224" spans="3:8" ht="14.25" customHeight="1">
      <c r="C224" s="245"/>
      <c r="D224" s="26"/>
      <c r="E224" s="26"/>
      <c r="F224" s="26"/>
      <c r="G224" s="26"/>
      <c r="H224" s="5"/>
    </row>
    <row r="225" spans="3:8" ht="14.25" customHeight="1">
      <c r="C225" s="245"/>
      <c r="D225" s="26"/>
      <c r="E225" s="26"/>
      <c r="F225" s="26"/>
      <c r="G225" s="26"/>
      <c r="H225" s="5"/>
    </row>
    <row r="226" spans="3:8" ht="14.25" customHeight="1">
      <c r="C226" s="245"/>
      <c r="D226" s="26"/>
      <c r="E226" s="26"/>
      <c r="F226" s="26"/>
      <c r="G226" s="26"/>
      <c r="H226" s="5"/>
    </row>
    <row r="227" spans="3:8" ht="14.25" customHeight="1">
      <c r="C227" s="245"/>
      <c r="D227" s="26"/>
      <c r="E227" s="26"/>
      <c r="F227" s="26"/>
      <c r="G227" s="26"/>
      <c r="H227" s="5"/>
    </row>
    <row r="228" spans="3:8" ht="14.25" customHeight="1">
      <c r="C228" s="245"/>
      <c r="D228" s="26"/>
      <c r="E228" s="26"/>
      <c r="F228" s="26"/>
      <c r="G228" s="26"/>
      <c r="H228" s="5"/>
    </row>
    <row r="229" spans="3:8" ht="14.25" customHeight="1">
      <c r="C229" s="245"/>
      <c r="D229" s="26"/>
      <c r="E229" s="26"/>
      <c r="F229" s="26"/>
      <c r="G229" s="26"/>
      <c r="H229" s="5"/>
    </row>
    <row r="230" spans="3:8" ht="14.25" customHeight="1">
      <c r="C230" s="245"/>
      <c r="D230" s="26"/>
      <c r="E230" s="26"/>
      <c r="F230" s="26"/>
      <c r="G230" s="26"/>
      <c r="H230" s="5"/>
    </row>
    <row r="231" spans="3:8" ht="14.25" customHeight="1">
      <c r="C231" s="245"/>
      <c r="D231" s="26"/>
      <c r="E231" s="26"/>
      <c r="F231" s="26"/>
      <c r="G231" s="26"/>
      <c r="H231" s="5"/>
    </row>
    <row r="232" spans="3:8" ht="14.25" customHeight="1">
      <c r="C232" s="245"/>
      <c r="D232" s="26"/>
      <c r="E232" s="26"/>
      <c r="F232" s="26"/>
      <c r="G232" s="26"/>
      <c r="H232" s="5"/>
    </row>
    <row r="233" spans="3:8" ht="14.25" customHeight="1">
      <c r="C233" s="245"/>
      <c r="D233" s="26"/>
      <c r="E233" s="26"/>
      <c r="F233" s="26"/>
      <c r="G233" s="26"/>
      <c r="H233" s="5"/>
    </row>
    <row r="234" spans="3:8" ht="14.25" customHeight="1">
      <c r="C234" s="245"/>
      <c r="D234" s="26"/>
      <c r="E234" s="26"/>
      <c r="F234" s="26"/>
      <c r="G234" s="26"/>
      <c r="H234" s="5"/>
    </row>
    <row r="235" spans="3:8" ht="14.25" customHeight="1">
      <c r="C235" s="245"/>
      <c r="D235" s="26"/>
      <c r="E235" s="26"/>
      <c r="F235" s="26"/>
      <c r="G235" s="26"/>
      <c r="H235" s="5"/>
    </row>
    <row r="236" spans="3:8" ht="14.25" customHeight="1">
      <c r="C236" s="245"/>
      <c r="D236" s="26"/>
      <c r="E236" s="26"/>
      <c r="F236" s="26"/>
      <c r="G236" s="26"/>
      <c r="H236" s="5"/>
    </row>
    <row r="237" spans="3:8" ht="14.25" customHeight="1">
      <c r="C237" s="245"/>
      <c r="D237" s="26"/>
      <c r="E237" s="26"/>
      <c r="F237" s="26"/>
      <c r="G237" s="26"/>
      <c r="H237" s="5"/>
    </row>
    <row r="238" spans="3:8" ht="14.25" customHeight="1">
      <c r="C238" s="245"/>
      <c r="D238" s="26"/>
      <c r="E238" s="26"/>
      <c r="F238" s="26"/>
      <c r="G238" s="26"/>
      <c r="H238" s="5"/>
    </row>
    <row r="239" spans="3:8" ht="14.25" customHeight="1">
      <c r="C239" s="245"/>
      <c r="D239" s="26"/>
      <c r="E239" s="26"/>
      <c r="F239" s="26"/>
      <c r="G239" s="26"/>
      <c r="H239" s="5"/>
    </row>
    <row r="240" spans="3:8" ht="14.25" customHeight="1">
      <c r="C240" s="245"/>
      <c r="D240" s="26"/>
      <c r="E240" s="26"/>
      <c r="F240" s="26"/>
      <c r="G240" s="26"/>
      <c r="H240" s="5"/>
    </row>
    <row r="241" spans="2:19" ht="14.25" customHeight="1">
      <c r="B241" s="32"/>
      <c r="C241" s="422"/>
      <c r="D241" s="36"/>
      <c r="E241" s="36"/>
      <c r="F241" s="36"/>
      <c r="G241" s="36"/>
      <c r="H241" s="37"/>
      <c r="I241" s="32"/>
      <c r="J241" s="32"/>
      <c r="K241" s="32"/>
      <c r="L241" s="32"/>
      <c r="M241" s="32"/>
      <c r="N241" s="32"/>
      <c r="O241" s="32"/>
      <c r="P241" s="32"/>
      <c r="Q241" s="32"/>
      <c r="R241" s="32"/>
      <c r="S241" s="32"/>
    </row>
    <row r="242" spans="2:19" ht="14.25" customHeight="1">
      <c r="C242" s="245"/>
      <c r="D242" s="26"/>
      <c r="E242" s="26"/>
      <c r="F242" s="26"/>
      <c r="G242" s="26"/>
      <c r="H242" s="5"/>
    </row>
    <row r="243" spans="2:19" ht="14.25" customHeight="1">
      <c r="C243" s="245"/>
      <c r="D243" s="26"/>
      <c r="E243" s="26"/>
      <c r="F243" s="26"/>
      <c r="G243" s="26"/>
      <c r="H243" s="5"/>
    </row>
    <row r="244" spans="2:19" ht="14.25" customHeight="1">
      <c r="C244" s="245"/>
      <c r="D244" s="26"/>
      <c r="E244" s="26"/>
      <c r="F244" s="26"/>
      <c r="G244" s="26"/>
      <c r="H244" s="5"/>
    </row>
    <row r="245" spans="2:19" ht="14.25" customHeight="1">
      <c r="C245" s="245"/>
      <c r="D245" s="26"/>
      <c r="E245" s="26"/>
      <c r="F245" s="26"/>
      <c r="G245" s="26"/>
      <c r="H245" s="5"/>
    </row>
    <row r="246" spans="2:19" ht="14.25" customHeight="1">
      <c r="C246" s="245"/>
      <c r="D246" s="26"/>
      <c r="E246" s="26"/>
      <c r="F246" s="26"/>
      <c r="G246" s="26"/>
      <c r="H246" s="5"/>
    </row>
    <row r="247" spans="2:19" ht="14.25" customHeight="1">
      <c r="C247" s="245"/>
      <c r="D247" s="26"/>
      <c r="E247" s="26"/>
      <c r="F247" s="26"/>
      <c r="G247" s="26"/>
      <c r="H247" s="5"/>
    </row>
    <row r="248" spans="2:19" ht="14.25" customHeight="1">
      <c r="C248" s="245"/>
      <c r="D248" s="26"/>
      <c r="E248" s="26"/>
      <c r="F248" s="26"/>
      <c r="G248" s="26"/>
      <c r="H248" s="5"/>
    </row>
    <row r="249" spans="2:19" ht="14.25" customHeight="1">
      <c r="C249" s="245"/>
      <c r="D249" s="26"/>
      <c r="E249" s="26"/>
      <c r="F249" s="26"/>
      <c r="G249" s="26"/>
      <c r="H249" s="5"/>
    </row>
    <row r="250" spans="2:19" ht="14.25" customHeight="1">
      <c r="C250" s="245"/>
      <c r="D250" s="26"/>
      <c r="E250" s="26"/>
      <c r="F250" s="26"/>
      <c r="G250" s="26"/>
      <c r="H250" s="5"/>
    </row>
    <row r="251" spans="2:19" ht="14.25" customHeight="1">
      <c r="C251" s="245"/>
      <c r="D251" s="26"/>
      <c r="E251" s="26"/>
      <c r="F251" s="26"/>
      <c r="G251" s="26"/>
      <c r="H251" s="5"/>
    </row>
    <row r="252" spans="2:19" ht="14.25" customHeight="1">
      <c r="C252" s="245"/>
      <c r="D252" s="26"/>
      <c r="E252" s="26"/>
      <c r="F252" s="26"/>
      <c r="G252" s="26"/>
      <c r="H252" s="5"/>
    </row>
    <row r="253" spans="2:19" ht="14.25" customHeight="1">
      <c r="C253" s="245"/>
      <c r="D253" s="26"/>
      <c r="E253" s="26"/>
      <c r="F253" s="26"/>
      <c r="G253" s="26"/>
      <c r="H253" s="5"/>
    </row>
    <row r="254" spans="2:19" ht="14.25" customHeight="1">
      <c r="C254" s="245"/>
      <c r="D254" s="26"/>
      <c r="E254" s="26"/>
      <c r="F254" s="26"/>
      <c r="G254" s="26"/>
      <c r="H254" s="5"/>
    </row>
    <row r="255" spans="2:19" ht="14.25" customHeight="1">
      <c r="C255" s="245"/>
      <c r="D255" s="26"/>
      <c r="E255" s="26"/>
      <c r="F255" s="26"/>
      <c r="G255" s="26"/>
      <c r="H255" s="5"/>
    </row>
    <row r="256" spans="2:19" ht="14.25" customHeight="1">
      <c r="C256" s="245"/>
      <c r="D256" s="26"/>
      <c r="E256" s="26"/>
      <c r="F256" s="26"/>
      <c r="G256" s="26"/>
      <c r="H256" s="5"/>
    </row>
    <row r="257" spans="3:8" ht="14.25" customHeight="1">
      <c r="C257" s="245"/>
      <c r="D257" s="26"/>
      <c r="E257" s="26"/>
      <c r="F257" s="26"/>
      <c r="G257" s="26"/>
      <c r="H257" s="5"/>
    </row>
    <row r="258" spans="3:8" ht="14.25" customHeight="1">
      <c r="C258" s="245"/>
      <c r="D258" s="26"/>
      <c r="E258" s="26"/>
      <c r="F258" s="26"/>
      <c r="G258" s="26"/>
      <c r="H258" s="5"/>
    </row>
    <row r="259" spans="3:8" ht="14.25" customHeight="1">
      <c r="C259" s="245"/>
      <c r="D259" s="26"/>
      <c r="E259" s="26"/>
      <c r="F259" s="26"/>
      <c r="G259" s="26"/>
      <c r="H259" s="5"/>
    </row>
    <row r="260" spans="3:8" ht="14.25" customHeight="1">
      <c r="C260" s="245"/>
      <c r="D260" s="26"/>
      <c r="E260" s="26"/>
      <c r="F260" s="26"/>
      <c r="G260" s="26"/>
      <c r="H260" s="5"/>
    </row>
    <row r="261" spans="3:8" ht="14.25" customHeight="1">
      <c r="C261" s="245"/>
      <c r="D261" s="26"/>
      <c r="E261" s="26"/>
      <c r="F261" s="26"/>
      <c r="G261" s="26"/>
      <c r="H261" s="5"/>
    </row>
    <row r="262" spans="3:8" ht="14.25" customHeight="1">
      <c r="C262" s="245"/>
      <c r="D262" s="26"/>
      <c r="E262" s="26"/>
      <c r="F262" s="26"/>
      <c r="G262" s="26"/>
      <c r="H262" s="5"/>
    </row>
    <row r="263" spans="3:8" ht="14.25" customHeight="1">
      <c r="C263" s="245"/>
      <c r="D263" s="26"/>
      <c r="E263" s="26"/>
      <c r="F263" s="26"/>
      <c r="G263" s="26"/>
      <c r="H263" s="5"/>
    </row>
    <row r="264" spans="3:8" ht="14.25" customHeight="1">
      <c r="C264" s="245"/>
      <c r="D264" s="26"/>
      <c r="E264" s="26"/>
      <c r="F264" s="26"/>
      <c r="G264" s="26"/>
      <c r="H264" s="5"/>
    </row>
    <row r="265" spans="3:8" ht="14.25" customHeight="1">
      <c r="C265" s="245"/>
      <c r="D265" s="26"/>
      <c r="E265" s="26"/>
      <c r="F265" s="26"/>
      <c r="G265" s="26"/>
      <c r="H265" s="5"/>
    </row>
    <row r="266" spans="3:8" ht="14.25" customHeight="1">
      <c r="C266" s="245"/>
      <c r="D266" s="26"/>
      <c r="E266" s="26"/>
      <c r="F266" s="26"/>
      <c r="G266" s="26"/>
      <c r="H266" s="5"/>
    </row>
    <row r="267" spans="3:8" ht="14.25" customHeight="1">
      <c r="C267" s="245"/>
      <c r="D267" s="26"/>
      <c r="E267" s="26"/>
      <c r="F267" s="26"/>
      <c r="G267" s="26"/>
      <c r="H267" s="5"/>
    </row>
    <row r="268" spans="3:8" ht="14.25" customHeight="1">
      <c r="C268" s="245"/>
      <c r="D268" s="26"/>
      <c r="E268" s="26"/>
      <c r="F268" s="26"/>
      <c r="G268" s="26"/>
      <c r="H268" s="5"/>
    </row>
    <row r="269" spans="3:8" ht="14.25" customHeight="1">
      <c r="C269" s="245"/>
      <c r="D269" s="26"/>
      <c r="E269" s="26"/>
      <c r="F269" s="26"/>
      <c r="G269" s="26"/>
      <c r="H269" s="5"/>
    </row>
    <row r="270" spans="3:8" ht="14.25" customHeight="1">
      <c r="C270" s="245"/>
      <c r="D270" s="26"/>
      <c r="E270" s="26"/>
      <c r="F270" s="26"/>
      <c r="G270" s="26"/>
      <c r="H270" s="5"/>
    </row>
    <row r="271" spans="3:8" ht="14.25" customHeight="1">
      <c r="C271" s="245"/>
      <c r="D271" s="26"/>
      <c r="E271" s="26"/>
      <c r="F271" s="26"/>
      <c r="G271" s="26"/>
      <c r="H271" s="5"/>
    </row>
    <row r="272" spans="3:8" ht="14.25" customHeight="1">
      <c r="C272" s="245"/>
      <c r="D272" s="26"/>
      <c r="E272" s="26"/>
      <c r="F272" s="26"/>
      <c r="G272" s="26"/>
      <c r="H272" s="5"/>
    </row>
    <row r="273" spans="3:8" ht="14.25" customHeight="1">
      <c r="C273" s="245"/>
      <c r="D273" s="26"/>
      <c r="E273" s="26"/>
      <c r="F273" s="26"/>
      <c r="G273" s="26"/>
      <c r="H273" s="5"/>
    </row>
    <row r="274" spans="3:8" ht="14.25" customHeight="1">
      <c r="C274" s="245"/>
      <c r="D274" s="26"/>
      <c r="E274" s="26"/>
      <c r="F274" s="26"/>
      <c r="G274" s="26"/>
      <c r="H274" s="5"/>
    </row>
    <row r="275" spans="3:8" ht="14.25" customHeight="1">
      <c r="C275" s="245"/>
      <c r="D275" s="26"/>
      <c r="E275" s="26"/>
      <c r="F275" s="26"/>
      <c r="G275" s="26"/>
      <c r="H275" s="5"/>
    </row>
    <row r="276" spans="3:8" ht="14.25" customHeight="1">
      <c r="C276" s="245"/>
      <c r="D276" s="26"/>
      <c r="E276" s="26"/>
      <c r="F276" s="26"/>
      <c r="G276" s="26"/>
      <c r="H276" s="5"/>
    </row>
    <row r="277" spans="3:8" ht="14.25" customHeight="1">
      <c r="C277" s="245"/>
      <c r="D277" s="26"/>
      <c r="E277" s="26"/>
      <c r="F277" s="26"/>
      <c r="G277" s="26"/>
      <c r="H277" s="5"/>
    </row>
    <row r="278" spans="3:8" ht="14.25" customHeight="1">
      <c r="C278" s="245"/>
      <c r="D278" s="26"/>
      <c r="E278" s="26"/>
      <c r="F278" s="26"/>
      <c r="G278" s="26"/>
      <c r="H278" s="5"/>
    </row>
    <row r="279" spans="3:8" ht="14.25" customHeight="1">
      <c r="C279" s="245"/>
      <c r="D279" s="26"/>
      <c r="E279" s="26"/>
      <c r="F279" s="26"/>
      <c r="G279" s="26"/>
      <c r="H279" s="5"/>
    </row>
    <row r="280" spans="3:8" ht="14.25" customHeight="1">
      <c r="C280" s="245"/>
      <c r="D280" s="26"/>
      <c r="E280" s="26"/>
      <c r="F280" s="26"/>
      <c r="G280" s="26"/>
      <c r="H280" s="5"/>
    </row>
    <row r="281" spans="3:8" ht="14.25" customHeight="1">
      <c r="C281" s="245"/>
      <c r="D281" s="26"/>
      <c r="E281" s="26"/>
      <c r="F281" s="26"/>
      <c r="G281" s="26"/>
      <c r="H281" s="5"/>
    </row>
    <row r="282" spans="3:8" ht="14.25" customHeight="1">
      <c r="C282" s="245"/>
      <c r="D282" s="26"/>
      <c r="E282" s="26"/>
      <c r="F282" s="26"/>
      <c r="G282" s="26"/>
      <c r="H282" s="5"/>
    </row>
    <row r="283" spans="3:8" ht="13.5" customHeight="1">
      <c r="C283" s="245"/>
      <c r="D283" s="26"/>
      <c r="E283" s="26"/>
      <c r="F283" s="26"/>
      <c r="G283" s="26"/>
      <c r="H283" s="5"/>
    </row>
    <row r="284" spans="3:8" ht="14.25" customHeight="1">
      <c r="C284" s="245"/>
      <c r="D284" s="26"/>
      <c r="E284" s="26"/>
      <c r="F284" s="26"/>
      <c r="G284" s="26"/>
      <c r="H284" s="5"/>
    </row>
    <row r="285" spans="3:8" ht="14.25" customHeight="1">
      <c r="C285" s="245"/>
      <c r="D285" s="26"/>
      <c r="E285" s="26"/>
      <c r="F285" s="26"/>
      <c r="G285" s="26"/>
      <c r="H285" s="5"/>
    </row>
    <row r="286" spans="3:8" ht="14.25" customHeight="1">
      <c r="C286" s="245"/>
      <c r="D286" s="26"/>
      <c r="E286" s="26"/>
      <c r="F286" s="26"/>
      <c r="G286" s="26"/>
      <c r="H286" s="5"/>
    </row>
    <row r="287" spans="3:8" ht="14.25" customHeight="1">
      <c r="C287" s="245"/>
      <c r="D287" s="26"/>
      <c r="E287" s="26"/>
      <c r="F287" s="26"/>
      <c r="G287" s="26"/>
      <c r="H287" s="5"/>
    </row>
    <row r="288" spans="3:8" ht="14.25" customHeight="1">
      <c r="C288" s="245"/>
      <c r="D288" s="26"/>
      <c r="E288" s="26"/>
      <c r="F288" s="26"/>
      <c r="G288" s="26"/>
      <c r="H288" s="5"/>
    </row>
    <row r="289" spans="1:46" ht="14.25" customHeight="1">
      <c r="C289" s="245"/>
      <c r="D289" s="26"/>
      <c r="E289" s="26"/>
      <c r="F289" s="26"/>
      <c r="G289" s="26"/>
      <c r="H289" s="5"/>
    </row>
    <row r="290" spans="1:46" ht="14.25" customHeight="1">
      <c r="C290" s="245"/>
      <c r="D290" s="26"/>
      <c r="E290" s="26"/>
      <c r="F290" s="26"/>
      <c r="G290" s="26"/>
      <c r="H290" s="5"/>
    </row>
    <row r="291" spans="1:46" s="8" customFormat="1">
      <c r="B291" s="494" t="str">
        <f>TITLE!$C$11</f>
        <v>Полотна каркасно-щитові: ІДЕЯ</v>
      </c>
      <c r="C291" s="494"/>
      <c r="D291" s="118"/>
      <c r="E291" s="118"/>
      <c r="F291" s="118"/>
      <c r="G291" s="118"/>
      <c r="H291" s="118"/>
      <c r="I291" s="121"/>
      <c r="J291" s="121"/>
      <c r="K291" s="121"/>
      <c r="L291" s="121"/>
      <c r="M291" s="121"/>
      <c r="N291" s="121"/>
      <c r="O291" s="121"/>
      <c r="P291" s="121"/>
      <c r="Q291" s="121"/>
      <c r="R291" s="121"/>
      <c r="S291" s="517" t="str">
        <f>IF($C$1="ENG",CONCATENATE("up to: "),CONCATENATE("вгору до: ",B164))</f>
        <v>вгору до: Полотна каркасно-щитові: ГЕОМЕТРІЯ</v>
      </c>
      <c r="T291" s="527"/>
      <c r="U291" s="527"/>
      <c r="V291" s="527"/>
      <c r="W291" s="527"/>
      <c r="AN291" s="280"/>
      <c r="AO291" s="280"/>
      <c r="AP291" s="280"/>
      <c r="AQ291" s="280"/>
      <c r="AR291" s="280"/>
      <c r="AS291" s="280"/>
      <c r="AT291" s="280"/>
    </row>
    <row r="292" spans="1:46" s="8" customFormat="1" ht="5.0999999999999996" customHeight="1">
      <c r="B292" s="117"/>
      <c r="C292" s="420"/>
      <c r="D292" s="9"/>
      <c r="E292" s="9"/>
      <c r="F292" s="9"/>
      <c r="G292" s="9"/>
      <c r="H292" s="10"/>
      <c r="T292" s="115"/>
      <c r="U292" s="115"/>
      <c r="V292" s="115"/>
      <c r="W292" s="115"/>
      <c r="AN292" s="280"/>
      <c r="AO292" s="280"/>
      <c r="AP292" s="280"/>
      <c r="AQ292" s="280"/>
      <c r="AR292" s="280"/>
      <c r="AS292" s="280"/>
      <c r="AT292" s="280"/>
    </row>
    <row r="293" spans="1:46" ht="12.75" customHeight="1">
      <c r="A293" s="8"/>
      <c r="B293" s="509" t="str">
        <f>IF($C$1="ENG","model","модель")</f>
        <v>модель</v>
      </c>
      <c r="C293" s="122" t="str">
        <f>IF($C$1="ENG","cover:","покриття:")</f>
        <v>покриття:</v>
      </c>
      <c r="D293" s="498" t="str">
        <f>IF($C$1="ENG","SIMPL / V-CELL","SIMPL / V-CELL")</f>
        <v>SIMPL / V-CELL</v>
      </c>
      <c r="E293" s="500"/>
      <c r="F293" s="498" t="str">
        <f>IF($C$1="ENG","UNI-MAT","UNI-MAT")</f>
        <v>UNI-MAT</v>
      </c>
      <c r="G293" s="500"/>
      <c r="H293" s="498" t="str">
        <f>IF($C$1="ENG","RESIST","RESIST")</f>
        <v>RESIST</v>
      </c>
      <c r="I293" s="500"/>
      <c r="J293" s="46"/>
      <c r="K293" s="46"/>
      <c r="L293" s="100"/>
      <c r="M293" s="11"/>
      <c r="P293" s="100"/>
      <c r="Q293" s="11"/>
    </row>
    <row r="294" spans="1:46" ht="12.75" customHeight="1">
      <c r="A294" s="8"/>
      <c r="B294" s="510"/>
      <c r="C294" s="123" t="str">
        <f>IF($C$1="ENG","filling:","заповнення:")</f>
        <v>заповнення:</v>
      </c>
      <c r="D294" s="505" t="str">
        <f>IF($C$1="ENG","honeycomb core ","сотове заповнення")</f>
        <v>сотове заповнення</v>
      </c>
      <c r="E294" s="506"/>
      <c r="F294" s="505" t="str">
        <f>IF($C$1="ENG","honeycomb core ","сотове заповнення")</f>
        <v>сотове заповнення</v>
      </c>
      <c r="G294" s="506"/>
      <c r="H294" s="505" t="str">
        <f>IF($C$1="ENG","honeycomb core ","сотове заповнення")</f>
        <v>сотове заповнення</v>
      </c>
      <c r="I294" s="506"/>
      <c r="J294" s="146"/>
      <c r="K294" s="146"/>
      <c r="L294" s="100"/>
      <c r="M294" s="11"/>
      <c r="P294" s="100"/>
      <c r="Q294" s="11"/>
    </row>
    <row r="295" spans="1:46" ht="12.75" customHeight="1">
      <c r="A295" s="8"/>
      <c r="B295" s="511"/>
      <c r="C295" s="124" t="str">
        <f>IF($C$1="ENG","glazing:","скління:")</f>
        <v>скління:</v>
      </c>
      <c r="D295" s="489" t="str">
        <f>IF($C$1="ENG","Satin / Wave","Сатин / Жалюзі")</f>
        <v>Сатин / Жалюзі</v>
      </c>
      <c r="E295" s="492"/>
      <c r="F295" s="489" t="str">
        <f>IF($C$1="ENG","Satin / Wave","Сатин / Жалюзі")</f>
        <v>Сатин / Жалюзі</v>
      </c>
      <c r="G295" s="492"/>
      <c r="H295" s="489" t="str">
        <f>IF($C$1="ENG","Satin / Wave","Сатин / Жалюзі")</f>
        <v>Сатин / Жалюзі</v>
      </c>
      <c r="I295" s="492"/>
      <c r="J295" s="47"/>
      <c r="K295" s="131"/>
      <c r="L295" s="100"/>
      <c r="M295" s="11"/>
      <c r="P295" s="100"/>
      <c r="Q295" s="11"/>
      <c r="AC295" s="1" t="str">
        <f>D293</f>
        <v>SIMPL / V-CELL</v>
      </c>
      <c r="AD295" s="1" t="str">
        <f>F293</f>
        <v>UNI-MAT</v>
      </c>
      <c r="AE295" s="1" t="str">
        <f>H293</f>
        <v>RESIST</v>
      </c>
    </row>
    <row r="296" spans="1:46" ht="35.1" customHeight="1">
      <c r="A296" s="8"/>
      <c r="B296" s="13" t="s">
        <v>26</v>
      </c>
      <c r="C296" s="14"/>
      <c r="D296" s="15">
        <f>IF(AC296="","",(1-$W$2)*(AC296/1.2))</f>
        <v>2075</v>
      </c>
      <c r="E296" s="64">
        <f>IF($W$5=0.2,D296*1.2,D296)/$W$4</f>
        <v>2490</v>
      </c>
      <c r="F296" s="15">
        <f>IF(AD296="","",(1-$W$2)*(AD296/1.2))</f>
        <v>2383.3333333333335</v>
      </c>
      <c r="G296" s="64">
        <f>IF($W$5=0.2,F296*1.2,F296)/$W$4</f>
        <v>2860</v>
      </c>
      <c r="H296" s="15">
        <f>IF(AE296="","",(1-$W$2)*(AE296/1.2))</f>
        <v>2641.666666666667</v>
      </c>
      <c r="I296" s="64">
        <f>IF($W$5=0.2,H296*1.2,H296)/$W$4</f>
        <v>3170.0000000000005</v>
      </c>
      <c r="J296" s="28"/>
      <c r="K296" s="59"/>
      <c r="L296" s="142"/>
      <c r="M296" s="20"/>
      <c r="N296" s="104"/>
      <c r="O296" s="20"/>
      <c r="P296" s="142"/>
      <c r="Q296" s="20"/>
      <c r="R296" s="104"/>
      <c r="S296" s="20"/>
      <c r="T296" s="104"/>
      <c r="V296" s="104"/>
      <c r="W296" s="20"/>
      <c r="X296" s="22"/>
      <c r="Y296" s="22"/>
      <c r="Z296" s="22"/>
      <c r="AA296" s="22"/>
      <c r="AB296" s="22"/>
      <c r="AC296" s="332">
        <v>2490</v>
      </c>
      <c r="AD296" s="332">
        <v>2860</v>
      </c>
      <c r="AE296" s="332">
        <v>3170</v>
      </c>
      <c r="AF296" s="289">
        <v>2490</v>
      </c>
      <c r="AG296" s="289">
        <f>AF296/AC296-1</f>
        <v>0</v>
      </c>
      <c r="AH296" s="289">
        <v>2860</v>
      </c>
      <c r="AI296" s="289">
        <f>AH296/AD296-1</f>
        <v>0</v>
      </c>
      <c r="AJ296" s="289">
        <v>3170</v>
      </c>
      <c r="AK296" s="289">
        <f>AJ296/AE296-1</f>
        <v>0</v>
      </c>
      <c r="AL296" s="289"/>
      <c r="AM296" s="334"/>
      <c r="AN296" s="310"/>
      <c r="AO296" s="334"/>
      <c r="AP296" s="333"/>
    </row>
    <row r="297" spans="1:46" ht="35.1" customHeight="1">
      <c r="A297" s="8"/>
      <c r="B297" s="16" t="s">
        <v>22</v>
      </c>
      <c r="C297" s="17"/>
      <c r="D297" s="18">
        <f>IF(AC297="","",(1-$W$2)*(AC297/1.2))</f>
        <v>3991.666666666667</v>
      </c>
      <c r="E297" s="66">
        <f>IF($W$5=0.2,D297*1.2,D297)/$W$4</f>
        <v>4790</v>
      </c>
      <c r="F297" s="18">
        <f>IF(AD297="","",(1-$W$2)*(AD297/1.2))</f>
        <v>4591.666666666667</v>
      </c>
      <c r="G297" s="66">
        <f>IF($W$5=0.2,F297*1.2,F297)/$W$4</f>
        <v>5510</v>
      </c>
      <c r="H297" s="18">
        <f>IF(AE297="","",(1-$W$2)*(AE297/1.2))</f>
        <v>4958.3333333333339</v>
      </c>
      <c r="I297" s="66">
        <f>IF($W$5=0.2,H297*1.2,H297)/$W$4</f>
        <v>5950.0000000000009</v>
      </c>
      <c r="J297" s="28"/>
      <c r="K297" s="59"/>
      <c r="L297" s="142"/>
      <c r="M297" s="20"/>
      <c r="N297" s="104"/>
      <c r="O297" s="20"/>
      <c r="P297" s="142"/>
      <c r="Q297" s="20"/>
      <c r="R297" s="104"/>
      <c r="S297" s="20"/>
      <c r="T297" s="104"/>
      <c r="V297" s="104"/>
      <c r="W297" s="20"/>
      <c r="AC297" s="332">
        <v>4790</v>
      </c>
      <c r="AD297" s="332">
        <v>5510</v>
      </c>
      <c r="AE297" s="332">
        <v>5950</v>
      </c>
      <c r="AF297" s="289">
        <v>4790</v>
      </c>
      <c r="AG297" s="289">
        <f t="shared" ref="AG297:AG300" si="26">AF297/AC297-1</f>
        <v>0</v>
      </c>
      <c r="AH297" s="289">
        <v>5510</v>
      </c>
      <c r="AI297" s="289">
        <f t="shared" ref="AI297:AI300" si="27">AH297/AD297-1</f>
        <v>0</v>
      </c>
      <c r="AJ297" s="289">
        <v>5950</v>
      </c>
      <c r="AK297" s="289">
        <f>AJ297/AE297-1</f>
        <v>0</v>
      </c>
      <c r="AL297" s="289"/>
      <c r="AM297" s="334"/>
      <c r="AN297" s="310"/>
      <c r="AO297" s="334"/>
      <c r="AP297" s="333"/>
    </row>
    <row r="298" spans="1:46" ht="35.1" customHeight="1">
      <c r="A298" s="8"/>
      <c r="B298" s="16" t="s">
        <v>23</v>
      </c>
      <c r="C298" s="17"/>
      <c r="D298" s="18">
        <f>IF(AC298="","",(1-$W$2)*(AC298/1.2))</f>
        <v>4158.3333333333339</v>
      </c>
      <c r="E298" s="66">
        <f>IF($W$5=0.2,D298*1.2,D298)/$W$4</f>
        <v>4990.0000000000009</v>
      </c>
      <c r="F298" s="18">
        <f>IF(AD298="","",(1-$W$2)*(AD298/1.2))</f>
        <v>4791.666666666667</v>
      </c>
      <c r="G298" s="66">
        <f>IF($W$5=0.2,F298*1.2,F298)/$W$4</f>
        <v>5750</v>
      </c>
      <c r="H298" s="18">
        <f>IF(AE298="","",(1-$W$2)*(AE298/1.2))</f>
        <v>5066.666666666667</v>
      </c>
      <c r="I298" s="66">
        <f>IF($W$5=0.2,H298*1.2,H298)/$W$4</f>
        <v>6080</v>
      </c>
      <c r="J298" s="28"/>
      <c r="K298" s="59"/>
      <c r="L298" s="142"/>
      <c r="M298" s="20"/>
      <c r="N298" s="104"/>
      <c r="O298" s="20"/>
      <c r="P298" s="142"/>
      <c r="Q298" s="20"/>
      <c r="R298" s="104"/>
      <c r="S298" s="20"/>
      <c r="T298" s="104"/>
      <c r="V298" s="104"/>
      <c r="W298" s="20"/>
      <c r="AC298" s="332">
        <v>4990</v>
      </c>
      <c r="AD298" s="332">
        <v>5750</v>
      </c>
      <c r="AE298" s="332">
        <v>6080</v>
      </c>
      <c r="AF298" s="289">
        <v>4990</v>
      </c>
      <c r="AG298" s="289">
        <f t="shared" si="26"/>
        <v>0</v>
      </c>
      <c r="AH298" s="289">
        <v>5750</v>
      </c>
      <c r="AI298" s="289">
        <f t="shared" si="27"/>
        <v>0</v>
      </c>
      <c r="AJ298" s="289">
        <v>6080</v>
      </c>
      <c r="AK298" s="289">
        <f t="shared" ref="AK298:AK300" si="28">AJ298/AE298-1</f>
        <v>0</v>
      </c>
      <c r="AL298" s="289"/>
      <c r="AM298" s="334"/>
      <c r="AN298" s="310"/>
      <c r="AO298" s="334"/>
      <c r="AP298" s="333"/>
    </row>
    <row r="299" spans="1:46" ht="35.1" customHeight="1">
      <c r="A299" s="8"/>
      <c r="B299" s="16" t="s">
        <v>25</v>
      </c>
      <c r="C299" s="17"/>
      <c r="D299" s="18">
        <f>IF(AC299="","",(1-$W$2)*(AC299/1.2))</f>
        <v>4541.666666666667</v>
      </c>
      <c r="E299" s="66">
        <f>IF($W$5=0.2,D299*1.2,D299)/$W$4</f>
        <v>5450</v>
      </c>
      <c r="F299" s="18">
        <f>IF(AD299="","",(1-$W$2)*(AD299/1.2))</f>
        <v>5225</v>
      </c>
      <c r="G299" s="66">
        <f>IF($W$5=0.2,F299*1.2,F299)/$W$4</f>
        <v>6270</v>
      </c>
      <c r="H299" s="18">
        <f>IF(AE299="","",(1-$W$2)*(AE299/1.2))</f>
        <v>5458.3333333333339</v>
      </c>
      <c r="I299" s="66">
        <f>IF($W$5=0.2,H299*1.2,H299)/$W$4</f>
        <v>6550.0000000000009</v>
      </c>
      <c r="J299" s="28"/>
      <c r="K299" s="59"/>
      <c r="L299" s="142"/>
      <c r="M299" s="20"/>
      <c r="N299" s="104"/>
      <c r="O299" s="20"/>
      <c r="P299" s="142"/>
      <c r="Q299" s="20"/>
      <c r="R299" s="104"/>
      <c r="S299" s="20"/>
      <c r="T299" s="104"/>
      <c r="V299" s="104"/>
      <c r="W299" s="20"/>
      <c r="AC299" s="332">
        <v>5450</v>
      </c>
      <c r="AD299" s="332">
        <v>6270</v>
      </c>
      <c r="AE299" s="332">
        <v>6550</v>
      </c>
      <c r="AF299" s="289">
        <v>5450</v>
      </c>
      <c r="AG299" s="289">
        <f t="shared" si="26"/>
        <v>0</v>
      </c>
      <c r="AH299" s="289">
        <v>6270</v>
      </c>
      <c r="AI299" s="289">
        <f t="shared" si="27"/>
        <v>0</v>
      </c>
      <c r="AJ299" s="289">
        <v>6550</v>
      </c>
      <c r="AK299" s="289">
        <f t="shared" si="28"/>
        <v>0</v>
      </c>
      <c r="AL299" s="289"/>
      <c r="AM299" s="334"/>
      <c r="AN299" s="310"/>
      <c r="AO299" s="334"/>
      <c r="AP299" s="333"/>
    </row>
    <row r="300" spans="1:46" ht="35.1" customHeight="1">
      <c r="A300" s="8"/>
      <c r="B300" s="23" t="s">
        <v>27</v>
      </c>
      <c r="C300" s="24"/>
      <c r="D300" s="25">
        <f>IF(AC300="","",(1-$W$2)*(AC300/1.2))</f>
        <v>3475</v>
      </c>
      <c r="E300" s="69">
        <f>IF($W$5=0.2,D300*1.2,D300)/$W$4</f>
        <v>4170</v>
      </c>
      <c r="F300" s="25">
        <f>IF(AD300="","",(1-$W$2)*(AD300/1.2))</f>
        <v>3991.666666666667</v>
      </c>
      <c r="G300" s="69">
        <f>IF($W$5=0.2,F300*1.2,F300)/$W$4</f>
        <v>4790</v>
      </c>
      <c r="H300" s="25">
        <f>IF(AE300="","",(1-$W$2)*(AE300/1.2))</f>
        <v>4158.3333333333339</v>
      </c>
      <c r="I300" s="69">
        <f>IF($W$5=0.2,H300*1.2,H300)/$W$4</f>
        <v>4990.0000000000009</v>
      </c>
      <c r="J300" s="28"/>
      <c r="K300" s="59"/>
      <c r="L300" s="142"/>
      <c r="M300" s="20"/>
      <c r="N300" s="104"/>
      <c r="O300" s="20"/>
      <c r="P300" s="142"/>
      <c r="Q300" s="20"/>
      <c r="R300" s="104"/>
      <c r="S300" s="20"/>
      <c r="T300" s="104"/>
      <c r="V300" s="104"/>
      <c r="W300" s="20"/>
      <c r="AC300" s="332">
        <v>4170</v>
      </c>
      <c r="AD300" s="332">
        <v>4790</v>
      </c>
      <c r="AE300" s="332">
        <v>4990</v>
      </c>
      <c r="AF300" s="289">
        <v>4170</v>
      </c>
      <c r="AG300" s="289">
        <f t="shared" si="26"/>
        <v>0</v>
      </c>
      <c r="AH300" s="289">
        <v>4790</v>
      </c>
      <c r="AI300" s="289">
        <f t="shared" si="27"/>
        <v>0</v>
      </c>
      <c r="AJ300" s="289">
        <v>4990</v>
      </c>
      <c r="AK300" s="289">
        <f t="shared" si="28"/>
        <v>0</v>
      </c>
      <c r="AL300" s="289"/>
      <c r="AM300" s="334"/>
      <c r="AN300" s="310"/>
      <c r="AO300" s="334"/>
      <c r="AP300" s="333"/>
    </row>
    <row r="301" spans="1:46">
      <c r="C301" s="245"/>
      <c r="D301" s="26"/>
      <c r="E301" s="57"/>
      <c r="F301" s="26"/>
      <c r="G301" s="57"/>
      <c r="H301" s="60"/>
      <c r="I301" s="143"/>
      <c r="J301" s="48"/>
      <c r="K301" s="143"/>
      <c r="L301" s="48"/>
      <c r="P301" s="48"/>
    </row>
    <row r="302" spans="1:46">
      <c r="B302" s="212" t="str">
        <f>IF($C$1="ENG","For additonal charge:","Послуги за додаткову плату:")</f>
        <v>Послуги за додаткову плату:</v>
      </c>
      <c r="C302" s="421"/>
      <c r="D302" s="213"/>
      <c r="E302" s="214"/>
      <c r="F302" s="26"/>
      <c r="G302" s="26"/>
      <c r="H302" s="10"/>
      <c r="I302" s="84"/>
      <c r="K302" s="20"/>
    </row>
    <row r="303" spans="1:46" ht="5.0999999999999996" customHeight="1">
      <c r="B303" s="27"/>
      <c r="C303" s="245"/>
      <c r="D303" s="26"/>
      <c r="E303" s="57"/>
      <c r="F303" s="26"/>
      <c r="G303" s="26"/>
      <c r="H303" s="10"/>
      <c r="I303" s="8"/>
      <c r="K303" s="20"/>
    </row>
    <row r="304" spans="1:46">
      <c r="B304" s="514" t="str">
        <f>IF($C$1="ENG","Ventilation sleeves (1 row)","вентиляційні віддушини (1ряд)")</f>
        <v>вентиляційні віддушини (1ряд)</v>
      </c>
      <c r="C304" s="515"/>
      <c r="D304" s="410">
        <f t="shared" ref="D304:D317" si="29">IF(AC304="","",(1-$W$2)*(AC304/1.2))</f>
        <v>208.33333333333334</v>
      </c>
      <c r="E304" s="64">
        <f t="shared" ref="E304:E315" si="30">IF($W$5=0.2,D304*1.2,D304)/$W$4</f>
        <v>250</v>
      </c>
      <c r="F304" s="26"/>
      <c r="G304" s="26"/>
      <c r="AC304" s="298">
        <v>250</v>
      </c>
      <c r="AD304" s="289">
        <v>250</v>
      </c>
      <c r="AE304" s="289">
        <f t="shared" ref="AE304" si="31">AD304/AC304-1</f>
        <v>0</v>
      </c>
      <c r="AF304" s="289"/>
      <c r="AG304" s="289"/>
      <c r="AH304" s="289"/>
      <c r="AI304" s="289"/>
      <c r="AJ304" s="289"/>
      <c r="AK304" s="289"/>
      <c r="AL304" s="289"/>
    </row>
    <row r="305" spans="2:38">
      <c r="B305" s="514" t="str">
        <f>IF($C$1="ENG","Ventilation cut","вентиляційний підріз")</f>
        <v>вентиляційний підріз</v>
      </c>
      <c r="C305" s="515"/>
      <c r="D305" s="405">
        <f t="shared" si="29"/>
        <v>141.66666666666669</v>
      </c>
      <c r="E305" s="66">
        <f t="shared" si="30"/>
        <v>170.00000000000003</v>
      </c>
      <c r="F305" s="26"/>
      <c r="G305" s="26"/>
      <c r="I305" s="59"/>
      <c r="J305" s="28"/>
      <c r="AC305" s="298">
        <v>170</v>
      </c>
      <c r="AD305" s="289">
        <v>170</v>
      </c>
      <c r="AE305" s="289">
        <f t="shared" ref="AE305:AE317" si="32">AD305/AC305-1</f>
        <v>0</v>
      </c>
      <c r="AF305" s="289"/>
      <c r="AG305" s="289"/>
      <c r="AH305" s="289"/>
      <c r="AI305" s="289"/>
      <c r="AJ305" s="289"/>
      <c r="AK305" s="289"/>
      <c r="AL305" s="289"/>
    </row>
    <row r="306" spans="2:38">
      <c r="B306" s="514" t="str">
        <f>IF($C$1="ENG","third door hindge","третя завіса")</f>
        <v>третя завіса</v>
      </c>
      <c r="C306" s="515"/>
      <c r="D306" s="405">
        <f t="shared" si="29"/>
        <v>66.666666666666671</v>
      </c>
      <c r="E306" s="66">
        <f t="shared" si="30"/>
        <v>80</v>
      </c>
      <c r="F306" s="26"/>
      <c r="G306" s="26"/>
      <c r="AC306" s="298">
        <v>80</v>
      </c>
      <c r="AD306" s="289">
        <v>80</v>
      </c>
      <c r="AE306" s="289">
        <f t="shared" si="32"/>
        <v>0</v>
      </c>
      <c r="AF306" s="289"/>
      <c r="AG306" s="289"/>
      <c r="AH306" s="289"/>
      <c r="AI306" s="289"/>
      <c r="AJ306" s="289"/>
      <c r="AK306" s="289"/>
      <c r="AL306" s="289"/>
    </row>
    <row r="307" spans="2:38">
      <c r="B307" s="501" t="str">
        <f>IF($C$1="ENG","glazing Graphite / Bronze","скло Графіт / Бронза")</f>
        <v>скло Графіт / Бронза</v>
      </c>
      <c r="C307" s="502"/>
      <c r="D307" s="407">
        <f>IF(AC307="","",(1-$W$2)*(AC307/1.2))</f>
        <v>458.33333333333337</v>
      </c>
      <c r="E307" s="93">
        <f>IF($W$5=0.2,D307*1.2,D307)/$W$4</f>
        <v>550</v>
      </c>
      <c r="F307" s="26"/>
      <c r="G307" s="26"/>
      <c r="H307" s="5"/>
      <c r="AC307" s="298">
        <v>550</v>
      </c>
      <c r="AD307" s="289">
        <v>550</v>
      </c>
      <c r="AE307" s="289">
        <f t="shared" si="32"/>
        <v>0</v>
      </c>
      <c r="AF307" s="289"/>
      <c r="AG307" s="289"/>
      <c r="AH307" s="289"/>
      <c r="AI307" s="289"/>
      <c r="AJ307" s="289"/>
      <c r="AK307" s="289"/>
      <c r="AL307" s="289"/>
    </row>
    <row r="308" spans="2:38">
      <c r="B308" s="501" t="str">
        <f>IF($C$1="ENG","door lock Soft","замок Soft")</f>
        <v>замок Soft</v>
      </c>
      <c r="C308" s="502"/>
      <c r="D308" s="407">
        <f t="shared" si="29"/>
        <v>458.33333333333337</v>
      </c>
      <c r="E308" s="93">
        <f t="shared" si="30"/>
        <v>550</v>
      </c>
      <c r="F308" s="26"/>
      <c r="G308" s="26"/>
      <c r="H308" s="5"/>
      <c r="AC308" s="298">
        <v>550</v>
      </c>
      <c r="AD308" s="289">
        <v>550</v>
      </c>
      <c r="AE308" s="289">
        <f t="shared" si="32"/>
        <v>0</v>
      </c>
      <c r="AF308" s="289"/>
      <c r="AG308" s="289"/>
      <c r="AH308" s="289"/>
      <c r="AI308" s="289"/>
      <c r="AJ308" s="289"/>
      <c r="AK308" s="289"/>
      <c r="AL308" s="289"/>
    </row>
    <row r="309" spans="2:38">
      <c r="B309" s="501" t="str">
        <f>IF($C$1="ENG","door lock Soft black","замок Soft чорн.")</f>
        <v>замок Soft чорн.</v>
      </c>
      <c r="C309" s="502"/>
      <c r="D309" s="407">
        <f t="shared" ref="D309" si="33">IF(AC309="","",(1-$W$2)*(AC309/1.2))</f>
        <v>566.66666666666674</v>
      </c>
      <c r="E309" s="93">
        <f t="shared" ref="E309" si="34">IF($W$5=0.2,D309*1.2,D309)/$W$4</f>
        <v>680.00000000000011</v>
      </c>
      <c r="F309" s="26"/>
      <c r="G309" s="26"/>
      <c r="H309" s="5"/>
      <c r="AC309" s="298">
        <v>680</v>
      </c>
      <c r="AD309" s="289"/>
      <c r="AE309" s="289"/>
      <c r="AF309" s="289"/>
      <c r="AG309" s="289"/>
      <c r="AH309" s="289"/>
      <c r="AI309" s="289"/>
      <c r="AJ309" s="289"/>
      <c r="AK309" s="289"/>
      <c r="AL309" s="289"/>
    </row>
    <row r="310" spans="2:38">
      <c r="B310" s="501" t="str">
        <f>IF($C$1="ENG","door lock Magnet","замок Magnet")</f>
        <v>замок Magnet</v>
      </c>
      <c r="C310" s="502"/>
      <c r="D310" s="407">
        <f t="shared" si="29"/>
        <v>666.66666666666674</v>
      </c>
      <c r="E310" s="93">
        <f t="shared" si="30"/>
        <v>800.00000000000011</v>
      </c>
      <c r="F310" s="26"/>
      <c r="G310" s="26"/>
      <c r="H310" s="5"/>
      <c r="AC310" s="298">
        <v>800</v>
      </c>
      <c r="AD310" s="289">
        <v>800</v>
      </c>
      <c r="AE310" s="289">
        <f t="shared" si="32"/>
        <v>0</v>
      </c>
      <c r="AF310" s="289"/>
      <c r="AG310" s="289"/>
      <c r="AH310" s="289"/>
      <c r="AI310" s="289"/>
      <c r="AJ310" s="289"/>
      <c r="AK310" s="289"/>
      <c r="AL310" s="289"/>
    </row>
    <row r="311" spans="2:38">
      <c r="B311" s="501" t="s">
        <v>76</v>
      </c>
      <c r="C311" s="502"/>
      <c r="D311" s="407">
        <f t="shared" ref="D311" si="35">IF(AC311="","",(1-$W$2)*(AC311/1.2))</f>
        <v>833.33333333333337</v>
      </c>
      <c r="E311" s="93">
        <f t="shared" si="30"/>
        <v>1000</v>
      </c>
      <c r="F311" s="26"/>
      <c r="G311" s="26"/>
      <c r="H311" s="5"/>
      <c r="AC311" s="298">
        <v>1000</v>
      </c>
      <c r="AD311" s="289"/>
      <c r="AE311" s="289"/>
      <c r="AF311" s="289"/>
      <c r="AG311" s="289"/>
      <c r="AH311" s="289"/>
      <c r="AI311" s="289"/>
      <c r="AJ311" s="289"/>
      <c r="AK311" s="289"/>
      <c r="AL311" s="289"/>
    </row>
    <row r="312" spans="2:38">
      <c r="B312" s="501" t="str">
        <f>IF($C$1="ENG","door handle-lock (for sliding doors)","ручка-замок (для дверей купе)")</f>
        <v>ручка-замок (для дверей купе)</v>
      </c>
      <c r="C312" s="502"/>
      <c r="D312" s="405">
        <f t="shared" si="29"/>
        <v>466.66666666666669</v>
      </c>
      <c r="E312" s="66">
        <f t="shared" si="30"/>
        <v>560</v>
      </c>
      <c r="F312" s="26"/>
      <c r="G312" s="26"/>
      <c r="I312" s="30"/>
      <c r="K312" s="30"/>
      <c r="AC312" s="298">
        <v>560</v>
      </c>
      <c r="AD312" s="289">
        <v>560</v>
      </c>
      <c r="AE312" s="289">
        <f t="shared" si="32"/>
        <v>0</v>
      </c>
      <c r="AF312" s="289"/>
      <c r="AG312" s="289"/>
      <c r="AH312" s="289"/>
      <c r="AI312" s="289"/>
      <c r="AJ312" s="289"/>
      <c r="AK312" s="289"/>
      <c r="AL312" s="289"/>
    </row>
    <row r="313" spans="2:38">
      <c r="B313" s="501" t="str">
        <f>IF($C$1="ENG","cylinder incert","циліндр несиметричний")</f>
        <v>циліндр несиметричний</v>
      </c>
      <c r="C313" s="502"/>
      <c r="D313" s="405">
        <f t="shared" si="29"/>
        <v>325</v>
      </c>
      <c r="E313" s="66">
        <f t="shared" si="30"/>
        <v>390</v>
      </c>
      <c r="F313" s="26"/>
      <c r="G313" s="26"/>
      <c r="AC313" s="298">
        <v>390</v>
      </c>
      <c r="AD313" s="289">
        <v>390</v>
      </c>
      <c r="AE313" s="289">
        <f t="shared" si="32"/>
        <v>0</v>
      </c>
      <c r="AF313" s="289"/>
      <c r="AG313" s="289"/>
      <c r="AH313" s="289"/>
      <c r="AI313" s="289"/>
      <c r="AJ313" s="289"/>
      <c r="AK313" s="289"/>
      <c r="AL313" s="289"/>
    </row>
    <row r="314" spans="2:38">
      <c r="B314" s="501" t="str">
        <f>IF($C$1="ENG","door hindge Prestige (1 unit)","завіса Prestige (1 шт)")</f>
        <v>завіса Prestige (1 шт)</v>
      </c>
      <c r="C314" s="502"/>
      <c r="D314" s="408">
        <f t="shared" si="29"/>
        <v>216.66666666666669</v>
      </c>
      <c r="E314" s="66">
        <f t="shared" si="30"/>
        <v>260</v>
      </c>
      <c r="F314" s="26"/>
      <c r="G314" s="26"/>
      <c r="AC314" s="298">
        <v>260</v>
      </c>
      <c r="AD314" s="289">
        <v>260</v>
      </c>
      <c r="AE314" s="289">
        <f t="shared" si="32"/>
        <v>0</v>
      </c>
      <c r="AF314" s="289"/>
      <c r="AG314" s="289"/>
      <c r="AH314" s="289"/>
      <c r="AI314" s="289"/>
      <c r="AJ314" s="289"/>
      <c r="AK314" s="289"/>
      <c r="AL314" s="289"/>
    </row>
    <row r="315" spans="2:38">
      <c r="B315" s="501" t="str">
        <f>IF($C$1="ENG","door hinge caps (1 set)","накладка на завіси (1 к-т)")</f>
        <v>накладка на завіси (1 к-т)</v>
      </c>
      <c r="C315" s="502"/>
      <c r="D315" s="408">
        <f t="shared" si="29"/>
        <v>66.666666666666671</v>
      </c>
      <c r="E315" s="66">
        <f t="shared" si="30"/>
        <v>80</v>
      </c>
      <c r="F315" s="26"/>
      <c r="G315" s="26"/>
      <c r="AC315" s="298">
        <v>80</v>
      </c>
      <c r="AD315" s="289">
        <v>80</v>
      </c>
      <c r="AE315" s="289">
        <f t="shared" si="32"/>
        <v>0</v>
      </c>
      <c r="AF315" s="289"/>
      <c r="AG315" s="289"/>
      <c r="AH315" s="289"/>
      <c r="AI315" s="289"/>
      <c r="AJ315" s="289"/>
      <c r="AK315" s="289"/>
      <c r="AL315" s="289"/>
    </row>
    <row r="316" spans="2:38">
      <c r="B316" s="501" t="str">
        <f>IF($C$1="ENG","door handle","дверна ручка")</f>
        <v>дверна ручка</v>
      </c>
      <c r="C316" s="502"/>
      <c r="D316" s="405">
        <f t="shared" si="29"/>
        <v>0</v>
      </c>
      <c r="E316" s="136" t="str">
        <f>IF($C$1="ENG","see Handles Price","див. Таблицю Ручки")</f>
        <v>див. Таблицю Ручки</v>
      </c>
      <c r="F316" s="26"/>
      <c r="G316" s="26"/>
      <c r="AC316" s="298">
        <v>0</v>
      </c>
      <c r="AD316" s="289">
        <f t="shared" ref="AD316" si="36">AC316/100*13+AC316</f>
        <v>0</v>
      </c>
      <c r="AE316" s="289" t="e">
        <f t="shared" si="32"/>
        <v>#DIV/0!</v>
      </c>
      <c r="AF316" s="289"/>
      <c r="AG316" s="289"/>
      <c r="AH316" s="289"/>
      <c r="AI316" s="289"/>
      <c r="AJ316" s="289"/>
      <c r="AK316" s="289"/>
      <c r="AL316" s="289"/>
    </row>
    <row r="317" spans="2:38">
      <c r="B317" s="501" t="str">
        <f>IF($C$1="ENG","perforated chipboard","ДСП трубчасте")</f>
        <v>ДСП трубчасте</v>
      </c>
      <c r="C317" s="502"/>
      <c r="D317" s="409">
        <f t="shared" si="29"/>
        <v>1083.3333333333335</v>
      </c>
      <c r="E317" s="69">
        <f>IF($W$5=0.2,D317*1.2,D317)/$W$4</f>
        <v>1300.0000000000002</v>
      </c>
      <c r="F317" s="26"/>
      <c r="G317" s="26"/>
      <c r="AC317" s="298">
        <v>1300</v>
      </c>
      <c r="AD317" s="289">
        <v>1300</v>
      </c>
      <c r="AE317" s="289">
        <f t="shared" si="32"/>
        <v>0</v>
      </c>
      <c r="AF317" s="289"/>
      <c r="AG317" s="289"/>
      <c r="AH317" s="289"/>
      <c r="AI317" s="289"/>
      <c r="AJ317" s="289"/>
      <c r="AK317" s="289"/>
      <c r="AL317" s="289"/>
    </row>
    <row r="318" spans="2:38" ht="14.25" customHeight="1">
      <c r="C318" s="245"/>
      <c r="D318" s="26"/>
      <c r="E318" s="26"/>
      <c r="F318" s="26"/>
      <c r="G318" s="26"/>
      <c r="H318" s="5"/>
      <c r="T318" s="522" t="str">
        <f>IF($C$1="ENG",CONCATENATE("down to: ",B368),CONCATENATE("вниз до: ",B368))</f>
        <v>вниз до: Полотна каркасно-щитові: ІДЕЯ-ЛОФТ</v>
      </c>
      <c r="U318" s="522"/>
      <c r="V318" s="522"/>
      <c r="W318" s="522"/>
    </row>
    <row r="319" spans="2:38" ht="14.25" customHeight="1">
      <c r="C319" s="245"/>
      <c r="D319" s="26"/>
      <c r="E319" s="26"/>
      <c r="F319" s="26"/>
      <c r="G319" s="26"/>
      <c r="H319" s="5"/>
    </row>
    <row r="320" spans="2:38" ht="14.25" customHeight="1">
      <c r="C320" s="245"/>
      <c r="D320" s="26"/>
      <c r="E320" s="26"/>
      <c r="F320" s="26"/>
      <c r="G320" s="26"/>
      <c r="H320" s="5"/>
    </row>
    <row r="321" spans="3:8" ht="14.25" customHeight="1">
      <c r="C321" s="245"/>
      <c r="D321" s="26"/>
      <c r="E321" s="26"/>
      <c r="F321" s="26"/>
      <c r="G321" s="26"/>
      <c r="H321" s="5"/>
    </row>
    <row r="322" spans="3:8" ht="14.25" customHeight="1">
      <c r="C322" s="245"/>
      <c r="D322" s="26"/>
      <c r="E322" s="26"/>
      <c r="F322" s="26"/>
      <c r="G322" s="26"/>
      <c r="H322" s="5"/>
    </row>
    <row r="323" spans="3:8" ht="14.25" customHeight="1">
      <c r="C323" s="245"/>
      <c r="D323" s="26"/>
      <c r="E323" s="26"/>
      <c r="F323" s="26"/>
      <c r="G323" s="26"/>
      <c r="H323" s="5"/>
    </row>
    <row r="324" spans="3:8" ht="14.25" customHeight="1">
      <c r="C324" s="245"/>
      <c r="D324" s="26"/>
      <c r="E324" s="26"/>
      <c r="F324" s="26"/>
      <c r="G324" s="26"/>
      <c r="H324" s="5"/>
    </row>
    <row r="325" spans="3:8" ht="14.25" customHeight="1">
      <c r="C325" s="245"/>
      <c r="D325" s="26"/>
      <c r="E325" s="26"/>
      <c r="F325" s="26"/>
      <c r="G325" s="26"/>
      <c r="H325" s="5"/>
    </row>
    <row r="326" spans="3:8" ht="14.25" customHeight="1">
      <c r="C326" s="245"/>
      <c r="D326" s="26"/>
      <c r="E326" s="26"/>
      <c r="F326" s="26"/>
      <c r="G326" s="26"/>
      <c r="H326" s="5"/>
    </row>
    <row r="327" spans="3:8" ht="14.25" customHeight="1">
      <c r="C327" s="245"/>
      <c r="D327" s="26"/>
      <c r="E327" s="26"/>
      <c r="F327" s="26"/>
      <c r="G327" s="26"/>
      <c r="H327" s="5"/>
    </row>
    <row r="328" spans="3:8" ht="14.25" customHeight="1">
      <c r="C328" s="245"/>
      <c r="D328" s="26"/>
      <c r="E328" s="26"/>
      <c r="F328" s="26"/>
      <c r="G328" s="26"/>
      <c r="H328" s="5"/>
    </row>
    <row r="329" spans="3:8" ht="14.25" customHeight="1">
      <c r="C329" s="245"/>
      <c r="D329" s="26"/>
      <c r="E329" s="26"/>
      <c r="F329" s="26"/>
      <c r="G329" s="26"/>
      <c r="H329" s="5"/>
    </row>
    <row r="330" spans="3:8" ht="14.25" customHeight="1">
      <c r="C330" s="245"/>
      <c r="D330" s="26"/>
      <c r="E330" s="26"/>
      <c r="F330" s="26"/>
      <c r="G330" s="26"/>
      <c r="H330" s="5"/>
    </row>
    <row r="331" spans="3:8" ht="14.25" customHeight="1">
      <c r="C331" s="245"/>
      <c r="D331" s="26"/>
      <c r="E331" s="26"/>
      <c r="F331" s="26"/>
      <c r="G331" s="26"/>
      <c r="H331" s="5"/>
    </row>
    <row r="332" spans="3:8" ht="14.25" customHeight="1">
      <c r="C332" s="245"/>
      <c r="D332" s="26"/>
      <c r="E332" s="26"/>
      <c r="F332" s="26"/>
      <c r="G332" s="26"/>
      <c r="H332" s="5"/>
    </row>
    <row r="333" spans="3:8" ht="14.25" customHeight="1">
      <c r="C333" s="245"/>
      <c r="D333" s="26"/>
      <c r="E333" s="26"/>
      <c r="F333" s="26"/>
      <c r="G333" s="26"/>
      <c r="H333" s="5"/>
    </row>
    <row r="334" spans="3:8" ht="14.25" customHeight="1">
      <c r="C334" s="245"/>
      <c r="D334" s="26"/>
      <c r="E334" s="26"/>
      <c r="F334" s="26"/>
      <c r="G334" s="26"/>
      <c r="H334" s="5"/>
    </row>
    <row r="335" spans="3:8" ht="14.25" customHeight="1">
      <c r="C335" s="245"/>
      <c r="D335" s="26"/>
      <c r="E335" s="26"/>
      <c r="F335" s="26"/>
      <c r="G335" s="26"/>
      <c r="H335" s="5"/>
    </row>
    <row r="336" spans="3:8" ht="14.25" customHeight="1">
      <c r="C336" s="245"/>
      <c r="D336" s="26"/>
      <c r="E336" s="26"/>
      <c r="F336" s="26"/>
      <c r="G336" s="26"/>
      <c r="H336" s="5"/>
    </row>
    <row r="337" spans="2:8" ht="14.25" customHeight="1">
      <c r="C337" s="245"/>
      <c r="D337" s="26"/>
      <c r="E337" s="26"/>
      <c r="F337" s="26"/>
      <c r="G337" s="26"/>
      <c r="H337" s="5"/>
    </row>
    <row r="338" spans="2:8" ht="14.25" customHeight="1">
      <c r="C338" s="245"/>
      <c r="D338" s="26"/>
      <c r="E338" s="26"/>
      <c r="F338" s="26"/>
      <c r="G338" s="26"/>
      <c r="H338" s="5"/>
    </row>
    <row r="339" spans="2:8" ht="14.25" customHeight="1">
      <c r="C339" s="245"/>
      <c r="D339" s="26"/>
      <c r="E339" s="26"/>
      <c r="F339" s="26"/>
      <c r="G339" s="26"/>
      <c r="H339" s="5"/>
    </row>
    <row r="340" spans="2:8" ht="14.25" customHeight="1">
      <c r="C340" s="245"/>
      <c r="D340" s="26"/>
      <c r="E340" s="26"/>
      <c r="F340" s="26"/>
      <c r="G340" s="26"/>
      <c r="H340" s="5"/>
    </row>
    <row r="341" spans="2:8" ht="14.25" customHeight="1">
      <c r="C341" s="245"/>
      <c r="D341" s="26"/>
      <c r="E341" s="26"/>
      <c r="F341" s="26"/>
      <c r="G341" s="26"/>
      <c r="H341" s="5"/>
    </row>
    <row r="342" spans="2:8" ht="14.25" customHeight="1">
      <c r="C342" s="245"/>
      <c r="D342" s="26"/>
      <c r="E342" s="26"/>
      <c r="F342" s="26"/>
      <c r="G342" s="26"/>
      <c r="H342" s="5"/>
    </row>
    <row r="343" spans="2:8" ht="14.25" customHeight="1">
      <c r="C343" s="245"/>
      <c r="D343" s="26"/>
      <c r="E343" s="26"/>
      <c r="F343" s="26"/>
      <c r="G343" s="26"/>
      <c r="H343" s="5"/>
    </row>
    <row r="344" spans="2:8" ht="14.25" customHeight="1">
      <c r="C344" s="245"/>
      <c r="D344" s="26"/>
      <c r="E344" s="26"/>
      <c r="F344" s="26"/>
      <c r="G344" s="26"/>
      <c r="H344" s="5"/>
    </row>
    <row r="345" spans="2:8" ht="14.25" customHeight="1">
      <c r="C345" s="245"/>
      <c r="D345" s="26"/>
      <c r="E345" s="26"/>
      <c r="F345" s="26"/>
      <c r="G345" s="26"/>
      <c r="H345" s="5"/>
    </row>
    <row r="346" spans="2:8" ht="14.25" customHeight="1">
      <c r="C346" s="245"/>
      <c r="D346" s="26"/>
      <c r="E346" s="26"/>
      <c r="F346" s="26"/>
      <c r="G346" s="26"/>
      <c r="H346" s="5"/>
    </row>
    <row r="347" spans="2:8" ht="14.25" customHeight="1">
      <c r="C347" s="245"/>
      <c r="D347" s="26"/>
      <c r="E347" s="26"/>
      <c r="F347" s="26"/>
      <c r="G347" s="26"/>
      <c r="H347" s="5"/>
    </row>
    <row r="348" spans="2:8" ht="14.25" customHeight="1">
      <c r="C348" s="245"/>
      <c r="D348" s="26"/>
      <c r="E348" s="26"/>
      <c r="F348" s="26"/>
      <c r="G348" s="26"/>
      <c r="H348" s="5"/>
    </row>
    <row r="349" spans="2:8" ht="14.25" customHeight="1">
      <c r="B349" s="38"/>
      <c r="C349" s="423"/>
      <c r="D349" s="39"/>
      <c r="E349" s="39"/>
      <c r="F349" s="39"/>
      <c r="G349" s="39"/>
      <c r="H349" s="5"/>
    </row>
    <row r="350" spans="2:8" ht="14.25" customHeight="1">
      <c r="C350" s="245"/>
      <c r="D350" s="26"/>
      <c r="E350" s="26"/>
      <c r="F350" s="26"/>
      <c r="G350" s="26"/>
      <c r="H350" s="5"/>
    </row>
    <row r="351" spans="2:8" ht="14.25" customHeight="1">
      <c r="C351" s="245"/>
      <c r="D351" s="26"/>
      <c r="E351" s="26"/>
      <c r="F351" s="26"/>
      <c r="G351" s="26"/>
      <c r="H351" s="5"/>
    </row>
    <row r="352" spans="2:8" ht="14.25" customHeight="1">
      <c r="C352" s="245"/>
      <c r="D352" s="26"/>
      <c r="E352" s="26"/>
      <c r="F352" s="26"/>
      <c r="G352" s="26"/>
      <c r="H352" s="5"/>
    </row>
    <row r="353" spans="2:46" ht="14.25" customHeight="1">
      <c r="C353" s="245"/>
      <c r="D353" s="26"/>
      <c r="E353" s="26"/>
      <c r="F353" s="26"/>
      <c r="G353" s="26"/>
      <c r="H353" s="5"/>
    </row>
    <row r="354" spans="2:46" ht="14.25" customHeight="1">
      <c r="C354" s="245"/>
      <c r="D354" s="26"/>
      <c r="E354" s="26"/>
      <c r="F354" s="26"/>
      <c r="G354" s="26"/>
      <c r="H354" s="5"/>
    </row>
    <row r="355" spans="2:46" ht="14.25" customHeight="1">
      <c r="C355" s="245"/>
      <c r="D355" s="26"/>
      <c r="E355" s="26"/>
      <c r="F355" s="26"/>
      <c r="G355" s="26"/>
      <c r="H355" s="5"/>
    </row>
    <row r="356" spans="2:46" ht="14.25" customHeight="1">
      <c r="C356" s="245"/>
      <c r="D356" s="26"/>
      <c r="E356" s="26"/>
      <c r="F356" s="26"/>
      <c r="G356" s="26"/>
      <c r="H356" s="5"/>
    </row>
    <row r="357" spans="2:46" ht="14.25" customHeight="1">
      <c r="C357" s="245"/>
      <c r="D357" s="26"/>
      <c r="E357" s="26"/>
      <c r="F357" s="26"/>
      <c r="G357" s="26"/>
      <c r="H357" s="5"/>
    </row>
    <row r="358" spans="2:46" ht="14.25" customHeight="1">
      <c r="C358" s="245"/>
      <c r="D358" s="26"/>
      <c r="E358" s="26"/>
      <c r="F358" s="26"/>
      <c r="G358" s="26"/>
      <c r="H358" s="5"/>
    </row>
    <row r="359" spans="2:46" ht="14.25" customHeight="1">
      <c r="C359" s="245"/>
      <c r="D359" s="26"/>
      <c r="E359" s="26"/>
      <c r="F359" s="26"/>
      <c r="G359" s="26"/>
      <c r="H359" s="5"/>
    </row>
    <row r="360" spans="2:46" ht="14.25" customHeight="1">
      <c r="C360" s="245"/>
      <c r="D360" s="26"/>
      <c r="E360" s="26"/>
      <c r="F360" s="26"/>
      <c r="G360" s="26"/>
      <c r="H360" s="5"/>
    </row>
    <row r="361" spans="2:46" ht="14.25" customHeight="1">
      <c r="C361" s="245"/>
      <c r="D361" s="26"/>
      <c r="E361" s="26"/>
      <c r="F361" s="26"/>
      <c r="G361" s="26"/>
      <c r="H361" s="5"/>
    </row>
    <row r="362" spans="2:46" ht="14.25" customHeight="1">
      <c r="C362" s="245"/>
      <c r="D362" s="26"/>
      <c r="E362" s="26"/>
      <c r="F362" s="26"/>
      <c r="G362" s="26"/>
      <c r="H362" s="5"/>
    </row>
    <row r="363" spans="2:46" ht="14.25" customHeight="1">
      <c r="C363" s="245"/>
      <c r="D363" s="26"/>
      <c r="E363" s="26"/>
      <c r="F363" s="26"/>
      <c r="G363" s="26"/>
      <c r="H363" s="5"/>
    </row>
    <row r="364" spans="2:46" ht="14.25" customHeight="1">
      <c r="C364" s="245"/>
      <c r="D364" s="26"/>
      <c r="E364" s="26"/>
      <c r="F364" s="26"/>
      <c r="G364" s="26"/>
      <c r="H364" s="5"/>
    </row>
    <row r="365" spans="2:46" ht="14.25" customHeight="1">
      <c r="C365" s="245"/>
      <c r="D365" s="26"/>
      <c r="E365" s="26"/>
      <c r="F365" s="26"/>
      <c r="G365" s="26"/>
      <c r="H365" s="5"/>
    </row>
    <row r="366" spans="2:46" ht="14.25" customHeight="1">
      <c r="C366" s="245"/>
      <c r="D366" s="26"/>
      <c r="E366" s="26"/>
      <c r="F366" s="26"/>
      <c r="G366" s="26"/>
      <c r="H366" s="5"/>
    </row>
    <row r="367" spans="2:46" ht="14.25" customHeight="1">
      <c r="C367" s="245"/>
      <c r="D367" s="26"/>
      <c r="E367" s="26"/>
      <c r="F367" s="26"/>
      <c r="G367" s="26"/>
      <c r="H367" s="5"/>
    </row>
    <row r="368" spans="2:46" s="8" customFormat="1">
      <c r="B368" s="494" t="str">
        <f>TITLE!$C$12</f>
        <v>Полотна каркасно-щитові: ІДЕЯ-ЛОФТ</v>
      </c>
      <c r="C368" s="494"/>
      <c r="D368" s="516"/>
      <c r="E368" s="516"/>
      <c r="F368" s="118"/>
      <c r="G368" s="118"/>
      <c r="H368" s="118"/>
      <c r="I368" s="121"/>
      <c r="J368" s="121"/>
      <c r="K368" s="121"/>
      <c r="L368" s="121"/>
      <c r="M368" s="121"/>
      <c r="N368" s="121"/>
      <c r="O368" s="121"/>
      <c r="P368" s="121"/>
      <c r="Q368" s="121"/>
      <c r="R368" s="121"/>
      <c r="S368" s="121"/>
      <c r="T368" s="497" t="str">
        <f>IF($C$1="ENG",CONCATENATE("up to: ",B291),CONCATENATE("вгору до: ",B291))</f>
        <v>вгору до: Полотна каркасно-щитові: ІДЕЯ</v>
      </c>
      <c r="U368" s="497"/>
      <c r="V368" s="497"/>
      <c r="W368" s="497"/>
      <c r="AN368" s="280"/>
      <c r="AO368" s="280"/>
      <c r="AP368" s="280"/>
      <c r="AQ368" s="280"/>
      <c r="AR368" s="280"/>
      <c r="AS368" s="280"/>
      <c r="AT368" s="280"/>
    </row>
    <row r="369" spans="1:46" s="8" customFormat="1" ht="5.0999999999999996" customHeight="1">
      <c r="B369" s="117"/>
      <c r="C369" s="420"/>
      <c r="D369" s="9"/>
      <c r="E369" s="9"/>
      <c r="F369" s="10"/>
      <c r="G369" s="10"/>
      <c r="H369" s="10"/>
      <c r="T369" s="115"/>
      <c r="U369" s="115"/>
      <c r="V369" s="115"/>
      <c r="W369" s="115"/>
      <c r="AN369" s="280"/>
      <c r="AO369" s="280"/>
      <c r="AP369" s="280"/>
      <c r="AQ369" s="280"/>
      <c r="AR369" s="280"/>
      <c r="AS369" s="280"/>
      <c r="AT369" s="280"/>
    </row>
    <row r="370" spans="1:46" ht="12.75" customHeight="1">
      <c r="A370" s="8"/>
      <c r="B370" s="509" t="str">
        <f>IF($C$1="ENG","model","модель")</f>
        <v>модель</v>
      </c>
      <c r="C370" s="122" t="str">
        <f>IF($C$1="ENG","cover:","покриття:")</f>
        <v>покриття:</v>
      </c>
      <c r="D370" s="498" t="str">
        <f>IF($C$1="ENG","LOFT","LOFT")</f>
        <v>LOFT</v>
      </c>
      <c r="E370" s="500"/>
      <c r="F370" s="328"/>
      <c r="G370" s="143"/>
      <c r="H370" s="46"/>
      <c r="I370" s="46"/>
      <c r="J370" s="46"/>
      <c r="K370" s="46"/>
      <c r="L370" s="100"/>
      <c r="M370" s="11"/>
      <c r="P370" s="100"/>
      <c r="Q370" s="11"/>
    </row>
    <row r="371" spans="1:46" ht="12.75" customHeight="1">
      <c r="A371" s="8"/>
      <c r="B371" s="510"/>
      <c r="C371" s="123" t="str">
        <f>IF($C$1="ENG","filling:","заповнення:")</f>
        <v>заповнення:</v>
      </c>
      <c r="D371" s="505" t="str">
        <f>IF($C$1="ENG","honeycomb core ","сотове заповнення")</f>
        <v>сотове заповнення</v>
      </c>
      <c r="E371" s="506"/>
      <c r="F371" s="143"/>
      <c r="G371" s="143"/>
      <c r="H371" s="48"/>
      <c r="I371" s="48"/>
      <c r="J371" s="146"/>
      <c r="K371" s="146"/>
      <c r="L371" s="100"/>
      <c r="M371" s="11"/>
      <c r="P371" s="100"/>
      <c r="Q371" s="11"/>
    </row>
    <row r="372" spans="1:46" ht="12.75" customHeight="1">
      <c r="A372" s="8"/>
      <c r="B372" s="511"/>
      <c r="C372" s="124"/>
      <c r="D372" s="489"/>
      <c r="E372" s="492"/>
      <c r="F372" s="143"/>
      <c r="G372" s="143"/>
      <c r="H372" s="48"/>
      <c r="I372" s="48"/>
      <c r="J372" s="47"/>
      <c r="K372" s="131"/>
      <c r="L372" s="100"/>
      <c r="M372" s="11"/>
      <c r="P372" s="100"/>
      <c r="Q372" s="11"/>
    </row>
    <row r="373" spans="1:46" ht="35.1" customHeight="1">
      <c r="A373" s="8"/>
      <c r="B373" s="49" t="s">
        <v>26</v>
      </c>
      <c r="C373" s="327"/>
      <c r="D373" s="51">
        <f>IF(AC373="","",(1-$W$2)*(AC373/1.2))</f>
        <v>3225</v>
      </c>
      <c r="E373" s="85">
        <f>IF($W$5=0.2,D373*1.2,D373)/$W$4</f>
        <v>3870</v>
      </c>
      <c r="F373" s="143"/>
      <c r="G373" s="143"/>
      <c r="H373" s="48"/>
      <c r="I373" s="143"/>
      <c r="J373" s="28"/>
      <c r="K373" s="59"/>
      <c r="L373" s="142"/>
      <c r="M373" s="20"/>
      <c r="N373" s="104"/>
      <c r="O373" s="20"/>
      <c r="P373" s="142"/>
      <c r="Q373" s="20"/>
      <c r="R373" s="104"/>
      <c r="S373" s="20"/>
      <c r="T373" s="104"/>
      <c r="V373" s="104"/>
      <c r="W373" s="20"/>
      <c r="X373" s="22"/>
      <c r="Y373" s="22"/>
      <c r="Z373" s="22"/>
      <c r="AA373" s="22"/>
      <c r="AB373" s="22"/>
      <c r="AC373" s="332">
        <v>3870</v>
      </c>
      <c r="AD373" s="289">
        <v>3870</v>
      </c>
      <c r="AE373" s="289">
        <f t="shared" ref="AE373" si="37">AD373/AC373-1</f>
        <v>0</v>
      </c>
      <c r="AF373" s="289"/>
      <c r="AG373" s="289"/>
      <c r="AH373" s="289"/>
      <c r="AI373" s="289"/>
      <c r="AJ373" s="289"/>
      <c r="AK373" s="289"/>
      <c r="AL373" s="289"/>
    </row>
    <row r="374" spans="1:46">
      <c r="C374" s="245"/>
      <c r="D374" s="26"/>
      <c r="E374" s="57"/>
      <c r="F374" s="26"/>
      <c r="G374" s="57"/>
      <c r="H374" s="60"/>
      <c r="I374" s="143"/>
      <c r="J374" s="48"/>
      <c r="K374" s="143"/>
      <c r="L374" s="48"/>
      <c r="P374" s="48"/>
    </row>
    <row r="375" spans="1:46">
      <c r="B375" s="212" t="str">
        <f>IF($C$1="ENG","For additonal charge:","Послуги за додаткову плату:")</f>
        <v>Послуги за додаткову плату:</v>
      </c>
      <c r="C375" s="421"/>
      <c r="D375" s="213"/>
      <c r="E375" s="214"/>
      <c r="F375" s="26"/>
      <c r="G375" s="26"/>
      <c r="H375" s="10"/>
      <c r="I375" s="84"/>
      <c r="K375" s="20"/>
    </row>
    <row r="376" spans="1:46" ht="5.0999999999999996" customHeight="1">
      <c r="B376" s="27"/>
      <c r="C376" s="245"/>
      <c r="D376" s="26"/>
      <c r="E376" s="57"/>
      <c r="F376" s="26"/>
      <c r="G376" s="26"/>
      <c r="H376" s="10"/>
      <c r="I376" s="8"/>
      <c r="K376" s="20"/>
    </row>
    <row r="377" spans="1:46">
      <c r="B377" s="514" t="str">
        <f>IF($C$1="ENG","Ventilation sleeves (1 row)","вентиляційні віддушини (1ряд)")</f>
        <v>вентиляційні віддушини (1ряд)</v>
      </c>
      <c r="C377" s="515"/>
      <c r="D377" s="410">
        <f>IF(AC377="","",(1-$W$2)*(AC377/1.2))</f>
        <v>208.33333333333334</v>
      </c>
      <c r="E377" s="64">
        <f>IF($W$5=0.2,D377*1.2,D377)/$W$4</f>
        <v>250</v>
      </c>
      <c r="F377" s="26"/>
      <c r="G377" s="26"/>
      <c r="AC377" s="298">
        <v>250</v>
      </c>
      <c r="AD377" s="289">
        <v>250</v>
      </c>
      <c r="AE377" s="289">
        <f>AD377/AC377-1</f>
        <v>0</v>
      </c>
      <c r="AF377" s="289"/>
      <c r="AG377" s="289"/>
      <c r="AH377" s="289"/>
      <c r="AI377" s="289"/>
      <c r="AJ377" s="289"/>
      <c r="AK377" s="289"/>
      <c r="AL377" s="289"/>
    </row>
    <row r="378" spans="1:46">
      <c r="B378" s="514" t="str">
        <f>IF($C$1="ENG","Ventilation cut","вентиляційний підріз")</f>
        <v>вентиляційний підріз</v>
      </c>
      <c r="C378" s="515"/>
      <c r="D378" s="405">
        <f>IF(AC378="","",(1-$W$2)*(AC378/1.2))</f>
        <v>141.66666666666669</v>
      </c>
      <c r="E378" s="66">
        <f>IF($W$5=0.2,D378*1.2,D378)/$W$4</f>
        <v>170.00000000000003</v>
      </c>
      <c r="F378" s="26"/>
      <c r="G378" s="26"/>
      <c r="I378" s="59"/>
      <c r="J378" s="28"/>
      <c r="AC378" s="298">
        <v>170</v>
      </c>
      <c r="AD378" s="289">
        <v>170</v>
      </c>
      <c r="AE378" s="289">
        <f t="shared" ref="AE378:AE389" si="38">AD378/AC378-1</f>
        <v>0</v>
      </c>
      <c r="AF378" s="289"/>
      <c r="AG378" s="289"/>
      <c r="AH378" s="289"/>
      <c r="AI378" s="289"/>
      <c r="AJ378" s="289"/>
      <c r="AK378" s="289"/>
      <c r="AL378" s="289"/>
    </row>
    <row r="379" spans="1:46">
      <c r="B379" s="514" t="str">
        <f>IF($C$1="ENG","third door hindge","третя завіса")</f>
        <v>третя завіса</v>
      </c>
      <c r="C379" s="515"/>
      <c r="D379" s="405">
        <f>IF(AC379="","",(1-$W$2)*(AC379/1.2))</f>
        <v>66.666666666666671</v>
      </c>
      <c r="E379" s="66">
        <f>IF($W$5=0.2,D379*1.2,D379)/$W$4</f>
        <v>80</v>
      </c>
      <c r="F379" s="26"/>
      <c r="G379" s="26"/>
      <c r="AC379" s="298">
        <v>80</v>
      </c>
      <c r="AD379" s="289">
        <v>80</v>
      </c>
      <c r="AE379" s="289">
        <f t="shared" si="38"/>
        <v>0</v>
      </c>
      <c r="AF379" s="289"/>
      <c r="AG379" s="289"/>
      <c r="AH379" s="289"/>
      <c r="AI379" s="289"/>
      <c r="AJ379" s="289"/>
      <c r="AK379" s="289"/>
      <c r="AL379" s="289"/>
    </row>
    <row r="380" spans="1:46">
      <c r="B380" s="501" t="str">
        <f>IF($C$1="ENG","door lock Soft","замок Soft")</f>
        <v>замок Soft</v>
      </c>
      <c r="C380" s="502"/>
      <c r="D380" s="407">
        <f t="shared" ref="D380:D389" si="39">IF(AC380="","",(1-$W$2)*(AC380/1.2))</f>
        <v>458.33333333333337</v>
      </c>
      <c r="E380" s="93">
        <f t="shared" ref="E380:E387" si="40">IF($W$5=0.2,D380*1.2,D380)/$W$4</f>
        <v>550</v>
      </c>
      <c r="F380" s="26"/>
      <c r="G380" s="26"/>
      <c r="H380" s="5"/>
      <c r="AC380" s="298">
        <v>550</v>
      </c>
      <c r="AD380" s="289">
        <v>550</v>
      </c>
      <c r="AE380" s="289">
        <f t="shared" si="38"/>
        <v>0</v>
      </c>
      <c r="AF380" s="289"/>
      <c r="AG380" s="289"/>
      <c r="AH380" s="289"/>
      <c r="AI380" s="289"/>
      <c r="AJ380" s="289"/>
      <c r="AK380" s="289"/>
      <c r="AL380" s="289"/>
    </row>
    <row r="381" spans="1:46">
      <c r="B381" s="501" t="str">
        <f>IF($C$1="ENG","door lock Soft black","замок Soft чорн.")</f>
        <v>замок Soft чорн.</v>
      </c>
      <c r="C381" s="502"/>
      <c r="D381" s="407">
        <f t="shared" ref="D381" si="41">IF(AC381="","",(1-$W$2)*(AC381/1.2))</f>
        <v>566.66666666666674</v>
      </c>
      <c r="E381" s="93">
        <f t="shared" ref="E381" si="42">IF($W$5=0.2,D381*1.2,D381)/$W$4</f>
        <v>680.00000000000011</v>
      </c>
      <c r="F381" s="26"/>
      <c r="G381" s="26"/>
      <c r="H381" s="5"/>
      <c r="AC381" s="298">
        <v>680</v>
      </c>
      <c r="AD381" s="289"/>
      <c r="AE381" s="289"/>
      <c r="AF381" s="289"/>
      <c r="AG381" s="289"/>
      <c r="AH381" s="289"/>
      <c r="AI381" s="289"/>
      <c r="AJ381" s="289"/>
      <c r="AK381" s="289"/>
      <c r="AL381" s="289"/>
    </row>
    <row r="382" spans="1:46">
      <c r="B382" s="501" t="str">
        <f>IF($C$1="ENG","door lock Magnet","замок Magnet")</f>
        <v>замок Magnet</v>
      </c>
      <c r="C382" s="502"/>
      <c r="D382" s="407">
        <f t="shared" si="39"/>
        <v>666.66666666666674</v>
      </c>
      <c r="E382" s="93">
        <f t="shared" si="40"/>
        <v>800.00000000000011</v>
      </c>
      <c r="F382" s="26"/>
      <c r="G382" s="26"/>
      <c r="H382" s="5"/>
      <c r="AC382" s="298">
        <v>800</v>
      </c>
      <c r="AD382" s="289">
        <v>800</v>
      </c>
      <c r="AE382" s="289">
        <f t="shared" si="38"/>
        <v>0</v>
      </c>
      <c r="AF382" s="289"/>
      <c r="AG382" s="289"/>
      <c r="AH382" s="289"/>
      <c r="AI382" s="289"/>
      <c r="AJ382" s="289"/>
      <c r="AK382" s="289"/>
      <c r="AL382" s="289"/>
    </row>
    <row r="383" spans="1:46">
      <c r="B383" s="501" t="s">
        <v>76</v>
      </c>
      <c r="C383" s="502"/>
      <c r="D383" s="407">
        <f t="shared" ref="D383" si="43">IF(AC383="","",(1-$W$2)*(AC383/1.2))</f>
        <v>833.33333333333337</v>
      </c>
      <c r="E383" s="93">
        <f t="shared" ref="E383" si="44">IF($W$5=0.2,D383*1.2,D383)/$W$4</f>
        <v>1000</v>
      </c>
      <c r="F383" s="26"/>
      <c r="G383" s="26"/>
      <c r="H383" s="5"/>
      <c r="AC383" s="298">
        <v>1000</v>
      </c>
      <c r="AD383" s="289"/>
      <c r="AE383" s="289"/>
      <c r="AF383" s="289"/>
      <c r="AG383" s="289"/>
      <c r="AH383" s="289"/>
      <c r="AI383" s="289"/>
      <c r="AJ383" s="289"/>
      <c r="AK383" s="289"/>
      <c r="AL383" s="289"/>
    </row>
    <row r="384" spans="1:46">
      <c r="B384" s="501" t="str">
        <f>IF($C$1="ENG","door handle-lock (for sliding doors)","ручка-замок (для дверей купе)")</f>
        <v>ручка-замок (для дверей купе)</v>
      </c>
      <c r="C384" s="502"/>
      <c r="D384" s="405">
        <f t="shared" si="39"/>
        <v>466.66666666666669</v>
      </c>
      <c r="E384" s="66">
        <f t="shared" si="40"/>
        <v>560</v>
      </c>
      <c r="F384" s="26"/>
      <c r="G384" s="26"/>
      <c r="I384" s="30"/>
      <c r="K384" s="30"/>
      <c r="AC384" s="298">
        <v>560</v>
      </c>
      <c r="AD384" s="289">
        <v>560</v>
      </c>
      <c r="AE384" s="289">
        <f t="shared" si="38"/>
        <v>0</v>
      </c>
      <c r="AF384" s="289"/>
      <c r="AG384" s="289"/>
      <c r="AH384" s="289"/>
      <c r="AI384" s="289"/>
      <c r="AJ384" s="289"/>
      <c r="AK384" s="289"/>
      <c r="AL384" s="289"/>
    </row>
    <row r="385" spans="2:38">
      <c r="B385" s="501" t="str">
        <f>IF($C$1="ENG","cylinder incert","циліндр несиметричний")</f>
        <v>циліндр несиметричний</v>
      </c>
      <c r="C385" s="502"/>
      <c r="D385" s="405">
        <f t="shared" si="39"/>
        <v>325</v>
      </c>
      <c r="E385" s="66">
        <f t="shared" si="40"/>
        <v>390</v>
      </c>
      <c r="F385" s="26"/>
      <c r="G385" s="26"/>
      <c r="AC385" s="298">
        <v>390</v>
      </c>
      <c r="AD385" s="289">
        <v>390</v>
      </c>
      <c r="AE385" s="289">
        <f t="shared" si="38"/>
        <v>0</v>
      </c>
      <c r="AF385" s="289"/>
      <c r="AG385" s="289"/>
      <c r="AH385" s="289"/>
      <c r="AI385" s="289"/>
      <c r="AJ385" s="289"/>
      <c r="AK385" s="289"/>
      <c r="AL385" s="289"/>
    </row>
    <row r="386" spans="2:38">
      <c r="B386" s="501" t="str">
        <f>IF($C$1="ENG","door hindge Prestige (1 unit)","завіса Prestige (1 шт)")</f>
        <v>завіса Prestige (1 шт)</v>
      </c>
      <c r="C386" s="502"/>
      <c r="D386" s="408">
        <f t="shared" si="39"/>
        <v>216.66666666666669</v>
      </c>
      <c r="E386" s="66">
        <f t="shared" si="40"/>
        <v>260</v>
      </c>
      <c r="F386" s="26"/>
      <c r="G386" s="26"/>
      <c r="AC386" s="298">
        <v>260</v>
      </c>
      <c r="AD386" s="289">
        <v>260</v>
      </c>
      <c r="AE386" s="289">
        <f t="shared" si="38"/>
        <v>0</v>
      </c>
      <c r="AF386" s="289"/>
      <c r="AG386" s="289"/>
      <c r="AH386" s="289"/>
      <c r="AI386" s="289"/>
      <c r="AJ386" s="289"/>
      <c r="AK386" s="289"/>
      <c r="AL386" s="289"/>
    </row>
    <row r="387" spans="2:38">
      <c r="B387" s="501" t="str">
        <f>IF($C$1="ENG","door hinge caps (1 set)","накладка на завіси (1 к-т)")</f>
        <v>накладка на завіси (1 к-т)</v>
      </c>
      <c r="C387" s="502"/>
      <c r="D387" s="408">
        <f t="shared" si="39"/>
        <v>66.666666666666671</v>
      </c>
      <c r="E387" s="66">
        <f t="shared" si="40"/>
        <v>80</v>
      </c>
      <c r="F387" s="26"/>
      <c r="G387" s="26"/>
      <c r="AC387" s="298">
        <v>80</v>
      </c>
      <c r="AD387" s="289">
        <v>80</v>
      </c>
      <c r="AE387" s="289">
        <f t="shared" si="38"/>
        <v>0</v>
      </c>
      <c r="AF387" s="289"/>
      <c r="AG387" s="289"/>
      <c r="AH387" s="289"/>
      <c r="AI387" s="289"/>
      <c r="AJ387" s="289"/>
      <c r="AK387" s="289"/>
      <c r="AL387" s="289"/>
    </row>
    <row r="388" spans="2:38">
      <c r="B388" s="501" t="str">
        <f>IF($C$1="ENG","door handle","дверна ручка")</f>
        <v>дверна ручка</v>
      </c>
      <c r="C388" s="502"/>
      <c r="D388" s="405">
        <f t="shared" si="39"/>
        <v>0</v>
      </c>
      <c r="E388" s="136" t="str">
        <f>IF($C$1="ENG","see Handles Price","див. Таблицю Ручки")</f>
        <v>див. Таблицю Ручки</v>
      </c>
      <c r="F388" s="26"/>
      <c r="G388" s="26"/>
      <c r="AC388" s="298">
        <v>0</v>
      </c>
      <c r="AD388" s="289">
        <f t="shared" ref="AD388" si="45">AC388/100*13+AC388</f>
        <v>0</v>
      </c>
      <c r="AE388" s="289" t="e">
        <f t="shared" si="38"/>
        <v>#DIV/0!</v>
      </c>
      <c r="AF388" s="289"/>
      <c r="AG388" s="289"/>
      <c r="AH388" s="289"/>
      <c r="AI388" s="289"/>
      <c r="AJ388" s="289"/>
      <c r="AK388" s="289"/>
      <c r="AL388" s="289"/>
    </row>
    <row r="389" spans="2:38">
      <c r="B389" s="501" t="str">
        <f>IF($C$1="ENG","perforated chipboard","ДСП трубчасте")</f>
        <v>ДСП трубчасте</v>
      </c>
      <c r="C389" s="502"/>
      <c r="D389" s="409">
        <f t="shared" si="39"/>
        <v>1083.3333333333335</v>
      </c>
      <c r="E389" s="69">
        <f>IF($W$5=0.2,D389*1.2,D389)/$W$4</f>
        <v>1300.0000000000002</v>
      </c>
      <c r="F389" s="26"/>
      <c r="G389" s="26"/>
      <c r="AC389" s="298">
        <v>1300</v>
      </c>
      <c r="AD389" s="289">
        <v>1300</v>
      </c>
      <c r="AE389" s="289">
        <f t="shared" si="38"/>
        <v>0</v>
      </c>
      <c r="AF389" s="289"/>
      <c r="AG389" s="289"/>
      <c r="AH389" s="289"/>
      <c r="AI389" s="289"/>
      <c r="AJ389" s="289"/>
      <c r="AK389" s="289"/>
      <c r="AL389" s="289"/>
    </row>
    <row r="390" spans="2:38" ht="14.25" customHeight="1">
      <c r="C390" s="245"/>
      <c r="D390" s="26"/>
      <c r="E390" s="26"/>
      <c r="F390" s="26"/>
      <c r="G390" s="26"/>
      <c r="H390" s="5"/>
      <c r="T390" s="522" t="str">
        <f>IF($C$1="ENG",CONCATENATE("down to: ",B502),CONCATENATE("вниз до: ",B502))</f>
        <v>вниз до: Полотна збірні: ЛАДА A</v>
      </c>
      <c r="U390" s="522"/>
      <c r="V390" s="522"/>
      <c r="W390" s="522"/>
    </row>
    <row r="391" spans="2:38" ht="14.25" customHeight="1">
      <c r="C391" s="245"/>
      <c r="D391" s="26"/>
      <c r="E391" s="26"/>
      <c r="F391" s="26"/>
      <c r="G391" s="26"/>
      <c r="H391" s="5"/>
    </row>
    <row r="392" spans="2:38" ht="14.25" customHeight="1">
      <c r="C392" s="245"/>
      <c r="D392" s="26"/>
      <c r="E392" s="26"/>
      <c r="F392" s="26"/>
      <c r="G392" s="26"/>
      <c r="H392" s="5"/>
    </row>
    <row r="393" spans="2:38" ht="14.25" customHeight="1">
      <c r="C393" s="245"/>
      <c r="D393" s="26"/>
      <c r="E393" s="26"/>
      <c r="F393" s="26"/>
      <c r="G393" s="26"/>
      <c r="H393" s="5"/>
    </row>
    <row r="394" spans="2:38" ht="14.25" customHeight="1">
      <c r="C394" s="245"/>
      <c r="D394" s="26"/>
      <c r="E394" s="26"/>
      <c r="F394" s="26"/>
      <c r="G394" s="26"/>
      <c r="H394" s="5"/>
    </row>
    <row r="395" spans="2:38" ht="14.25" customHeight="1">
      <c r="C395" s="245"/>
      <c r="D395" s="26"/>
      <c r="E395" s="26"/>
      <c r="F395" s="26"/>
      <c r="G395" s="26"/>
      <c r="H395" s="5"/>
    </row>
    <row r="396" spans="2:38" ht="14.25" customHeight="1">
      <c r="C396" s="245"/>
      <c r="D396" s="26"/>
      <c r="E396" s="26"/>
      <c r="F396" s="26"/>
      <c r="G396" s="26"/>
      <c r="H396" s="5"/>
    </row>
    <row r="397" spans="2:38" ht="14.25" customHeight="1">
      <c r="C397" s="245"/>
      <c r="D397" s="26"/>
      <c r="E397" s="26"/>
      <c r="F397" s="26"/>
      <c r="G397" s="26"/>
      <c r="H397" s="5"/>
    </row>
    <row r="398" spans="2:38" ht="14.25" customHeight="1">
      <c r="C398" s="245"/>
      <c r="D398" s="26"/>
      <c r="E398" s="26"/>
      <c r="F398" s="26"/>
      <c r="G398" s="26"/>
      <c r="H398" s="5"/>
    </row>
    <row r="399" spans="2:38" ht="14.25" customHeight="1">
      <c r="C399" s="245"/>
      <c r="D399" s="26"/>
      <c r="E399" s="26"/>
      <c r="F399" s="26"/>
      <c r="G399" s="26"/>
      <c r="H399" s="5"/>
    </row>
    <row r="400" spans="2:38" ht="14.25" customHeight="1">
      <c r="C400" s="245"/>
      <c r="D400" s="26"/>
      <c r="E400" s="26"/>
      <c r="F400" s="26"/>
      <c r="G400" s="26"/>
      <c r="H400" s="5"/>
    </row>
    <row r="401" spans="1:47" ht="14.25" customHeight="1">
      <c r="C401" s="245"/>
      <c r="D401" s="26"/>
      <c r="E401" s="26"/>
      <c r="F401" s="26"/>
      <c r="G401" s="26"/>
      <c r="H401" s="5"/>
    </row>
    <row r="402" spans="1:47" s="8" customFormat="1">
      <c r="B402" s="494" t="str">
        <f>TITLE!C13</f>
        <v>Полотна збірні: КЛАСІК</v>
      </c>
      <c r="C402" s="494"/>
      <c r="D402" s="118"/>
      <c r="E402" s="118"/>
      <c r="F402" s="118"/>
      <c r="G402" s="118"/>
      <c r="H402" s="496"/>
      <c r="I402" s="496"/>
      <c r="J402" s="121"/>
      <c r="K402" s="121"/>
      <c r="L402" s="121"/>
      <c r="M402" s="121"/>
      <c r="N402" s="121"/>
      <c r="O402" s="121"/>
      <c r="P402" s="121"/>
      <c r="Q402" s="121"/>
      <c r="R402" s="121"/>
      <c r="S402" s="497" t="str">
        <f>IF($C$1="ENG",CONCATENATE("up to: ",B330),CONCATENATE("вгору до: ",B330))</f>
        <v xml:space="preserve">вгору до: </v>
      </c>
      <c r="T402" s="527"/>
      <c r="U402" s="527"/>
      <c r="V402" s="527"/>
      <c r="W402" s="527"/>
      <c r="AN402" s="280"/>
      <c r="AO402" s="280"/>
      <c r="AP402" s="280"/>
      <c r="AQ402" s="280"/>
      <c r="AR402" s="280"/>
      <c r="AS402" s="280"/>
      <c r="AT402" s="280"/>
    </row>
    <row r="403" spans="1:47" s="8" customFormat="1" ht="5.0999999999999996" customHeight="1">
      <c r="B403" s="117"/>
      <c r="C403" s="420"/>
      <c r="D403" s="9"/>
      <c r="E403" s="9"/>
      <c r="F403" s="9"/>
      <c r="G403" s="9"/>
      <c r="H403" s="120"/>
      <c r="S403" s="414"/>
      <c r="T403" s="414"/>
      <c r="U403" s="414"/>
      <c r="V403" s="414"/>
      <c r="AM403" s="280"/>
      <c r="AN403" s="280"/>
      <c r="AO403" s="280"/>
      <c r="AP403" s="280"/>
      <c r="AQ403" s="280"/>
      <c r="AR403" s="280"/>
      <c r="AS403" s="280"/>
    </row>
    <row r="404" spans="1:47" s="8" customFormat="1" ht="12.75" customHeight="1">
      <c r="B404" s="509" t="str">
        <f>IF($C$1="ENG","model","модель")</f>
        <v>модель</v>
      </c>
      <c r="C404" s="122" t="str">
        <f>IF($C$1="ENG","cover:","покриття:")</f>
        <v>покриття:</v>
      </c>
      <c r="D404" s="498" t="str">
        <f>IF($C$1="ENG","UNI-MAT","UNI-MAT")</f>
        <v>UNI-MAT</v>
      </c>
      <c r="E404" s="500"/>
      <c r="F404" s="498" t="str">
        <f>IF($C$1="ENG","RESIST","RESIST")</f>
        <v>RESIST</v>
      </c>
      <c r="G404" s="500"/>
      <c r="H404" s="1"/>
      <c r="T404" s="414"/>
      <c r="U404" s="414"/>
      <c r="V404" s="414"/>
      <c r="W404" s="414"/>
      <c r="AN404" s="280"/>
      <c r="AO404" s="280"/>
      <c r="AP404" s="280"/>
      <c r="AQ404" s="280"/>
      <c r="AR404" s="280"/>
      <c r="AS404" s="280"/>
      <c r="AT404" s="280"/>
    </row>
    <row r="405" spans="1:47" s="8" customFormat="1" ht="24.9" customHeight="1">
      <c r="B405" s="510"/>
      <c r="C405" s="123" t="str">
        <f>IF($C$1="ENG","filling:","заповнення:")</f>
        <v>заповнення:</v>
      </c>
      <c r="D405" s="505" t="str">
        <f>IF($C$1="ENG","softwood","клеєний сосновий брус")</f>
        <v>клеєний сосновий брус</v>
      </c>
      <c r="E405" s="506"/>
      <c r="F405" s="505" t="str">
        <f>IF($C$1="ENG","softwood","клеєний сосновий брус")</f>
        <v>клеєний сосновий брус</v>
      </c>
      <c r="G405" s="506"/>
      <c r="H405" s="1"/>
      <c r="I405" s="1"/>
      <c r="U405" s="414"/>
      <c r="V405" s="414"/>
      <c r="W405" s="414"/>
      <c r="X405" s="414"/>
      <c r="AE405" s="383" t="e">
        <f>AD407/AC407-1</f>
        <v>#DIV/0!</v>
      </c>
      <c r="AF405" s="383">
        <f>AE407/AD407-1</f>
        <v>3.9886039886039892E-2</v>
      </c>
      <c r="AG405" s="383">
        <f>AF407/AE407-1</f>
        <v>0.10273972602739723</v>
      </c>
      <c r="AH405" s="383">
        <f>AG407/AF407-1</f>
        <v>5.2173913043478182E-2</v>
      </c>
      <c r="AO405" s="280"/>
      <c r="AP405" s="280"/>
      <c r="AQ405" s="280"/>
      <c r="AR405" s="280"/>
      <c r="AS405" s="280"/>
      <c r="AT405" s="280"/>
      <c r="AU405" s="280"/>
    </row>
    <row r="406" spans="1:47" ht="12.75" customHeight="1">
      <c r="A406" s="8"/>
      <c r="B406" s="511"/>
      <c r="C406" s="124" t="str">
        <f>IF($C$1="ENG","glazing:","скління:")</f>
        <v>скління:</v>
      </c>
      <c r="D406" s="489" t="str">
        <f>IF($C$1="ENG","Satin","Сатин")</f>
        <v>Сатин</v>
      </c>
      <c r="E406" s="492"/>
      <c r="F406" s="489" t="str">
        <f>IF($C$1="ENG","Satin","Сатин")</f>
        <v>Сатин</v>
      </c>
      <c r="G406" s="492"/>
      <c r="AN406" s="1"/>
      <c r="AU406" s="30"/>
    </row>
    <row r="407" spans="1:47" ht="35.1" customHeight="1">
      <c r="A407" s="8"/>
      <c r="B407" s="16" t="s">
        <v>71</v>
      </c>
      <c r="C407" s="17"/>
      <c r="D407" s="18">
        <f>IF(AD407="","",(1-$W$2)*(AD407/1.2))</f>
        <v>5850</v>
      </c>
      <c r="E407" s="66">
        <f>IF($W$5=0.2,D407*1.2,D407)/$W$4</f>
        <v>7020</v>
      </c>
      <c r="F407" s="18">
        <f>IF(AE407="","",(1-$W$2)*(AE407/1.2))</f>
        <v>6083.3333333333339</v>
      </c>
      <c r="G407" s="66">
        <f>IF($W$5=0.2,F407*1.2,F407)/$W$4</f>
        <v>7300.0000000000009</v>
      </c>
      <c r="L407" s="104"/>
      <c r="M407" s="104"/>
      <c r="N407" s="104"/>
      <c r="O407" s="104"/>
      <c r="P407" s="104"/>
      <c r="Q407" s="104"/>
      <c r="R407" s="104"/>
      <c r="S407" s="104"/>
      <c r="U407" s="104"/>
      <c r="V407" s="20"/>
      <c r="W407" s="104"/>
      <c r="X407" s="20"/>
      <c r="Y407" s="104"/>
      <c r="Z407" s="104"/>
      <c r="AA407" s="104"/>
      <c r="AB407" s="104"/>
      <c r="AC407" s="332"/>
      <c r="AD407" s="391">
        <v>7020</v>
      </c>
      <c r="AE407" s="332">
        <v>7300</v>
      </c>
      <c r="AF407" s="332">
        <v>8050</v>
      </c>
      <c r="AG407" s="332">
        <v>8470</v>
      </c>
      <c r="AH407" s="289">
        <v>6230</v>
      </c>
      <c r="AI407" s="289" t="e">
        <f>AH407/AC407-1</f>
        <v>#DIV/0!</v>
      </c>
      <c r="AJ407" s="289">
        <v>7100</v>
      </c>
      <c r="AK407" s="289">
        <f>AJ407/AD407-1</f>
        <v>1.139601139601143E-2</v>
      </c>
      <c r="AL407" s="289">
        <v>7390</v>
      </c>
      <c r="AM407" s="289">
        <f>AL407/AE407-1</f>
        <v>1.2328767123287676E-2</v>
      </c>
      <c r="AN407" s="289">
        <v>8050</v>
      </c>
      <c r="AO407" s="289">
        <f>AN407/AF407-1</f>
        <v>0</v>
      </c>
      <c r="AP407" s="289">
        <v>8470</v>
      </c>
      <c r="AQ407" s="289">
        <f>AP407/AG407-1</f>
        <v>0</v>
      </c>
    </row>
    <row r="408" spans="1:47" ht="35.1" customHeight="1">
      <c r="A408" s="8"/>
      <c r="B408" s="16" t="s">
        <v>72</v>
      </c>
      <c r="C408" s="17"/>
      <c r="D408" s="18">
        <f>IF(AD408="","",(1-$W$2)*(AD408/1.2))</f>
        <v>5691.666666666667</v>
      </c>
      <c r="E408" s="66">
        <f>IF($W$5=0.2,D408*1.2,D408)/$W$4</f>
        <v>6830</v>
      </c>
      <c r="F408" s="18">
        <f>IF(AE408="","",(1-$W$2)*(AE408/1.2))</f>
        <v>5916.666666666667</v>
      </c>
      <c r="G408" s="66">
        <f>IF($W$5=0.2,F408*1.2,F408)/$W$4</f>
        <v>7100</v>
      </c>
      <c r="L408" s="104"/>
      <c r="M408" s="104"/>
      <c r="N408" s="104"/>
      <c r="O408" s="104"/>
      <c r="P408" s="104"/>
      <c r="Q408" s="104"/>
      <c r="R408" s="104"/>
      <c r="S408" s="104"/>
      <c r="U408" s="104"/>
      <c r="V408" s="20"/>
      <c r="W408" s="104"/>
      <c r="X408" s="20"/>
      <c r="Y408" s="104"/>
      <c r="Z408" s="104"/>
      <c r="AA408" s="104"/>
      <c r="AB408" s="104"/>
      <c r="AC408" s="332"/>
      <c r="AD408" s="391">
        <v>6830</v>
      </c>
      <c r="AE408" s="332">
        <v>7100</v>
      </c>
      <c r="AF408" s="332">
        <v>8050</v>
      </c>
      <c r="AG408" s="332">
        <v>8470</v>
      </c>
      <c r="AH408" s="289">
        <v>6230</v>
      </c>
      <c r="AI408" s="289" t="e">
        <f t="shared" ref="AI408:AI411" si="46">AH408/AC408-1</f>
        <v>#DIV/0!</v>
      </c>
      <c r="AJ408" s="289">
        <v>7100</v>
      </c>
      <c r="AK408" s="289">
        <f>AJ408/AD408-1</f>
        <v>3.9531478770131745E-2</v>
      </c>
      <c r="AL408" s="289">
        <v>7390</v>
      </c>
      <c r="AM408" s="289">
        <f t="shared" ref="AM408:AM411" si="47">AL408/AE408-1</f>
        <v>4.0845070422535157E-2</v>
      </c>
      <c r="AN408" s="289">
        <v>8050</v>
      </c>
      <c r="AO408" s="289">
        <f t="shared" ref="AO408:AO411" si="48">AN408/AF408-1</f>
        <v>0</v>
      </c>
      <c r="AP408" s="289">
        <v>8470</v>
      </c>
      <c r="AQ408" s="289">
        <f t="shared" ref="AQ408:AQ411" si="49">AP408/AG408-1</f>
        <v>0</v>
      </c>
    </row>
    <row r="409" spans="1:47" ht="35.1" customHeight="1">
      <c r="A409" s="8"/>
      <c r="B409" s="107" t="s">
        <v>73</v>
      </c>
      <c r="C409" s="322"/>
      <c r="D409" s="18">
        <f t="shared" ref="D409:D410" si="50">IF(AD409="","",(1-$W$2)*(AD409/1.2))</f>
        <v>6075</v>
      </c>
      <c r="E409" s="66">
        <f t="shared" ref="E409:E410" si="51">IF($W$5=0.2,D409*1.2,D409)/$W$4</f>
        <v>7290</v>
      </c>
      <c r="F409" s="18">
        <f t="shared" ref="F409:F410" si="52">IF(AE409="","",(1-$W$2)*(AE409/1.2))</f>
        <v>6316.666666666667</v>
      </c>
      <c r="G409" s="66">
        <f t="shared" ref="G409:G410" si="53">IF($W$5=0.2,F409*1.2,F409)/$W$4</f>
        <v>7580</v>
      </c>
      <c r="L409" s="104"/>
      <c r="M409" s="104"/>
      <c r="N409" s="104"/>
      <c r="O409" s="104"/>
      <c r="P409" s="104"/>
      <c r="Q409" s="104"/>
      <c r="R409" s="104"/>
      <c r="S409" s="104"/>
      <c r="U409" s="104"/>
      <c r="V409" s="20"/>
      <c r="W409" s="104"/>
      <c r="X409" s="20"/>
      <c r="Y409" s="104"/>
      <c r="Z409" s="104"/>
      <c r="AA409" s="104"/>
      <c r="AB409" s="104"/>
      <c r="AC409" s="332"/>
      <c r="AD409" s="391">
        <v>7290</v>
      </c>
      <c r="AE409" s="332">
        <v>7580</v>
      </c>
      <c r="AF409" s="332"/>
      <c r="AG409" s="332"/>
      <c r="AH409" s="289"/>
      <c r="AI409" s="289"/>
      <c r="AJ409" s="289"/>
      <c r="AK409" s="289"/>
      <c r="AL409" s="289"/>
      <c r="AM409" s="289"/>
      <c r="AN409" s="289"/>
      <c r="AO409" s="289"/>
      <c r="AP409" s="289"/>
      <c r="AQ409" s="289"/>
    </row>
    <row r="410" spans="1:47" ht="35.1" customHeight="1">
      <c r="A410" s="8"/>
      <c r="B410" s="107" t="s">
        <v>74</v>
      </c>
      <c r="C410" s="322"/>
      <c r="D410" s="18">
        <f t="shared" si="50"/>
        <v>5883.3333333333339</v>
      </c>
      <c r="E410" s="66">
        <f t="shared" si="51"/>
        <v>7060.0000000000009</v>
      </c>
      <c r="F410" s="18">
        <f t="shared" si="52"/>
        <v>6116.666666666667</v>
      </c>
      <c r="G410" s="66">
        <f t="shared" si="53"/>
        <v>7340</v>
      </c>
      <c r="L410" s="104"/>
      <c r="M410" s="104"/>
      <c r="N410" s="104"/>
      <c r="O410" s="104"/>
      <c r="P410" s="104"/>
      <c r="Q410" s="104"/>
      <c r="R410" s="104"/>
      <c r="S410" s="104"/>
      <c r="U410" s="104"/>
      <c r="V410" s="20"/>
      <c r="W410" s="104"/>
      <c r="X410" s="20"/>
      <c r="Y410" s="104"/>
      <c r="Z410" s="104"/>
      <c r="AA410" s="104"/>
      <c r="AB410" s="104"/>
      <c r="AC410" s="332"/>
      <c r="AD410" s="391">
        <v>7060</v>
      </c>
      <c r="AE410" s="332">
        <v>7340</v>
      </c>
      <c r="AF410" s="332"/>
      <c r="AG410" s="332"/>
      <c r="AH410" s="289"/>
      <c r="AI410" s="289"/>
      <c r="AJ410" s="289"/>
      <c r="AK410" s="289"/>
      <c r="AL410" s="289"/>
      <c r="AM410" s="289"/>
      <c r="AN410" s="289"/>
      <c r="AO410" s="289"/>
      <c r="AP410" s="289"/>
      <c r="AQ410" s="289"/>
    </row>
    <row r="411" spans="1:47" ht="35.1" customHeight="1">
      <c r="A411" s="8"/>
      <c r="B411" s="23" t="s">
        <v>75</v>
      </c>
      <c r="C411" s="24"/>
      <c r="D411" s="25">
        <f>IF(AD411="","",(1-$W$2)*(AD411/1.2))</f>
        <v>6325</v>
      </c>
      <c r="E411" s="69">
        <f>IF($W$5=0.2,D411*1.2,D411)/$W$4</f>
        <v>7590</v>
      </c>
      <c r="F411" s="25">
        <f>IF(AE411="","",(1-$W$2)*(AE411/1.2))</f>
        <v>6583.3333333333339</v>
      </c>
      <c r="G411" s="69">
        <f>IF($W$5=0.2,F411*1.2,F411)/$W$4</f>
        <v>7900</v>
      </c>
      <c r="L411" s="104"/>
      <c r="M411" s="104"/>
      <c r="N411" s="104"/>
      <c r="O411" s="104"/>
      <c r="P411" s="104"/>
      <c r="Q411" s="104"/>
      <c r="R411" s="104"/>
      <c r="S411" s="104"/>
      <c r="U411" s="104"/>
      <c r="V411" s="20"/>
      <c r="W411" s="104"/>
      <c r="X411" s="20"/>
      <c r="Y411" s="104"/>
      <c r="Z411" s="104"/>
      <c r="AA411" s="104"/>
      <c r="AB411" s="104"/>
      <c r="AC411" s="332"/>
      <c r="AD411" s="391">
        <v>7590</v>
      </c>
      <c r="AE411" s="332">
        <v>7900</v>
      </c>
      <c r="AF411" s="332">
        <v>8050</v>
      </c>
      <c r="AG411" s="332">
        <v>8470</v>
      </c>
      <c r="AH411" s="289">
        <v>6230</v>
      </c>
      <c r="AI411" s="289" t="e">
        <f t="shared" si="46"/>
        <v>#DIV/0!</v>
      </c>
      <c r="AJ411" s="289">
        <v>7100</v>
      </c>
      <c r="AK411" s="289">
        <f t="shared" ref="AK411" si="54">AJ411/AD411-1</f>
        <v>-6.4558629776021115E-2</v>
      </c>
      <c r="AL411" s="289">
        <v>7390</v>
      </c>
      <c r="AM411" s="289">
        <f t="shared" si="47"/>
        <v>-6.4556962025316467E-2</v>
      </c>
      <c r="AN411" s="289">
        <v>8050</v>
      </c>
      <c r="AO411" s="289">
        <f t="shared" si="48"/>
        <v>0</v>
      </c>
      <c r="AP411" s="289">
        <v>8470</v>
      </c>
      <c r="AQ411" s="289">
        <f t="shared" si="49"/>
        <v>0</v>
      </c>
    </row>
    <row r="412" spans="1:47">
      <c r="C412" s="245"/>
      <c r="D412" s="26"/>
      <c r="E412" s="57"/>
      <c r="F412" s="26"/>
      <c r="G412" s="57"/>
      <c r="H412" s="10"/>
      <c r="I412" s="8"/>
      <c r="J412" s="8"/>
      <c r="K412" s="8"/>
    </row>
    <row r="413" spans="1:47">
      <c r="B413" s="212" t="str">
        <f>IF($C$1="ENG","For additonal charge:","Послуги за додаткову плату:")</f>
        <v>Послуги за додаткову плату:</v>
      </c>
      <c r="C413" s="421"/>
      <c r="D413" s="213"/>
      <c r="E413" s="214"/>
      <c r="F413" s="26"/>
      <c r="G413" s="57"/>
      <c r="H413" s="10"/>
      <c r="I413" s="8"/>
      <c r="J413" s="8"/>
      <c r="K413" s="8"/>
    </row>
    <row r="414" spans="1:47" ht="5.0999999999999996" customHeight="1">
      <c r="B414" s="27"/>
      <c r="C414" s="245"/>
      <c r="D414" s="26"/>
      <c r="E414" s="57"/>
      <c r="F414" s="26"/>
      <c r="G414" s="57"/>
      <c r="H414" s="10"/>
      <c r="I414" s="8"/>
      <c r="J414" s="8"/>
      <c r="K414" s="8"/>
    </row>
    <row r="415" spans="1:47">
      <c r="B415" s="514" t="str">
        <f>IF($C$1="ENG","door leaf with width 100","полотно розміром 100")</f>
        <v>полотно розміром 100</v>
      </c>
      <c r="C415" s="515"/>
      <c r="D415" s="410">
        <f t="shared" ref="D415:D426" si="55">IF(AC415="","",(1-$W$2)*(AC415/1.2))</f>
        <v>600</v>
      </c>
      <c r="E415" s="92">
        <f>IF($W$5=0.2,D415*1.2,D415)/$W$4</f>
        <v>720</v>
      </c>
      <c r="F415" s="26"/>
      <c r="G415" s="26"/>
      <c r="H415" s="10"/>
      <c r="I415" s="8"/>
      <c r="J415" s="8"/>
      <c r="K415" s="8"/>
      <c r="AC415" s="298">
        <v>720</v>
      </c>
      <c r="AD415" s="289">
        <v>720</v>
      </c>
      <c r="AE415" s="289">
        <f>AD415/AC415-1</f>
        <v>0</v>
      </c>
      <c r="AF415" s="289"/>
      <c r="AG415" s="289"/>
      <c r="AH415" s="289"/>
      <c r="AI415" s="289"/>
      <c r="AJ415" s="289"/>
      <c r="AK415" s="289"/>
      <c r="AL415" s="289"/>
    </row>
    <row r="416" spans="1:47">
      <c r="B416" s="514" t="str">
        <f>IF($C$1="ENG","Ventilation cut","вентиляційний підріз")</f>
        <v>вентиляційний підріз</v>
      </c>
      <c r="C416" s="515"/>
      <c r="D416" s="405">
        <f t="shared" si="55"/>
        <v>141.66666666666669</v>
      </c>
      <c r="E416" s="66">
        <f t="shared" ref="E416:E425" si="56">IF($W$5=0.2,D416*1.2,D416)/$W$4</f>
        <v>170.00000000000003</v>
      </c>
      <c r="F416" s="26"/>
      <c r="G416" s="26"/>
      <c r="I416" s="59"/>
      <c r="J416" s="28"/>
      <c r="AC416" s="298">
        <v>170</v>
      </c>
      <c r="AD416" s="289">
        <v>170</v>
      </c>
      <c r="AE416" s="289">
        <f t="shared" ref="AE416:AE425" si="57">AD416/AC416-1</f>
        <v>0</v>
      </c>
      <c r="AF416" s="289"/>
      <c r="AG416" s="289"/>
      <c r="AH416" s="289"/>
      <c r="AI416" s="289"/>
      <c r="AJ416" s="289"/>
      <c r="AK416" s="289"/>
      <c r="AL416" s="289"/>
    </row>
    <row r="417" spans="2:38">
      <c r="B417" s="501" t="str">
        <f>IF($C$1="ENG","glazing Graphite / Bronze","скло Графіт / Бронза")</f>
        <v>скло Графіт / Бронза</v>
      </c>
      <c r="C417" s="502"/>
      <c r="D417" s="407">
        <f t="shared" si="55"/>
        <v>458.33333333333337</v>
      </c>
      <c r="E417" s="93">
        <f t="shared" si="56"/>
        <v>550</v>
      </c>
      <c r="F417" s="26"/>
      <c r="G417" s="26"/>
      <c r="H417" s="5"/>
      <c r="AC417" s="298">
        <v>550</v>
      </c>
      <c r="AD417" s="289">
        <v>550</v>
      </c>
      <c r="AE417" s="289">
        <f t="shared" si="57"/>
        <v>0</v>
      </c>
      <c r="AF417" s="289"/>
      <c r="AG417" s="289"/>
      <c r="AH417" s="289"/>
      <c r="AI417" s="289"/>
      <c r="AJ417" s="289"/>
      <c r="AK417" s="289"/>
      <c r="AL417" s="289"/>
    </row>
    <row r="418" spans="2:38">
      <c r="B418" s="501" t="str">
        <f>IF($C$1="ENG","door lock Soft","замок Soft")</f>
        <v>замок Soft</v>
      </c>
      <c r="C418" s="502"/>
      <c r="D418" s="407">
        <f t="shared" si="55"/>
        <v>458.33333333333337</v>
      </c>
      <c r="E418" s="93">
        <f t="shared" si="56"/>
        <v>550</v>
      </c>
      <c r="F418" s="26"/>
      <c r="G418" s="26"/>
      <c r="H418" s="5"/>
      <c r="AC418" s="298">
        <v>550</v>
      </c>
      <c r="AD418" s="289">
        <v>550</v>
      </c>
      <c r="AE418" s="289">
        <f t="shared" si="57"/>
        <v>0</v>
      </c>
      <c r="AF418" s="289"/>
      <c r="AG418" s="289"/>
      <c r="AH418" s="289"/>
      <c r="AI418" s="289"/>
      <c r="AJ418" s="289"/>
      <c r="AK418" s="289"/>
      <c r="AL418" s="289"/>
    </row>
    <row r="419" spans="2:38">
      <c r="B419" s="501" t="str">
        <f>IF($C$1="ENG","door lock Soft black","замок Soft чорн.")</f>
        <v>замок Soft чорн.</v>
      </c>
      <c r="C419" s="502"/>
      <c r="D419" s="407">
        <f t="shared" ref="D419" si="58">IF(AC419="","",(1-$W$2)*(AC419/1.2))</f>
        <v>566.66666666666674</v>
      </c>
      <c r="E419" s="93">
        <f t="shared" ref="E419" si="59">IF($W$5=0.2,D419*1.2,D419)/$W$4</f>
        <v>680.00000000000011</v>
      </c>
      <c r="F419" s="26"/>
      <c r="G419" s="26"/>
      <c r="H419" s="5"/>
      <c r="AC419" s="298">
        <v>680</v>
      </c>
      <c r="AD419" s="289"/>
      <c r="AE419" s="289"/>
      <c r="AF419" s="289"/>
      <c r="AG419" s="289"/>
      <c r="AH419" s="289"/>
      <c r="AI419" s="289"/>
      <c r="AJ419" s="289"/>
      <c r="AK419" s="289"/>
      <c r="AL419" s="289"/>
    </row>
    <row r="420" spans="2:38">
      <c r="B420" s="501" t="str">
        <f>IF($C$1="ENG","door lock Magnet","замок Magnet")</f>
        <v>замок Magnet</v>
      </c>
      <c r="C420" s="502"/>
      <c r="D420" s="407">
        <f t="shared" si="55"/>
        <v>666.66666666666674</v>
      </c>
      <c r="E420" s="93">
        <f t="shared" si="56"/>
        <v>800.00000000000011</v>
      </c>
      <c r="F420" s="26"/>
      <c r="G420" s="26"/>
      <c r="H420" s="5"/>
      <c r="AC420" s="298">
        <v>800</v>
      </c>
      <c r="AD420" s="289">
        <v>800</v>
      </c>
      <c r="AE420" s="289">
        <f t="shared" si="57"/>
        <v>0</v>
      </c>
      <c r="AF420" s="289"/>
      <c r="AG420" s="289"/>
      <c r="AH420" s="289"/>
      <c r="AI420" s="289"/>
      <c r="AJ420" s="289"/>
      <c r="AK420" s="289"/>
      <c r="AL420" s="289"/>
    </row>
    <row r="421" spans="2:38">
      <c r="B421" s="501" t="s">
        <v>76</v>
      </c>
      <c r="C421" s="502"/>
      <c r="D421" s="407">
        <f t="shared" ref="D421" si="60">IF(AC421="","",(1-$W$2)*(AC421/1.2))</f>
        <v>833.33333333333337</v>
      </c>
      <c r="E421" s="93">
        <f t="shared" ref="E421" si="61">IF($W$5=0.2,D421*1.2,D421)/$W$4</f>
        <v>1000</v>
      </c>
      <c r="F421" s="26"/>
      <c r="G421" s="26"/>
      <c r="H421" s="5"/>
      <c r="AC421" s="298">
        <v>1000</v>
      </c>
      <c r="AD421" s="289"/>
      <c r="AE421" s="289"/>
      <c r="AF421" s="289"/>
      <c r="AG421" s="289"/>
      <c r="AH421" s="289"/>
      <c r="AI421" s="289"/>
      <c r="AJ421" s="289"/>
      <c r="AK421" s="289"/>
      <c r="AL421" s="289"/>
    </row>
    <row r="422" spans="2:38">
      <c r="B422" s="501" t="str">
        <f>IF($C$1="ENG","door handle-lock (for sliding doors)","ручка-замок (для дверей купе)")</f>
        <v>ручка-замок (для дверей купе)</v>
      </c>
      <c r="C422" s="502"/>
      <c r="D422" s="405">
        <f t="shared" si="55"/>
        <v>466.66666666666669</v>
      </c>
      <c r="E422" s="93">
        <f t="shared" si="56"/>
        <v>560</v>
      </c>
      <c r="F422" s="26"/>
      <c r="G422" s="26"/>
      <c r="I422" s="11"/>
      <c r="J422" s="11"/>
      <c r="K422" s="19"/>
      <c r="AC422" s="298">
        <v>560</v>
      </c>
      <c r="AD422" s="289">
        <v>560</v>
      </c>
      <c r="AE422" s="289">
        <f t="shared" si="57"/>
        <v>0</v>
      </c>
      <c r="AF422" s="289"/>
      <c r="AG422" s="289"/>
      <c r="AH422" s="289"/>
      <c r="AI422" s="289"/>
      <c r="AJ422" s="289"/>
      <c r="AK422" s="289"/>
      <c r="AL422" s="289"/>
    </row>
    <row r="423" spans="2:38">
      <c r="B423" s="501" t="str">
        <f>IF($C$1="ENG","cylinder incert","циліндр несиметричний")</f>
        <v>циліндр несиметричний</v>
      </c>
      <c r="C423" s="502"/>
      <c r="D423" s="405">
        <f t="shared" si="55"/>
        <v>325</v>
      </c>
      <c r="E423" s="93">
        <f t="shared" si="56"/>
        <v>390</v>
      </c>
      <c r="F423" s="26"/>
      <c r="G423" s="26"/>
      <c r="AC423" s="298">
        <v>390</v>
      </c>
      <c r="AD423" s="289">
        <v>390</v>
      </c>
      <c r="AE423" s="289">
        <f t="shared" si="57"/>
        <v>0</v>
      </c>
      <c r="AF423" s="289"/>
      <c r="AG423" s="289"/>
      <c r="AH423" s="289"/>
      <c r="AI423" s="289"/>
      <c r="AJ423" s="289"/>
      <c r="AK423" s="289"/>
      <c r="AL423" s="289"/>
    </row>
    <row r="424" spans="2:38">
      <c r="B424" s="501" t="str">
        <f>IF($C$1="ENG","door hindge Prestige (1 unit)","завіса Prestige (1 шт)")</f>
        <v>завіса Prestige (1 шт)</v>
      </c>
      <c r="C424" s="502"/>
      <c r="D424" s="408">
        <f t="shared" si="55"/>
        <v>216.66666666666669</v>
      </c>
      <c r="E424" s="93">
        <f t="shared" si="56"/>
        <v>260</v>
      </c>
      <c r="F424" s="26"/>
      <c r="G424" s="26"/>
      <c r="AC424" s="298">
        <v>260</v>
      </c>
      <c r="AD424" s="289">
        <v>260</v>
      </c>
      <c r="AE424" s="289">
        <f t="shared" si="57"/>
        <v>0</v>
      </c>
      <c r="AF424" s="289"/>
      <c r="AG424" s="289"/>
      <c r="AH424" s="289"/>
      <c r="AI424" s="289"/>
      <c r="AJ424" s="289"/>
      <c r="AK424" s="289"/>
      <c r="AL424" s="289"/>
    </row>
    <row r="425" spans="2:38">
      <c r="B425" s="501" t="str">
        <f>IF($C$1="ENG","door hinge caps (1 set)","накладка на завіси (1 к-т)")</f>
        <v>накладка на завіси (1 к-т)</v>
      </c>
      <c r="C425" s="502"/>
      <c r="D425" s="408">
        <f t="shared" si="55"/>
        <v>66.666666666666671</v>
      </c>
      <c r="E425" s="93">
        <f t="shared" si="56"/>
        <v>80</v>
      </c>
      <c r="F425" s="26"/>
      <c r="G425" s="26"/>
      <c r="AC425" s="298">
        <v>80</v>
      </c>
      <c r="AD425" s="289">
        <v>80</v>
      </c>
      <c r="AE425" s="289">
        <f t="shared" si="57"/>
        <v>0</v>
      </c>
      <c r="AF425" s="289"/>
      <c r="AG425" s="289"/>
      <c r="AH425" s="289"/>
      <c r="AI425" s="289"/>
      <c r="AJ425" s="289"/>
      <c r="AK425" s="289"/>
      <c r="AL425" s="289"/>
    </row>
    <row r="426" spans="2:38">
      <c r="B426" s="501" t="str">
        <f>IF($C$1="ENG","door handle","дверна ручка")</f>
        <v>дверна ручка</v>
      </c>
      <c r="C426" s="502"/>
      <c r="D426" s="409" t="str">
        <f t="shared" si="55"/>
        <v/>
      </c>
      <c r="E426" s="247" t="str">
        <f>IF($C$1="ENG","see Handles Price","див. Таблицю Ручки")</f>
        <v>див. Таблицю Ручки</v>
      </c>
      <c r="F426" s="26"/>
      <c r="G426" s="26"/>
      <c r="AC426" s="289"/>
      <c r="AD426" s="289"/>
      <c r="AE426" s="289"/>
      <c r="AF426" s="289"/>
      <c r="AG426" s="289"/>
      <c r="AH426" s="289"/>
      <c r="AI426" s="289"/>
      <c r="AJ426" s="289"/>
      <c r="AK426" s="289"/>
      <c r="AL426" s="289"/>
    </row>
    <row r="427" spans="2:38" ht="14.25" customHeight="1">
      <c r="C427" s="245"/>
      <c r="D427" s="26"/>
      <c r="E427" s="26"/>
      <c r="F427" s="26"/>
      <c r="G427" s="26"/>
      <c r="H427" s="5"/>
      <c r="T427" s="503" t="str">
        <f>IF($C$1="ENG",CONCATENATE("down to: ",B537),CONCATENATE("вниз до: ",B537))</f>
        <v xml:space="preserve">вниз до: </v>
      </c>
      <c r="U427" s="503"/>
      <c r="V427" s="503"/>
      <c r="W427" s="503"/>
    </row>
    <row r="428" spans="2:38" ht="14.25" customHeight="1">
      <c r="C428" s="245"/>
      <c r="D428" s="26"/>
      <c r="E428" s="26"/>
      <c r="F428" s="26"/>
      <c r="G428" s="26"/>
      <c r="H428" s="5"/>
    </row>
    <row r="429" spans="2:38" ht="14.25" customHeight="1">
      <c r="C429" s="245"/>
      <c r="D429" s="26"/>
      <c r="E429" s="26"/>
      <c r="F429" s="26"/>
      <c r="G429" s="26"/>
      <c r="H429" s="5"/>
    </row>
    <row r="430" spans="2:38" ht="14.25" customHeight="1">
      <c r="C430" s="245"/>
      <c r="D430" s="26"/>
      <c r="E430" s="26"/>
      <c r="F430" s="26"/>
      <c r="G430" s="26"/>
      <c r="H430" s="5"/>
    </row>
    <row r="431" spans="2:38" ht="14.25" customHeight="1">
      <c r="C431" s="245"/>
      <c r="D431" s="26"/>
      <c r="E431" s="26"/>
      <c r="F431" s="26"/>
      <c r="G431" s="26"/>
      <c r="H431" s="5"/>
    </row>
    <row r="432" spans="2:38" ht="14.25" customHeight="1">
      <c r="C432" s="245"/>
      <c r="D432" s="26"/>
      <c r="E432" s="26"/>
      <c r="F432" s="26"/>
      <c r="G432" s="26"/>
      <c r="H432" s="5"/>
    </row>
    <row r="433" spans="3:8" ht="14.25" customHeight="1">
      <c r="C433" s="245"/>
      <c r="D433" s="26"/>
      <c r="E433" s="26"/>
      <c r="F433" s="26"/>
      <c r="G433" s="26"/>
      <c r="H433" s="5"/>
    </row>
    <row r="434" spans="3:8" ht="14.25" customHeight="1">
      <c r="C434" s="245"/>
      <c r="D434" s="26"/>
      <c r="E434" s="26"/>
      <c r="F434" s="26"/>
      <c r="G434" s="26"/>
      <c r="H434" s="5"/>
    </row>
    <row r="435" spans="3:8" ht="14.25" customHeight="1">
      <c r="C435" s="245"/>
      <c r="D435" s="26"/>
      <c r="E435" s="26"/>
      <c r="F435" s="26"/>
      <c r="G435" s="26"/>
      <c r="H435" s="5"/>
    </row>
    <row r="436" spans="3:8" ht="14.25" customHeight="1">
      <c r="C436" s="245"/>
      <c r="D436" s="26"/>
      <c r="E436" s="26"/>
      <c r="F436" s="26"/>
      <c r="G436" s="26"/>
      <c r="H436" s="5"/>
    </row>
    <row r="437" spans="3:8" ht="14.25" customHeight="1">
      <c r="C437" s="245"/>
      <c r="D437" s="26"/>
      <c r="E437" s="26"/>
      <c r="F437" s="26"/>
      <c r="G437" s="26"/>
      <c r="H437" s="5"/>
    </row>
    <row r="438" spans="3:8" ht="14.25" customHeight="1">
      <c r="C438" s="245"/>
      <c r="D438" s="26"/>
      <c r="E438" s="26"/>
      <c r="F438" s="26"/>
      <c r="G438" s="26"/>
      <c r="H438" s="5"/>
    </row>
    <row r="439" spans="3:8" ht="14.25" customHeight="1">
      <c r="C439" s="245"/>
      <c r="D439" s="26"/>
      <c r="E439" s="26"/>
      <c r="F439" s="26"/>
      <c r="G439" s="26"/>
      <c r="H439" s="5"/>
    </row>
    <row r="440" spans="3:8" ht="14.25" customHeight="1">
      <c r="C440" s="245"/>
      <c r="D440" s="26"/>
      <c r="E440" s="26"/>
      <c r="F440" s="26"/>
      <c r="G440" s="26"/>
      <c r="H440" s="5"/>
    </row>
    <row r="441" spans="3:8" ht="14.25" customHeight="1">
      <c r="C441" s="245"/>
      <c r="D441" s="26"/>
      <c r="E441" s="26"/>
      <c r="F441" s="26"/>
      <c r="G441" s="26"/>
      <c r="H441" s="5"/>
    </row>
    <row r="442" spans="3:8" ht="14.25" customHeight="1">
      <c r="C442" s="245"/>
      <c r="D442" s="26"/>
      <c r="E442" s="26"/>
      <c r="F442" s="26"/>
      <c r="G442" s="26"/>
      <c r="H442" s="5"/>
    </row>
    <row r="443" spans="3:8" ht="14.25" customHeight="1">
      <c r="C443" s="245"/>
      <c r="D443" s="26"/>
      <c r="E443" s="26"/>
      <c r="F443" s="26"/>
      <c r="G443" s="26"/>
      <c r="H443" s="5"/>
    </row>
    <row r="444" spans="3:8" ht="14.25" customHeight="1">
      <c r="C444" s="245"/>
      <c r="D444" s="26"/>
      <c r="E444" s="26"/>
      <c r="F444" s="26"/>
      <c r="G444" s="26"/>
      <c r="H444" s="5"/>
    </row>
    <row r="445" spans="3:8" ht="14.25" customHeight="1">
      <c r="C445" s="245"/>
      <c r="D445" s="26"/>
      <c r="E445" s="26"/>
      <c r="F445" s="26"/>
      <c r="G445" s="26"/>
      <c r="H445" s="5"/>
    </row>
    <row r="446" spans="3:8" ht="14.25" customHeight="1">
      <c r="C446" s="245"/>
      <c r="D446" s="26"/>
      <c r="E446" s="26"/>
      <c r="F446" s="26"/>
      <c r="G446" s="26"/>
      <c r="H446" s="5"/>
    </row>
    <row r="447" spans="3:8" ht="14.25" customHeight="1">
      <c r="C447" s="245"/>
      <c r="D447" s="26"/>
      <c r="E447" s="26"/>
      <c r="F447" s="26"/>
      <c r="G447" s="26"/>
      <c r="H447" s="5"/>
    </row>
    <row r="448" spans="3:8" ht="14.25" customHeight="1">
      <c r="C448" s="245"/>
      <c r="D448" s="26"/>
      <c r="E448" s="26"/>
      <c r="F448" s="26"/>
      <c r="G448" s="26"/>
      <c r="H448" s="5"/>
    </row>
    <row r="449" spans="1:47" ht="14.25" customHeight="1">
      <c r="C449" s="245"/>
      <c r="D449" s="26"/>
      <c r="E449" s="26"/>
      <c r="F449" s="26"/>
      <c r="G449" s="26"/>
      <c r="H449" s="5"/>
    </row>
    <row r="450" spans="1:47" ht="14.25" customHeight="1">
      <c r="C450" s="245"/>
      <c r="D450" s="26"/>
      <c r="E450" s="26"/>
      <c r="F450" s="26"/>
      <c r="G450" s="26"/>
      <c r="H450" s="5"/>
    </row>
    <row r="451" spans="1:47" ht="14.25" customHeight="1">
      <c r="C451" s="245"/>
      <c r="D451" s="26"/>
      <c r="E451" s="26"/>
      <c r="F451" s="26"/>
      <c r="G451" s="26"/>
      <c r="H451" s="5"/>
    </row>
    <row r="452" spans="1:47" s="8" customFormat="1">
      <c r="B452" s="494" t="str">
        <f>TITLE!C14</f>
        <v>Полотна збірні: ПРОВАНС</v>
      </c>
      <c r="C452" s="494"/>
      <c r="D452" s="118"/>
      <c r="E452" s="118"/>
      <c r="F452" s="118"/>
      <c r="G452" s="118"/>
      <c r="H452" s="496"/>
      <c r="I452" s="496"/>
      <c r="J452" s="121"/>
      <c r="K452" s="121"/>
      <c r="L452" s="121"/>
      <c r="M452" s="121"/>
      <c r="N452" s="121"/>
      <c r="O452" s="121"/>
      <c r="P452" s="121"/>
      <c r="Q452" s="121"/>
      <c r="R452" s="121"/>
      <c r="S452" s="497" t="str">
        <f>IF($C$1="ENG",CONCATENATE("up to: ",B380),CONCATENATE("вгору до: ",B380))</f>
        <v>вгору до: замок Soft</v>
      </c>
      <c r="T452" s="527"/>
      <c r="U452" s="527"/>
      <c r="V452" s="527"/>
      <c r="W452" s="527"/>
      <c r="AN452" s="280"/>
      <c r="AO452" s="280"/>
      <c r="AP452" s="280"/>
      <c r="AQ452" s="280"/>
      <c r="AR452" s="280"/>
      <c r="AS452" s="280"/>
      <c r="AT452" s="280"/>
    </row>
    <row r="453" spans="1:47" s="8" customFormat="1" ht="5.0999999999999996" customHeight="1">
      <c r="B453" s="117"/>
      <c r="C453" s="420"/>
      <c r="D453" s="9"/>
      <c r="E453" s="9"/>
      <c r="F453" s="9"/>
      <c r="G453" s="9"/>
      <c r="H453" s="120"/>
      <c r="S453" s="466"/>
      <c r="T453" s="466"/>
      <c r="U453" s="466"/>
      <c r="V453" s="466"/>
      <c r="AM453" s="280"/>
      <c r="AN453" s="280"/>
      <c r="AO453" s="280"/>
      <c r="AP453" s="280"/>
      <c r="AQ453" s="280"/>
      <c r="AR453" s="280"/>
      <c r="AS453" s="280"/>
    </row>
    <row r="454" spans="1:47" s="8" customFormat="1" ht="12.75" customHeight="1">
      <c r="B454" s="509" t="str">
        <f>IF($C$1="ENG","model","модель")</f>
        <v>модель</v>
      </c>
      <c r="C454" s="122" t="str">
        <f>IF($C$1="ENG","cover:","покриття:")</f>
        <v>покриття:</v>
      </c>
      <c r="D454" s="498" t="str">
        <f>IF($C$1="ENG","UNI-MAT","UNI-MAT")</f>
        <v>UNI-MAT</v>
      </c>
      <c r="E454" s="500"/>
      <c r="F454" s="498" t="str">
        <f>IF($C$1="ENG","RESIST","RESIST")</f>
        <v>RESIST</v>
      </c>
      <c r="G454" s="500"/>
      <c r="H454" s="1"/>
      <c r="T454" s="466"/>
      <c r="U454" s="466"/>
      <c r="V454" s="466"/>
      <c r="W454" s="466"/>
      <c r="AN454" s="280"/>
      <c r="AO454" s="280"/>
      <c r="AP454" s="280"/>
      <c r="AQ454" s="280"/>
      <c r="AR454" s="280"/>
      <c r="AS454" s="280"/>
      <c r="AT454" s="280"/>
    </row>
    <row r="455" spans="1:47" s="8" customFormat="1" ht="24.9" customHeight="1">
      <c r="B455" s="510"/>
      <c r="C455" s="123" t="str">
        <f>IF($C$1="ENG","filling:","заповнення:")</f>
        <v>заповнення:</v>
      </c>
      <c r="D455" s="505" t="str">
        <f>IF($C$1="ENG","softwood","клеєний сосновий брус")</f>
        <v>клеєний сосновий брус</v>
      </c>
      <c r="E455" s="506"/>
      <c r="F455" s="505" t="str">
        <f>IF($C$1="ENG","softwood","клеєний сосновий брус")</f>
        <v>клеєний сосновий брус</v>
      </c>
      <c r="G455" s="506"/>
      <c r="H455" s="1"/>
      <c r="I455" s="1"/>
      <c r="U455" s="466"/>
      <c r="V455" s="466"/>
      <c r="W455" s="466"/>
      <c r="X455" s="466"/>
      <c r="AE455" s="383" t="e">
        <f>AD457/AC457-1</f>
        <v>#DIV/0!</v>
      </c>
      <c r="AF455" s="383">
        <f>AE457/AD457-1</f>
        <v>3.9886039886039892E-2</v>
      </c>
      <c r="AG455" s="383">
        <f>AF457/AE457-1</f>
        <v>0.10273972602739723</v>
      </c>
      <c r="AH455" s="383">
        <f>AG457/AF457-1</f>
        <v>5.2173913043478182E-2</v>
      </c>
      <c r="AO455" s="280"/>
      <c r="AP455" s="280"/>
      <c r="AQ455" s="280"/>
      <c r="AR455" s="280"/>
      <c r="AS455" s="280"/>
      <c r="AT455" s="280"/>
      <c r="AU455" s="280"/>
    </row>
    <row r="456" spans="1:47" ht="12.75" customHeight="1">
      <c r="A456" s="8"/>
      <c r="B456" s="511"/>
      <c r="C456" s="124" t="str">
        <f>IF($C$1="ENG","glazing:","скління:")</f>
        <v>скління:</v>
      </c>
      <c r="D456" s="489" t="str">
        <f>IF($C$1="ENG","Satin","Сатин")</f>
        <v>Сатин</v>
      </c>
      <c r="E456" s="492"/>
      <c r="F456" s="489" t="str">
        <f>IF($C$1="ENG","Satin","Сатин")</f>
        <v>Сатин</v>
      </c>
      <c r="G456" s="492"/>
      <c r="AN456" s="1"/>
      <c r="AU456" s="30"/>
    </row>
    <row r="457" spans="1:47" ht="35.1" customHeight="1">
      <c r="A457" s="8"/>
      <c r="B457" s="16" t="s">
        <v>71</v>
      </c>
      <c r="C457" s="17"/>
      <c r="D457" s="18">
        <f>IF(AD457="","",(1-$W$2)*(AD457/1.2))</f>
        <v>5850</v>
      </c>
      <c r="E457" s="66">
        <f>IF($W$5=0.2,D457*1.2,D457)/$W$4</f>
        <v>7020</v>
      </c>
      <c r="F457" s="18">
        <f>IF(AE457="","",(1-$W$2)*(AE457/1.2))</f>
        <v>6083.3333333333339</v>
      </c>
      <c r="G457" s="66">
        <f>IF($W$5=0.2,F457*1.2,F457)/$W$4</f>
        <v>7300.0000000000009</v>
      </c>
      <c r="L457" s="104"/>
      <c r="M457" s="104"/>
      <c r="N457" s="104"/>
      <c r="O457" s="104"/>
      <c r="P457" s="104"/>
      <c r="Q457" s="104"/>
      <c r="R457" s="104"/>
      <c r="S457" s="104"/>
      <c r="U457" s="104"/>
      <c r="V457" s="20"/>
      <c r="W457" s="104"/>
      <c r="X457" s="20"/>
      <c r="Y457" s="104"/>
      <c r="Z457" s="104"/>
      <c r="AA457" s="104"/>
      <c r="AB457" s="104"/>
      <c r="AC457" s="332"/>
      <c r="AD457" s="391">
        <v>7020</v>
      </c>
      <c r="AE457" s="332">
        <v>7300</v>
      </c>
      <c r="AF457" s="332">
        <v>8050</v>
      </c>
      <c r="AG457" s="332">
        <v>8470</v>
      </c>
      <c r="AH457" s="289">
        <v>6230</v>
      </c>
      <c r="AI457" s="289" t="e">
        <f>AH457/AC457-1</f>
        <v>#DIV/0!</v>
      </c>
      <c r="AJ457" s="289">
        <v>7100</v>
      </c>
      <c r="AK457" s="289">
        <f>AJ457/AD457-1</f>
        <v>1.139601139601143E-2</v>
      </c>
      <c r="AL457" s="289">
        <v>7390</v>
      </c>
      <c r="AM457" s="289">
        <f>AL457/AE457-1</f>
        <v>1.2328767123287676E-2</v>
      </c>
      <c r="AN457" s="289">
        <v>8050</v>
      </c>
      <c r="AO457" s="289">
        <f>AN457/AF457-1</f>
        <v>0</v>
      </c>
      <c r="AP457" s="289">
        <v>8470</v>
      </c>
      <c r="AQ457" s="289">
        <f>AP457/AG457-1</f>
        <v>0</v>
      </c>
    </row>
    <row r="458" spans="1:47" ht="35.1" customHeight="1">
      <c r="A458" s="8"/>
      <c r="B458" s="107" t="s">
        <v>73</v>
      </c>
      <c r="C458" s="322"/>
      <c r="D458" s="18">
        <f t="shared" ref="D458:D459" si="62">IF(AD458="","",(1-$W$2)*(AD458/1.2))</f>
        <v>6075</v>
      </c>
      <c r="E458" s="66">
        <f t="shared" ref="E458:E459" si="63">IF($W$5=0.2,D458*1.2,D458)/$W$4</f>
        <v>7290</v>
      </c>
      <c r="F458" s="18">
        <f t="shared" ref="F458:F459" si="64">IF(AE458="","",(1-$W$2)*(AE458/1.2))</f>
        <v>6316.666666666667</v>
      </c>
      <c r="G458" s="66">
        <f t="shared" ref="G458:G459" si="65">IF($W$5=0.2,F458*1.2,F458)/$W$4</f>
        <v>7580</v>
      </c>
      <c r="L458" s="104"/>
      <c r="M458" s="104"/>
      <c r="N458" s="104"/>
      <c r="O458" s="104"/>
      <c r="P458" s="104"/>
      <c r="Q458" s="104"/>
      <c r="R458" s="104"/>
      <c r="S458" s="104"/>
      <c r="U458" s="104"/>
      <c r="V458" s="20"/>
      <c r="W458" s="104"/>
      <c r="X458" s="20"/>
      <c r="Y458" s="104"/>
      <c r="Z458" s="104"/>
      <c r="AA458" s="104"/>
      <c r="AB458" s="104"/>
      <c r="AC458" s="332"/>
      <c r="AD458" s="391">
        <v>7290</v>
      </c>
      <c r="AE458" s="332">
        <v>7580</v>
      </c>
      <c r="AF458" s="332"/>
      <c r="AG458" s="332"/>
      <c r="AH458" s="289"/>
      <c r="AI458" s="289"/>
      <c r="AJ458" s="289"/>
      <c r="AK458" s="289"/>
      <c r="AL458" s="289"/>
      <c r="AM458" s="289"/>
      <c r="AN458" s="289"/>
      <c r="AO458" s="289"/>
      <c r="AP458" s="289"/>
      <c r="AQ458" s="289"/>
    </row>
    <row r="459" spans="1:47" ht="35.1" customHeight="1">
      <c r="A459" s="8"/>
      <c r="B459" s="107" t="s">
        <v>74</v>
      </c>
      <c r="C459" s="322"/>
      <c r="D459" s="18">
        <f t="shared" si="62"/>
        <v>5883.3333333333339</v>
      </c>
      <c r="E459" s="66">
        <f t="shared" si="63"/>
        <v>7060.0000000000009</v>
      </c>
      <c r="F459" s="18">
        <f t="shared" si="64"/>
        <v>6116.666666666667</v>
      </c>
      <c r="G459" s="66">
        <f t="shared" si="65"/>
        <v>7340</v>
      </c>
      <c r="L459" s="104"/>
      <c r="M459" s="104"/>
      <c r="N459" s="104"/>
      <c r="O459" s="104"/>
      <c r="P459" s="104"/>
      <c r="Q459" s="104"/>
      <c r="R459" s="104"/>
      <c r="S459" s="104"/>
      <c r="U459" s="104"/>
      <c r="V459" s="20"/>
      <c r="W459" s="104"/>
      <c r="X459" s="20"/>
      <c r="Y459" s="104"/>
      <c r="Z459" s="104"/>
      <c r="AA459" s="104"/>
      <c r="AB459" s="104"/>
      <c r="AC459" s="332"/>
      <c r="AD459" s="391">
        <v>7060</v>
      </c>
      <c r="AE459" s="332">
        <v>7340</v>
      </c>
      <c r="AF459" s="332"/>
      <c r="AG459" s="332"/>
      <c r="AH459" s="289"/>
      <c r="AI459" s="289"/>
      <c r="AJ459" s="289"/>
      <c r="AK459" s="289"/>
      <c r="AL459" s="289"/>
      <c r="AM459" s="289"/>
      <c r="AN459" s="289"/>
      <c r="AO459" s="289"/>
      <c r="AP459" s="289"/>
      <c r="AQ459" s="289"/>
    </row>
    <row r="460" spans="1:47" ht="35.1" customHeight="1">
      <c r="A460" s="8"/>
      <c r="B460" s="23" t="s">
        <v>75</v>
      </c>
      <c r="C460" s="24"/>
      <c r="D460" s="25">
        <f>IF(AD460="","",(1-$W$2)*(AD460/1.2))</f>
        <v>6325</v>
      </c>
      <c r="E460" s="69">
        <f>IF($W$5=0.2,D460*1.2,D460)/$W$4</f>
        <v>7590</v>
      </c>
      <c r="F460" s="25">
        <f>IF(AE460="","",(1-$W$2)*(AE460/1.2))</f>
        <v>6583.3333333333339</v>
      </c>
      <c r="G460" s="69">
        <f>IF($W$5=0.2,F460*1.2,F460)/$W$4</f>
        <v>7900</v>
      </c>
      <c r="L460" s="104"/>
      <c r="M460" s="104"/>
      <c r="N460" s="104"/>
      <c r="O460" s="104"/>
      <c r="P460" s="104"/>
      <c r="Q460" s="104"/>
      <c r="R460" s="104"/>
      <c r="S460" s="104"/>
      <c r="U460" s="104"/>
      <c r="V460" s="20"/>
      <c r="W460" s="104"/>
      <c r="X460" s="20"/>
      <c r="Y460" s="104"/>
      <c r="Z460" s="104"/>
      <c r="AA460" s="104"/>
      <c r="AB460" s="104"/>
      <c r="AC460" s="332"/>
      <c r="AD460" s="391">
        <v>7590</v>
      </c>
      <c r="AE460" s="332">
        <v>7900</v>
      </c>
      <c r="AF460" s="332">
        <v>8050</v>
      </c>
      <c r="AG460" s="332">
        <v>8470</v>
      </c>
      <c r="AH460" s="289">
        <v>6230</v>
      </c>
      <c r="AI460" s="289" t="e">
        <f t="shared" ref="AI460" si="66">AH460/AC460-1</f>
        <v>#DIV/0!</v>
      </c>
      <c r="AJ460" s="289">
        <v>7100</v>
      </c>
      <c r="AK460" s="289">
        <f t="shared" ref="AK460" si="67">AJ460/AD460-1</f>
        <v>-6.4558629776021115E-2</v>
      </c>
      <c r="AL460" s="289">
        <v>7390</v>
      </c>
      <c r="AM460" s="289">
        <f t="shared" ref="AM460" si="68">AL460/AE460-1</f>
        <v>-6.4556962025316467E-2</v>
      </c>
      <c r="AN460" s="289">
        <v>8050</v>
      </c>
      <c r="AO460" s="289">
        <f t="shared" ref="AO460" si="69">AN460/AF460-1</f>
        <v>0</v>
      </c>
      <c r="AP460" s="289">
        <v>8470</v>
      </c>
      <c r="AQ460" s="289">
        <f t="shared" ref="AQ460" si="70">AP460/AG460-1</f>
        <v>0</v>
      </c>
    </row>
    <row r="461" spans="1:47">
      <c r="C461" s="245"/>
      <c r="D461" s="26"/>
      <c r="E461" s="57"/>
      <c r="F461" s="26"/>
      <c r="G461" s="57"/>
      <c r="H461" s="10"/>
      <c r="I461" s="8"/>
      <c r="J461" s="8"/>
      <c r="K461" s="8"/>
    </row>
    <row r="462" spans="1:47">
      <c r="B462" s="212" t="str">
        <f>IF($C$1="ENG","For additonal charge:","Послуги за додаткову плату:")</f>
        <v>Послуги за додаткову плату:</v>
      </c>
      <c r="C462" s="421"/>
      <c r="D462" s="213"/>
      <c r="E462" s="214"/>
      <c r="F462" s="26"/>
      <c r="G462" s="57"/>
      <c r="H462" s="10"/>
      <c r="I462" s="8"/>
      <c r="J462" s="8"/>
      <c r="K462" s="8"/>
    </row>
    <row r="463" spans="1:47" ht="5.0999999999999996" customHeight="1">
      <c r="B463" s="27"/>
      <c r="C463" s="245"/>
      <c r="D463" s="26"/>
      <c r="E463" s="57"/>
      <c r="F463" s="26"/>
      <c r="G463" s="57"/>
      <c r="H463" s="10"/>
      <c r="I463" s="8"/>
      <c r="J463" s="8"/>
      <c r="K463" s="8"/>
    </row>
    <row r="464" spans="1:47">
      <c r="B464" s="514" t="str">
        <f>IF($C$1="ENG","door leaf with width 100","полотно розміром 100")</f>
        <v>полотно розміром 100</v>
      </c>
      <c r="C464" s="515"/>
      <c r="D464" s="410">
        <f t="shared" ref="D464:D475" si="71">IF(AC464="","",(1-$W$2)*(AC464/1.2))</f>
        <v>600</v>
      </c>
      <c r="E464" s="92">
        <f>IF($W$5=0.2,D464*1.2,D464)/$W$4</f>
        <v>720</v>
      </c>
      <c r="F464" s="26"/>
      <c r="G464" s="26"/>
      <c r="H464" s="10"/>
      <c r="I464" s="8"/>
      <c r="J464" s="8"/>
      <c r="K464" s="8"/>
      <c r="AC464" s="298">
        <v>720</v>
      </c>
      <c r="AD464" s="289">
        <v>720</v>
      </c>
      <c r="AE464" s="289">
        <f>AD464/AC464-1</f>
        <v>0</v>
      </c>
      <c r="AF464" s="289"/>
      <c r="AG464" s="289"/>
      <c r="AH464" s="289"/>
      <c r="AI464" s="289"/>
      <c r="AJ464" s="289"/>
      <c r="AK464" s="289"/>
      <c r="AL464" s="289"/>
    </row>
    <row r="465" spans="2:38">
      <c r="B465" s="514" t="str">
        <f>IF($C$1="ENG","Ventilation cut","вентиляційний підріз")</f>
        <v>вентиляційний підріз</v>
      </c>
      <c r="C465" s="515"/>
      <c r="D465" s="405">
        <f t="shared" si="71"/>
        <v>141.66666666666669</v>
      </c>
      <c r="E465" s="66">
        <f t="shared" ref="E465:E474" si="72">IF($W$5=0.2,D465*1.2,D465)/$W$4</f>
        <v>170.00000000000003</v>
      </c>
      <c r="F465" s="26"/>
      <c r="G465" s="26"/>
      <c r="I465" s="59"/>
      <c r="J465" s="28"/>
      <c r="AC465" s="298">
        <v>170</v>
      </c>
      <c r="AD465" s="289">
        <v>170</v>
      </c>
      <c r="AE465" s="289">
        <f t="shared" ref="AE465:AE467" si="73">AD465/AC465-1</f>
        <v>0</v>
      </c>
      <c r="AF465" s="289"/>
      <c r="AG465" s="289"/>
      <c r="AH465" s="289"/>
      <c r="AI465" s="289"/>
      <c r="AJ465" s="289"/>
      <c r="AK465" s="289"/>
      <c r="AL465" s="289"/>
    </row>
    <row r="466" spans="2:38">
      <c r="B466" s="501" t="str">
        <f>IF($C$1="ENG","glazing Graphite / Bronze","скло Графіт / Бронза")</f>
        <v>скло Графіт / Бронза</v>
      </c>
      <c r="C466" s="502"/>
      <c r="D466" s="407">
        <f t="shared" si="71"/>
        <v>458.33333333333337</v>
      </c>
      <c r="E466" s="93">
        <f t="shared" si="72"/>
        <v>550</v>
      </c>
      <c r="F466" s="26"/>
      <c r="G466" s="26"/>
      <c r="H466" s="5"/>
      <c r="AC466" s="298">
        <v>550</v>
      </c>
      <c r="AD466" s="289">
        <v>550</v>
      </c>
      <c r="AE466" s="289">
        <f t="shared" si="73"/>
        <v>0</v>
      </c>
      <c r="AF466" s="289"/>
      <c r="AG466" s="289"/>
      <c r="AH466" s="289"/>
      <c r="AI466" s="289"/>
      <c r="AJ466" s="289"/>
      <c r="AK466" s="289"/>
      <c r="AL466" s="289"/>
    </row>
    <row r="467" spans="2:38">
      <c r="B467" s="501" t="str">
        <f>IF($C$1="ENG","door lock Soft","замок Soft")</f>
        <v>замок Soft</v>
      </c>
      <c r="C467" s="502"/>
      <c r="D467" s="407">
        <f t="shared" si="71"/>
        <v>458.33333333333337</v>
      </c>
      <c r="E467" s="93">
        <f t="shared" si="72"/>
        <v>550</v>
      </c>
      <c r="F467" s="26"/>
      <c r="G467" s="26"/>
      <c r="H467" s="5"/>
      <c r="AC467" s="298">
        <v>550</v>
      </c>
      <c r="AD467" s="289">
        <v>550</v>
      </c>
      <c r="AE467" s="289">
        <f t="shared" si="73"/>
        <v>0</v>
      </c>
      <c r="AF467" s="289"/>
      <c r="AG467" s="289"/>
      <c r="AH467" s="289"/>
      <c r="AI467" s="289"/>
      <c r="AJ467" s="289"/>
      <c r="AK467" s="289"/>
      <c r="AL467" s="289"/>
    </row>
    <row r="468" spans="2:38">
      <c r="B468" s="501" t="str">
        <f>IF($C$1="ENG","door lock Soft black","замок Soft чорн.")</f>
        <v>замок Soft чорн.</v>
      </c>
      <c r="C468" s="502"/>
      <c r="D468" s="407">
        <f t="shared" si="71"/>
        <v>566.66666666666674</v>
      </c>
      <c r="E468" s="93">
        <f t="shared" si="72"/>
        <v>680.00000000000011</v>
      </c>
      <c r="F468" s="26"/>
      <c r="G468" s="26"/>
      <c r="H468" s="5"/>
      <c r="AC468" s="298">
        <v>680</v>
      </c>
      <c r="AD468" s="289"/>
      <c r="AE468" s="289"/>
      <c r="AF468" s="289"/>
      <c r="AG468" s="289"/>
      <c r="AH468" s="289"/>
      <c r="AI468" s="289"/>
      <c r="AJ468" s="289"/>
      <c r="AK468" s="289"/>
      <c r="AL468" s="289"/>
    </row>
    <row r="469" spans="2:38">
      <c r="B469" s="501" t="str">
        <f>IF($C$1="ENG","door lock Magnet","замок Magnet")</f>
        <v>замок Magnet</v>
      </c>
      <c r="C469" s="502"/>
      <c r="D469" s="407">
        <f t="shared" si="71"/>
        <v>666.66666666666674</v>
      </c>
      <c r="E469" s="93">
        <f t="shared" si="72"/>
        <v>800.00000000000011</v>
      </c>
      <c r="F469" s="26"/>
      <c r="G469" s="26"/>
      <c r="H469" s="5"/>
      <c r="AC469" s="298">
        <v>800</v>
      </c>
      <c r="AD469" s="289">
        <v>800</v>
      </c>
      <c r="AE469" s="289">
        <f t="shared" ref="AE469" si="74">AD469/AC469-1</f>
        <v>0</v>
      </c>
      <c r="AF469" s="289"/>
      <c r="AG469" s="289"/>
      <c r="AH469" s="289"/>
      <c r="AI469" s="289"/>
      <c r="AJ469" s="289"/>
      <c r="AK469" s="289"/>
      <c r="AL469" s="289"/>
    </row>
    <row r="470" spans="2:38">
      <c r="B470" s="501" t="s">
        <v>76</v>
      </c>
      <c r="C470" s="502"/>
      <c r="D470" s="407">
        <f t="shared" si="71"/>
        <v>833.33333333333337</v>
      </c>
      <c r="E470" s="93">
        <f t="shared" si="72"/>
        <v>1000</v>
      </c>
      <c r="F470" s="26"/>
      <c r="G470" s="26"/>
      <c r="H470" s="5"/>
      <c r="AC470" s="298">
        <v>1000</v>
      </c>
      <c r="AD470" s="289"/>
      <c r="AE470" s="289"/>
      <c r="AF470" s="289"/>
      <c r="AG470" s="289"/>
      <c r="AH470" s="289"/>
      <c r="AI470" s="289"/>
      <c r="AJ470" s="289"/>
      <c r="AK470" s="289"/>
      <c r="AL470" s="289"/>
    </row>
    <row r="471" spans="2:38">
      <c r="B471" s="501" t="str">
        <f>IF($C$1="ENG","door handle-lock (for sliding doors)","ручка-замок (для дверей купе)")</f>
        <v>ручка-замок (для дверей купе)</v>
      </c>
      <c r="C471" s="502"/>
      <c r="D471" s="405">
        <f t="shared" si="71"/>
        <v>466.66666666666669</v>
      </c>
      <c r="E471" s="93">
        <f t="shared" si="72"/>
        <v>560</v>
      </c>
      <c r="F471" s="26"/>
      <c r="G471" s="26"/>
      <c r="I471" s="11"/>
      <c r="J471" s="11"/>
      <c r="K471" s="19"/>
      <c r="AC471" s="298">
        <v>560</v>
      </c>
      <c r="AD471" s="289">
        <v>560</v>
      </c>
      <c r="AE471" s="289">
        <f t="shared" ref="AE471:AE474" si="75">AD471/AC471-1</f>
        <v>0</v>
      </c>
      <c r="AF471" s="289"/>
      <c r="AG471" s="289"/>
      <c r="AH471" s="289"/>
      <c r="AI471" s="289"/>
      <c r="AJ471" s="289"/>
      <c r="AK471" s="289"/>
      <c r="AL471" s="289"/>
    </row>
    <row r="472" spans="2:38">
      <c r="B472" s="501" t="str">
        <f>IF($C$1="ENG","cylinder incert","циліндр несиметричний")</f>
        <v>циліндр несиметричний</v>
      </c>
      <c r="C472" s="502"/>
      <c r="D472" s="405">
        <f t="shared" si="71"/>
        <v>325</v>
      </c>
      <c r="E472" s="93">
        <f t="shared" si="72"/>
        <v>390</v>
      </c>
      <c r="F472" s="26"/>
      <c r="G472" s="26"/>
      <c r="AC472" s="298">
        <v>390</v>
      </c>
      <c r="AD472" s="289">
        <v>390</v>
      </c>
      <c r="AE472" s="289">
        <f t="shared" si="75"/>
        <v>0</v>
      </c>
      <c r="AF472" s="289"/>
      <c r="AG472" s="289"/>
      <c r="AH472" s="289"/>
      <c r="AI472" s="289"/>
      <c r="AJ472" s="289"/>
      <c r="AK472" s="289"/>
      <c r="AL472" s="289"/>
    </row>
    <row r="473" spans="2:38">
      <c r="B473" s="501" t="str">
        <f>IF($C$1="ENG","door hindge Prestige (1 unit)","завіса Prestige (1 шт)")</f>
        <v>завіса Prestige (1 шт)</v>
      </c>
      <c r="C473" s="502"/>
      <c r="D473" s="408">
        <f t="shared" si="71"/>
        <v>216.66666666666669</v>
      </c>
      <c r="E473" s="93">
        <f t="shared" si="72"/>
        <v>260</v>
      </c>
      <c r="F473" s="26"/>
      <c r="G473" s="26"/>
      <c r="AC473" s="298">
        <v>260</v>
      </c>
      <c r="AD473" s="289">
        <v>260</v>
      </c>
      <c r="AE473" s="289">
        <f t="shared" si="75"/>
        <v>0</v>
      </c>
      <c r="AF473" s="289"/>
      <c r="AG473" s="289"/>
      <c r="AH473" s="289"/>
      <c r="AI473" s="289"/>
      <c r="AJ473" s="289"/>
      <c r="AK473" s="289"/>
      <c r="AL473" s="289"/>
    </row>
    <row r="474" spans="2:38">
      <c r="B474" s="501" t="str">
        <f>IF($C$1="ENG","door hinge caps (1 set)","накладка на завіси (1 к-т)")</f>
        <v>накладка на завіси (1 к-т)</v>
      </c>
      <c r="C474" s="502"/>
      <c r="D474" s="408">
        <f t="shared" si="71"/>
        <v>66.666666666666671</v>
      </c>
      <c r="E474" s="93">
        <f t="shared" si="72"/>
        <v>80</v>
      </c>
      <c r="F474" s="26"/>
      <c r="G474" s="26"/>
      <c r="AC474" s="298">
        <v>80</v>
      </c>
      <c r="AD474" s="289">
        <v>80</v>
      </c>
      <c r="AE474" s="289">
        <f t="shared" si="75"/>
        <v>0</v>
      </c>
      <c r="AF474" s="289"/>
      <c r="AG474" s="289"/>
      <c r="AH474" s="289"/>
      <c r="AI474" s="289"/>
      <c r="AJ474" s="289"/>
      <c r="AK474" s="289"/>
      <c r="AL474" s="289"/>
    </row>
    <row r="475" spans="2:38">
      <c r="B475" s="501" t="str">
        <f>IF($C$1="ENG","door handle","дверна ручка")</f>
        <v>дверна ручка</v>
      </c>
      <c r="C475" s="502"/>
      <c r="D475" s="409" t="str">
        <f t="shared" si="71"/>
        <v/>
      </c>
      <c r="E475" s="247" t="str">
        <f>IF($C$1="ENG","see Handles Price","див. Таблицю Ручки")</f>
        <v>див. Таблицю Ручки</v>
      </c>
      <c r="F475" s="26"/>
      <c r="G475" s="26"/>
      <c r="AC475" s="289"/>
      <c r="AD475" s="289"/>
      <c r="AE475" s="289"/>
      <c r="AF475" s="289"/>
      <c r="AG475" s="289"/>
      <c r="AH475" s="289"/>
      <c r="AI475" s="289"/>
      <c r="AJ475" s="289"/>
      <c r="AK475" s="289"/>
      <c r="AL475" s="289"/>
    </row>
    <row r="476" spans="2:38" ht="14.25" customHeight="1">
      <c r="C476" s="245"/>
      <c r="D476" s="26"/>
      <c r="E476" s="26"/>
      <c r="F476" s="26"/>
      <c r="G476" s="26"/>
      <c r="H476" s="5"/>
      <c r="T476" s="503" t="str">
        <f>IF($C$1="ENG",CONCATENATE("down to: ",B587),CONCATENATE("вниз до: ",B587))</f>
        <v>вниз до: вентиляційний підріз</v>
      </c>
      <c r="U476" s="503"/>
      <c r="V476" s="503"/>
      <c r="W476" s="503"/>
    </row>
    <row r="477" spans="2:38" ht="14.25" customHeight="1">
      <c r="C477" s="245"/>
      <c r="D477" s="26"/>
      <c r="E477" s="26"/>
      <c r="F477" s="26"/>
      <c r="G477" s="26"/>
      <c r="H477" s="5"/>
    </row>
    <row r="478" spans="2:38" ht="14.25" customHeight="1">
      <c r="C478" s="245"/>
      <c r="D478" s="26"/>
      <c r="E478" s="26"/>
      <c r="F478" s="26"/>
      <c r="G478" s="26"/>
      <c r="H478" s="5"/>
    </row>
    <row r="479" spans="2:38" ht="14.25" customHeight="1">
      <c r="C479" s="245"/>
      <c r="D479" s="26"/>
      <c r="E479" s="26"/>
      <c r="F479" s="26"/>
      <c r="G479" s="26"/>
      <c r="H479" s="5"/>
    </row>
    <row r="480" spans="2:38" ht="14.25" customHeight="1">
      <c r="C480" s="245"/>
      <c r="D480" s="26"/>
      <c r="E480" s="26"/>
      <c r="F480" s="26"/>
      <c r="G480" s="26"/>
      <c r="H480" s="5"/>
    </row>
    <row r="481" spans="3:8" ht="14.25" customHeight="1">
      <c r="C481" s="245"/>
      <c r="D481" s="26"/>
      <c r="E481" s="26"/>
      <c r="F481" s="26"/>
      <c r="G481" s="26"/>
      <c r="H481" s="5"/>
    </row>
    <row r="482" spans="3:8" ht="14.25" customHeight="1">
      <c r="C482" s="245"/>
      <c r="D482" s="26"/>
      <c r="E482" s="26"/>
      <c r="F482" s="26"/>
      <c r="G482" s="26"/>
      <c r="H482" s="5"/>
    </row>
    <row r="483" spans="3:8" ht="14.25" customHeight="1">
      <c r="C483" s="245"/>
      <c r="D483" s="26"/>
      <c r="E483" s="26"/>
      <c r="F483" s="26"/>
      <c r="G483" s="26"/>
      <c r="H483" s="5"/>
    </row>
    <row r="484" spans="3:8" ht="14.25" customHeight="1">
      <c r="C484" s="245"/>
      <c r="D484" s="26"/>
      <c r="E484" s="26"/>
      <c r="F484" s="26"/>
      <c r="G484" s="26"/>
      <c r="H484" s="5"/>
    </row>
    <row r="485" spans="3:8" ht="14.25" customHeight="1">
      <c r="C485" s="245"/>
      <c r="D485" s="26"/>
      <c r="E485" s="26"/>
      <c r="F485" s="26"/>
      <c r="G485" s="26"/>
      <c r="H485" s="5"/>
    </row>
    <row r="486" spans="3:8" ht="14.25" customHeight="1">
      <c r="C486" s="245"/>
      <c r="D486" s="26"/>
      <c r="E486" s="26"/>
      <c r="F486" s="26"/>
      <c r="G486" s="26"/>
      <c r="H486" s="5"/>
    </row>
    <row r="487" spans="3:8" ht="14.25" customHeight="1">
      <c r="C487" s="245"/>
      <c r="D487" s="26"/>
      <c r="E487" s="26"/>
      <c r="F487" s="26"/>
      <c r="G487" s="26"/>
      <c r="H487" s="5"/>
    </row>
    <row r="488" spans="3:8" ht="14.25" customHeight="1">
      <c r="C488" s="245"/>
      <c r="D488" s="26"/>
      <c r="E488" s="26"/>
      <c r="F488" s="26"/>
      <c r="G488" s="26"/>
      <c r="H488" s="5"/>
    </row>
    <row r="489" spans="3:8" ht="14.25" customHeight="1">
      <c r="C489" s="245"/>
      <c r="D489" s="26"/>
      <c r="E489" s="26"/>
      <c r="F489" s="26"/>
      <c r="G489" s="26"/>
      <c r="H489" s="5"/>
    </row>
    <row r="490" spans="3:8" ht="14.25" customHeight="1">
      <c r="C490" s="245"/>
      <c r="D490" s="26"/>
      <c r="E490" s="26"/>
      <c r="F490" s="26"/>
      <c r="G490" s="26"/>
      <c r="H490" s="5"/>
    </row>
    <row r="491" spans="3:8" ht="14.25" customHeight="1">
      <c r="C491" s="245"/>
      <c r="D491" s="26"/>
      <c r="E491" s="26"/>
      <c r="F491" s="26"/>
      <c r="G491" s="26"/>
      <c r="H491" s="5"/>
    </row>
    <row r="492" spans="3:8" ht="14.25" customHeight="1">
      <c r="C492" s="245"/>
      <c r="D492" s="26"/>
      <c r="E492" s="26"/>
      <c r="F492" s="26"/>
      <c r="G492" s="26"/>
      <c r="H492" s="5"/>
    </row>
    <row r="493" spans="3:8" ht="14.25" customHeight="1">
      <c r="C493" s="245"/>
      <c r="D493" s="26"/>
      <c r="E493" s="26"/>
      <c r="F493" s="26"/>
      <c r="G493" s="26"/>
      <c r="H493" s="5"/>
    </row>
    <row r="494" spans="3:8" ht="14.25" customHeight="1">
      <c r="C494" s="245"/>
      <c r="D494" s="26"/>
      <c r="E494" s="26"/>
      <c r="F494" s="26"/>
      <c r="G494" s="26"/>
      <c r="H494" s="5"/>
    </row>
    <row r="495" spans="3:8" ht="14.25" customHeight="1">
      <c r="C495" s="245"/>
      <c r="D495" s="26"/>
      <c r="E495" s="26"/>
      <c r="F495" s="26"/>
      <c r="G495" s="26"/>
      <c r="H495" s="5"/>
    </row>
    <row r="496" spans="3:8" ht="14.25" customHeight="1">
      <c r="C496" s="245"/>
      <c r="D496" s="26"/>
      <c r="E496" s="26"/>
      <c r="F496" s="26"/>
      <c r="G496" s="26"/>
      <c r="H496" s="5"/>
    </row>
    <row r="497" spans="1:46" ht="14.25" customHeight="1">
      <c r="C497" s="245"/>
      <c r="D497" s="26"/>
      <c r="E497" s="26"/>
      <c r="F497" s="26"/>
      <c r="G497" s="26"/>
      <c r="H497" s="5"/>
    </row>
    <row r="498" spans="1:46" ht="14.25" customHeight="1">
      <c r="C498" s="245"/>
      <c r="D498" s="26"/>
      <c r="E498" s="26"/>
      <c r="F498" s="26"/>
      <c r="G498" s="26"/>
      <c r="H498" s="5"/>
    </row>
    <row r="499" spans="1:46" ht="14.25" customHeight="1">
      <c r="C499" s="245"/>
      <c r="D499" s="26"/>
      <c r="E499" s="26"/>
      <c r="F499" s="26"/>
      <c r="G499" s="26"/>
      <c r="H499" s="5"/>
    </row>
    <row r="500" spans="1:46" ht="14.25" customHeight="1">
      <c r="C500" s="245"/>
      <c r="D500" s="26"/>
      <c r="E500" s="26"/>
      <c r="F500" s="26"/>
      <c r="G500" s="26"/>
      <c r="H500" s="5"/>
    </row>
    <row r="501" spans="1:46" ht="14.25" customHeight="1">
      <c r="C501" s="245"/>
      <c r="D501" s="26"/>
      <c r="E501" s="26"/>
      <c r="F501" s="26"/>
      <c r="G501" s="26"/>
      <c r="H501" s="5"/>
    </row>
    <row r="502" spans="1:46" s="8" customFormat="1">
      <c r="B502" s="494" t="str">
        <f>TITLE!$C$15</f>
        <v>Полотна збірні: ЛАДА A</v>
      </c>
      <c r="C502" s="494"/>
      <c r="D502" s="118"/>
      <c r="E502" s="118"/>
      <c r="F502" s="118"/>
      <c r="G502" s="118"/>
      <c r="H502" s="496"/>
      <c r="I502" s="496"/>
      <c r="J502" s="121"/>
      <c r="K502" s="121"/>
      <c r="L502" s="121"/>
      <c r="M502" s="121"/>
      <c r="N502" s="121"/>
      <c r="O502" s="121"/>
      <c r="P502" s="121"/>
      <c r="Q502" s="121"/>
      <c r="R502" s="121"/>
      <c r="S502" s="497" t="str">
        <f>IF($C$1="ENG",CONCATENATE("up to: ",B368),CONCATENATE("вгору до: ",B368))</f>
        <v>вгору до: Полотна каркасно-щитові: ІДЕЯ-ЛОФТ</v>
      </c>
      <c r="T502" s="527"/>
      <c r="U502" s="527"/>
      <c r="V502" s="527"/>
      <c r="W502" s="527"/>
      <c r="AN502" s="280"/>
      <c r="AO502" s="280"/>
      <c r="AP502" s="280"/>
      <c r="AQ502" s="280"/>
      <c r="AR502" s="280"/>
      <c r="AS502" s="280"/>
      <c r="AT502" s="280"/>
    </row>
    <row r="503" spans="1:46" s="8" customFormat="1" ht="5.0999999999999996" customHeight="1">
      <c r="B503" s="117"/>
      <c r="C503" s="420"/>
      <c r="D503" s="9"/>
      <c r="E503" s="9"/>
      <c r="F503" s="9"/>
      <c r="G503" s="9"/>
      <c r="H503" s="120"/>
      <c r="I503" s="120"/>
      <c r="T503" s="115"/>
      <c r="U503" s="115"/>
      <c r="V503" s="115"/>
      <c r="W503" s="115"/>
      <c r="AN503" s="280"/>
      <c r="AO503" s="280"/>
      <c r="AP503" s="280"/>
      <c r="AQ503" s="280"/>
      <c r="AR503" s="280"/>
      <c r="AS503" s="280"/>
      <c r="AT503" s="280"/>
    </row>
    <row r="504" spans="1:46" s="8" customFormat="1" ht="12.75" customHeight="1">
      <c r="B504" s="509" t="str">
        <f>IF($C$1="ENG","model","модель")</f>
        <v>модель</v>
      </c>
      <c r="C504" s="122" t="str">
        <f>IF($C$1="ENG","cover:","покриття:")</f>
        <v>покриття:</v>
      </c>
      <c r="D504" s="498" t="str">
        <f>IF($C$1="ENG","Verto-CELL","Verto-CELL")</f>
        <v>Verto-CELL</v>
      </c>
      <c r="E504" s="500"/>
      <c r="F504" s="498" t="str">
        <f>IF($C$1="ENG","UNI-MAT","UNI-MAT")</f>
        <v>UNI-MAT</v>
      </c>
      <c r="G504" s="500"/>
      <c r="H504" s="498" t="str">
        <f>IF($C$1="ENG","RESIST","RESIST")</f>
        <v>RESIST</v>
      </c>
      <c r="I504" s="500"/>
      <c r="J504" s="498" t="str">
        <f>IF($C$1="ENG","Verto LINE-3D","Verto LINE-3D")</f>
        <v>Verto LINE-3D</v>
      </c>
      <c r="K504" s="500"/>
      <c r="L504" s="498" t="str">
        <f>IF($C$1="ENG","ECO Shpon","ЕКО Шпон")</f>
        <v>ЕКО Шпон</v>
      </c>
      <c r="M504" s="500"/>
      <c r="N504" s="1"/>
      <c r="O504" s="1"/>
      <c r="T504" s="115"/>
      <c r="U504" s="115"/>
      <c r="V504" s="115"/>
      <c r="W504" s="115"/>
      <c r="AN504" s="280"/>
      <c r="AO504" s="280"/>
      <c r="AP504" s="280"/>
      <c r="AQ504" s="280"/>
      <c r="AR504" s="280"/>
      <c r="AS504" s="280"/>
      <c r="AT504" s="280"/>
    </row>
    <row r="505" spans="1:46" s="8" customFormat="1" ht="24.9" customHeight="1">
      <c r="B505" s="510"/>
      <c r="C505" s="123" t="str">
        <f>IF($C$1="ENG","filling:","заповнення:")</f>
        <v>заповнення:</v>
      </c>
      <c r="D505" s="505" t="str">
        <f>IF($C$1="ENG","softwood","клеєний сосновий брус")</f>
        <v>клеєний сосновий брус</v>
      </c>
      <c r="E505" s="506"/>
      <c r="F505" s="505" t="str">
        <f>IF($C$1="ENG","softwood","клеєний сосновий брус")</f>
        <v>клеєний сосновий брус</v>
      </c>
      <c r="G505" s="506"/>
      <c r="H505" s="505" t="str">
        <f>IF($C$1="ENG","softwood","клеєний сосновий брус")</f>
        <v>клеєний сосновий брус</v>
      </c>
      <c r="I505" s="506"/>
      <c r="J505" s="505" t="str">
        <f>IF($C$1="ENG","softwood","клеєний сосновий брус")</f>
        <v>клеєний сосновий брус</v>
      </c>
      <c r="K505" s="506"/>
      <c r="L505" s="505" t="str">
        <f>IF($C$1="ENG","softwood","клеєний сосновий брус")</f>
        <v>клеєний сосновий брус</v>
      </c>
      <c r="M505" s="506"/>
      <c r="N505" s="1"/>
      <c r="O505" s="1"/>
      <c r="T505" s="115"/>
      <c r="U505" s="115"/>
      <c r="V505" s="115"/>
      <c r="W505" s="115"/>
      <c r="AD505" s="383">
        <f>AD507/AC507-1</f>
        <v>0.1396468699839486</v>
      </c>
      <c r="AE505" s="383">
        <f>AE507/AD507-1</f>
        <v>4.0845070422535157E-2</v>
      </c>
      <c r="AF505" s="383">
        <f>AF507/AE507-1</f>
        <v>8.9309878213802429E-2</v>
      </c>
      <c r="AG505" s="383">
        <f>AG507/AF507-1</f>
        <v>5.2173913043478182E-2</v>
      </c>
      <c r="AN505" s="280"/>
      <c r="AO505" s="280"/>
      <c r="AP505" s="280"/>
      <c r="AQ505" s="280"/>
      <c r="AR505" s="280"/>
      <c r="AS505" s="280"/>
      <c r="AT505" s="280"/>
    </row>
    <row r="506" spans="1:46" ht="12.75" customHeight="1">
      <c r="A506" s="8"/>
      <c r="B506" s="511"/>
      <c r="C506" s="124" t="str">
        <f>IF($C$1="ENG","glazing:","скління:")</f>
        <v>скління:</v>
      </c>
      <c r="D506" s="489" t="str">
        <f>IF($C$1="ENG","Satin","Сатин")</f>
        <v>Сатин</v>
      </c>
      <c r="E506" s="492"/>
      <c r="F506" s="489" t="str">
        <f>IF($C$1="ENG","Satin","Сатин")</f>
        <v>Сатин</v>
      </c>
      <c r="G506" s="492"/>
      <c r="H506" s="489" t="str">
        <f>IF($C$1="ENG","Satin","Сатин")</f>
        <v>Сатин</v>
      </c>
      <c r="I506" s="492"/>
      <c r="J506" s="489" t="str">
        <f>IF($C$1="ENG","Satin","Сатин")</f>
        <v>Сатин</v>
      </c>
      <c r="K506" s="492"/>
      <c r="L506" s="489" t="str">
        <f>IF($C$1="ENG","Satin","Сатин")</f>
        <v>Сатин</v>
      </c>
      <c r="M506" s="492"/>
    </row>
    <row r="507" spans="1:46" ht="35.1" customHeight="1">
      <c r="A507" s="8"/>
      <c r="B507" s="16" t="s">
        <v>29</v>
      </c>
      <c r="C507" s="17"/>
      <c r="D507" s="18">
        <f>IF(AC507="","",(1-$W$2)*(AC507/1.2))</f>
        <v>5191.666666666667</v>
      </c>
      <c r="E507" s="66">
        <f>IF($W$5=0.2,D507*1.2,D507)/$W$4</f>
        <v>6230</v>
      </c>
      <c r="F507" s="18">
        <f>IF(AD507="","",(1-$W$2)*(AD507/1.2))</f>
        <v>5916.666666666667</v>
      </c>
      <c r="G507" s="66">
        <f>IF($W$5=0.2,F507*1.2,F507)/$W$4</f>
        <v>7100</v>
      </c>
      <c r="H507" s="18">
        <f>IF(AE507="","",(1-$W$2)*(AE507/1.2))</f>
        <v>6158.3333333333339</v>
      </c>
      <c r="I507" s="66">
        <f>IF($W$5=0.2,H507*1.2,H507)/$W$4</f>
        <v>7390</v>
      </c>
      <c r="J507" s="18">
        <f>IF(AF507="","",(1-$W$2)*(AF507/1.2))</f>
        <v>6708.3333333333339</v>
      </c>
      <c r="K507" s="66">
        <f>IF($W$5=0.2,J507*1.2,J507)/$W$4</f>
        <v>8050</v>
      </c>
      <c r="L507" s="18">
        <f>IF(AG507="","",(1-$W$2)*(AG507/1.2))</f>
        <v>7058.3333333333339</v>
      </c>
      <c r="M507" s="66">
        <f>IF($W$5=0.2,L507*1.2,L507)/$W$4</f>
        <v>8470</v>
      </c>
      <c r="R507" s="104"/>
      <c r="T507" s="104"/>
      <c r="U507" s="20"/>
      <c r="V507" s="104"/>
      <c r="W507" s="20"/>
      <c r="X507" s="104"/>
      <c r="Y507" s="104"/>
      <c r="Z507" s="104"/>
      <c r="AA507" s="104"/>
      <c r="AB507" s="104"/>
      <c r="AC507" s="332">
        <v>6230</v>
      </c>
      <c r="AD507" s="391">
        <v>7100</v>
      </c>
      <c r="AE507" s="332">
        <v>7390</v>
      </c>
      <c r="AF507" s="332">
        <v>8050</v>
      </c>
      <c r="AG507" s="332">
        <v>8470</v>
      </c>
      <c r="AH507" s="289">
        <v>6230</v>
      </c>
      <c r="AI507" s="289">
        <f>AH507/AC507-1</f>
        <v>0</v>
      </c>
      <c r="AJ507" s="289">
        <v>7100</v>
      </c>
      <c r="AK507" s="289">
        <f>AJ507/AD507-1</f>
        <v>0</v>
      </c>
      <c r="AL507" s="289">
        <v>7390</v>
      </c>
      <c r="AM507" s="289">
        <f>AL507/AE507-1</f>
        <v>0</v>
      </c>
      <c r="AN507" s="289">
        <v>8050</v>
      </c>
      <c r="AO507" s="289">
        <f>AN507/AF507-1</f>
        <v>0</v>
      </c>
      <c r="AP507" s="289">
        <v>8470</v>
      </c>
      <c r="AQ507" s="289">
        <f>AP507/AG507-1</f>
        <v>0</v>
      </c>
    </row>
    <row r="508" spans="1:46" ht="35.1" customHeight="1">
      <c r="A508" s="8"/>
      <c r="B508" s="16" t="s">
        <v>30</v>
      </c>
      <c r="C508" s="17"/>
      <c r="D508" s="18">
        <f>IF(AC508="","",(1-$W$2)*(AC508/1.2))</f>
        <v>5191.666666666667</v>
      </c>
      <c r="E508" s="66">
        <f>IF($W$5=0.2,D508*1.2,D508)/$W$4</f>
        <v>6230</v>
      </c>
      <c r="F508" s="18">
        <f>IF(AD508="","",(1-$W$2)*(AD508/1.2))</f>
        <v>5916.666666666667</v>
      </c>
      <c r="G508" s="66">
        <f>IF($W$5=0.2,F508*1.2,F508)/$W$4</f>
        <v>7100</v>
      </c>
      <c r="H508" s="18">
        <f>IF(AE508="","",(1-$W$2)*(AE508/1.2))</f>
        <v>6158.3333333333339</v>
      </c>
      <c r="I508" s="66">
        <f>IF($W$5=0.2,H508*1.2,H508)/$W$4</f>
        <v>7390</v>
      </c>
      <c r="J508" s="18">
        <f>IF(AF508="","",(1-$W$2)*(AF508/1.2))</f>
        <v>6708.3333333333339</v>
      </c>
      <c r="K508" s="66">
        <f>IF($W$5=0.2,J508*1.2,J508)/$W$4</f>
        <v>8050</v>
      </c>
      <c r="L508" s="18">
        <f>IF(AG508="","",(1-$W$2)*(AG508/1.2))</f>
        <v>7058.3333333333339</v>
      </c>
      <c r="M508" s="66">
        <f>IF($W$5=0.2,L508*1.2,L508)/$W$4</f>
        <v>8470</v>
      </c>
      <c r="R508" s="104"/>
      <c r="T508" s="104"/>
      <c r="U508" s="20"/>
      <c r="V508" s="104"/>
      <c r="W508" s="20"/>
      <c r="X508" s="104"/>
      <c r="Y508" s="104"/>
      <c r="Z508" s="104"/>
      <c r="AA508" s="104"/>
      <c r="AB508" s="104"/>
      <c r="AC508" s="332">
        <v>6230</v>
      </c>
      <c r="AD508" s="391">
        <v>7100</v>
      </c>
      <c r="AE508" s="332">
        <v>7390</v>
      </c>
      <c r="AF508" s="332">
        <v>8050</v>
      </c>
      <c r="AG508" s="332">
        <v>8470</v>
      </c>
      <c r="AH508" s="289">
        <v>6230</v>
      </c>
      <c r="AI508" s="289">
        <f t="shared" ref="AI508:AI509" si="76">AH508/AC508-1</f>
        <v>0</v>
      </c>
      <c r="AJ508" s="289">
        <v>7100</v>
      </c>
      <c r="AK508" s="289">
        <f>AJ508/AD508-1</f>
        <v>0</v>
      </c>
      <c r="AL508" s="289">
        <v>7390</v>
      </c>
      <c r="AM508" s="289">
        <f t="shared" ref="AM508:AM509" si="77">AL508/AE508-1</f>
        <v>0</v>
      </c>
      <c r="AN508" s="289">
        <v>8050</v>
      </c>
      <c r="AO508" s="289">
        <f t="shared" ref="AO508:AO509" si="78">AN508/AF508-1</f>
        <v>0</v>
      </c>
      <c r="AP508" s="289">
        <v>8470</v>
      </c>
      <c r="AQ508" s="289">
        <f t="shared" ref="AQ508:AQ509" si="79">AP508/AG508-1</f>
        <v>0</v>
      </c>
    </row>
    <row r="509" spans="1:46" ht="35.1" customHeight="1">
      <c r="A509" s="8"/>
      <c r="B509" s="23" t="s">
        <v>44</v>
      </c>
      <c r="C509" s="24"/>
      <c r="D509" s="25">
        <f>IF(AC509="","",(1-$W$2)*(AC509/1.2))</f>
        <v>5191.666666666667</v>
      </c>
      <c r="E509" s="69">
        <f>IF($W$5=0.2,D509*1.2,D509)/$W$4</f>
        <v>6230</v>
      </c>
      <c r="F509" s="25">
        <f>IF(AD509="","",(1-$W$2)*(AD509/1.2))</f>
        <v>5916.666666666667</v>
      </c>
      <c r="G509" s="69">
        <f>IF($W$5=0.2,F509*1.2,F509)/$W$4</f>
        <v>7100</v>
      </c>
      <c r="H509" s="25">
        <f>IF(AE509="","",(1-$W$2)*(AE509/1.2))</f>
        <v>6158.3333333333339</v>
      </c>
      <c r="I509" s="69">
        <f>IF($W$5=0.2,H509*1.2,H509)/$W$4</f>
        <v>7390</v>
      </c>
      <c r="J509" s="25">
        <f>IF(AF509="","",(1-$W$2)*(AF509/1.2))</f>
        <v>6708.3333333333339</v>
      </c>
      <c r="K509" s="69">
        <f>IF($W$5=0.2,J509*1.2,J509)/$W$4</f>
        <v>8050</v>
      </c>
      <c r="L509" s="25">
        <f>IF(AG509="","",(1-$W$2)*(AG509/1.2))</f>
        <v>7058.3333333333339</v>
      </c>
      <c r="M509" s="69">
        <f>IF($W$5=0.2,L509*1.2,L509)/$W$4</f>
        <v>8470</v>
      </c>
      <c r="R509" s="104"/>
      <c r="T509" s="104"/>
      <c r="U509" s="20"/>
      <c r="V509" s="104"/>
      <c r="W509" s="20"/>
      <c r="X509" s="104"/>
      <c r="Y509" s="104"/>
      <c r="Z509" s="104"/>
      <c r="AA509" s="104"/>
      <c r="AB509" s="104"/>
      <c r="AC509" s="332">
        <v>6230</v>
      </c>
      <c r="AD509" s="391">
        <v>7100</v>
      </c>
      <c r="AE509" s="332">
        <v>7390</v>
      </c>
      <c r="AF509" s="332">
        <v>8050</v>
      </c>
      <c r="AG509" s="332">
        <v>8470</v>
      </c>
      <c r="AH509" s="289">
        <v>6230</v>
      </c>
      <c r="AI509" s="289">
        <f t="shared" si="76"/>
        <v>0</v>
      </c>
      <c r="AJ509" s="289">
        <v>7100</v>
      </c>
      <c r="AK509" s="289">
        <f t="shared" ref="AK509" si="80">AJ509/AD509-1</f>
        <v>0</v>
      </c>
      <c r="AL509" s="289">
        <v>7390</v>
      </c>
      <c r="AM509" s="289">
        <f t="shared" si="77"/>
        <v>0</v>
      </c>
      <c r="AN509" s="289">
        <v>8050</v>
      </c>
      <c r="AO509" s="289">
        <f t="shared" si="78"/>
        <v>0</v>
      </c>
      <c r="AP509" s="289">
        <v>8470</v>
      </c>
      <c r="AQ509" s="289">
        <f t="shared" si="79"/>
        <v>0</v>
      </c>
    </row>
    <row r="510" spans="1:46">
      <c r="C510" s="245"/>
      <c r="D510" s="26"/>
      <c r="E510" s="57"/>
      <c r="F510" s="26"/>
      <c r="G510" s="57"/>
      <c r="H510" s="10"/>
      <c r="I510" s="8"/>
      <c r="J510" s="8"/>
      <c r="K510" s="8"/>
    </row>
    <row r="511" spans="1:46">
      <c r="B511" s="212" t="str">
        <f>IF($C$1="ENG","For additonal charge:","Послуги за додаткову плату:")</f>
        <v>Послуги за додаткову плату:</v>
      </c>
      <c r="C511" s="421"/>
      <c r="D511" s="213"/>
      <c r="E511" s="214"/>
      <c r="F511" s="26"/>
      <c r="G511" s="57"/>
      <c r="H511" s="10"/>
      <c r="I511" s="8"/>
      <c r="J511" s="8"/>
      <c r="K511" s="8"/>
    </row>
    <row r="512" spans="1:46" ht="5.0999999999999996" customHeight="1">
      <c r="B512" s="27"/>
      <c r="C512" s="245"/>
      <c r="D512" s="26"/>
      <c r="E512" s="57"/>
      <c r="F512" s="26"/>
      <c r="G512" s="57"/>
      <c r="H512" s="10"/>
      <c r="I512" s="8"/>
      <c r="J512" s="8"/>
      <c r="K512" s="8"/>
    </row>
    <row r="513" spans="2:38">
      <c r="B513" s="514" t="str">
        <f>IF($C$1="ENG","door leaf with width 100","полотно розміром 100")</f>
        <v>полотно розміром 100</v>
      </c>
      <c r="C513" s="515"/>
      <c r="D513" s="410">
        <f t="shared" ref="D513:D524" si="81">IF(AC513="","",(1-$W$2)*(AC513/1.2))</f>
        <v>600</v>
      </c>
      <c r="E513" s="92">
        <f>IF($W$5=0.2,D513*1.2,D513)/$W$4</f>
        <v>720</v>
      </c>
      <c r="F513" s="26"/>
      <c r="G513" s="26"/>
      <c r="H513" s="10"/>
      <c r="I513" s="8"/>
      <c r="J513" s="8"/>
      <c r="K513" s="8"/>
      <c r="AC513" s="298">
        <v>720</v>
      </c>
      <c r="AD513" s="289">
        <v>720</v>
      </c>
      <c r="AE513" s="289">
        <f>AD513/AC513-1</f>
        <v>0</v>
      </c>
      <c r="AF513" s="289"/>
      <c r="AG513" s="289"/>
      <c r="AH513" s="289"/>
      <c r="AI513" s="289"/>
      <c r="AJ513" s="289"/>
      <c r="AK513" s="289"/>
      <c r="AL513" s="289"/>
    </row>
    <row r="514" spans="2:38">
      <c r="B514" s="514" t="str">
        <f>IF($C$1="ENG","Ventilation cut","вентиляційний підріз")</f>
        <v>вентиляційний підріз</v>
      </c>
      <c r="C514" s="515"/>
      <c r="D514" s="405">
        <f t="shared" si="81"/>
        <v>141.66666666666669</v>
      </c>
      <c r="E514" s="66">
        <f t="shared" ref="E514:E523" si="82">IF($W$5=0.2,D514*1.2,D514)/$W$4</f>
        <v>170.00000000000003</v>
      </c>
      <c r="F514" s="26"/>
      <c r="G514" s="26"/>
      <c r="I514" s="59"/>
      <c r="J514" s="28"/>
      <c r="AC514" s="298">
        <v>170</v>
      </c>
      <c r="AD514" s="289">
        <v>170</v>
      </c>
      <c r="AE514" s="289">
        <f t="shared" ref="AE514:AE523" si="83">AD514/AC514-1</f>
        <v>0</v>
      </c>
      <c r="AF514" s="289"/>
      <c r="AG514" s="289"/>
      <c r="AH514" s="289"/>
      <c r="AI514" s="289"/>
      <c r="AJ514" s="289"/>
      <c r="AK514" s="289"/>
      <c r="AL514" s="289"/>
    </row>
    <row r="515" spans="2:38">
      <c r="B515" s="501" t="str">
        <f>IF($C$1="ENG","glazing Graphite / Bronze","скло Графіт / Бронза")</f>
        <v>скло Графіт / Бронза</v>
      </c>
      <c r="C515" s="502"/>
      <c r="D515" s="407">
        <f t="shared" si="81"/>
        <v>458.33333333333337</v>
      </c>
      <c r="E515" s="93">
        <f t="shared" si="82"/>
        <v>550</v>
      </c>
      <c r="F515" s="26"/>
      <c r="G515" s="26"/>
      <c r="H515" s="5"/>
      <c r="AC515" s="298">
        <v>550</v>
      </c>
      <c r="AD515" s="289">
        <v>550</v>
      </c>
      <c r="AE515" s="289">
        <f t="shared" si="83"/>
        <v>0</v>
      </c>
      <c r="AF515" s="289"/>
      <c r="AG515" s="289"/>
      <c r="AH515" s="289"/>
      <c r="AI515" s="289"/>
      <c r="AJ515" s="289"/>
      <c r="AK515" s="289"/>
      <c r="AL515" s="289"/>
    </row>
    <row r="516" spans="2:38">
      <c r="B516" s="501" t="str">
        <f>IF($C$1="ENG","door lock Soft","замок Soft")</f>
        <v>замок Soft</v>
      </c>
      <c r="C516" s="502"/>
      <c r="D516" s="407">
        <f t="shared" si="81"/>
        <v>458.33333333333337</v>
      </c>
      <c r="E516" s="93">
        <f t="shared" si="82"/>
        <v>550</v>
      </c>
      <c r="F516" s="26"/>
      <c r="G516" s="26"/>
      <c r="H516" s="5"/>
      <c r="AC516" s="298">
        <v>550</v>
      </c>
      <c r="AD516" s="289">
        <v>550</v>
      </c>
      <c r="AE516" s="289">
        <f t="shared" si="83"/>
        <v>0</v>
      </c>
      <c r="AF516" s="289"/>
      <c r="AG516" s="289"/>
      <c r="AH516" s="289"/>
      <c r="AI516" s="289"/>
      <c r="AJ516" s="289"/>
      <c r="AK516" s="289"/>
      <c r="AL516" s="289"/>
    </row>
    <row r="517" spans="2:38">
      <c r="B517" s="501" t="str">
        <f>IF($C$1="ENG","door lock Soft black","замок Soft чорн.")</f>
        <v>замок Soft чорн.</v>
      </c>
      <c r="C517" s="502"/>
      <c r="D517" s="407">
        <f t="shared" ref="D517" si="84">IF(AC517="","",(1-$W$2)*(AC517/1.2))</f>
        <v>566.66666666666674</v>
      </c>
      <c r="E517" s="93">
        <f t="shared" ref="E517" si="85">IF($W$5=0.2,D517*1.2,D517)/$W$4</f>
        <v>680.00000000000011</v>
      </c>
      <c r="F517" s="26"/>
      <c r="G517" s="26"/>
      <c r="H517" s="5"/>
      <c r="AC517" s="298">
        <v>680</v>
      </c>
      <c r="AD517" s="289"/>
      <c r="AE517" s="289"/>
      <c r="AF517" s="289"/>
      <c r="AG517" s="289"/>
      <c r="AH517" s="289"/>
      <c r="AI517" s="289"/>
      <c r="AJ517" s="289"/>
      <c r="AK517" s="289"/>
      <c r="AL517" s="289"/>
    </row>
    <row r="518" spans="2:38">
      <c r="B518" s="501" t="str">
        <f>IF($C$1="ENG","door lock Magnet","замок Magnet")</f>
        <v>замок Magnet</v>
      </c>
      <c r="C518" s="502"/>
      <c r="D518" s="407">
        <f t="shared" si="81"/>
        <v>666.66666666666674</v>
      </c>
      <c r="E518" s="93">
        <f t="shared" si="82"/>
        <v>800.00000000000011</v>
      </c>
      <c r="F518" s="26"/>
      <c r="G518" s="26"/>
      <c r="H518" s="5"/>
      <c r="AC518" s="298">
        <v>800</v>
      </c>
      <c r="AD518" s="289">
        <v>800</v>
      </c>
      <c r="AE518" s="289">
        <f t="shared" si="83"/>
        <v>0</v>
      </c>
      <c r="AF518" s="289"/>
      <c r="AG518" s="289"/>
      <c r="AH518" s="289"/>
      <c r="AI518" s="289"/>
      <c r="AJ518" s="289"/>
      <c r="AK518" s="289"/>
      <c r="AL518" s="289"/>
    </row>
    <row r="519" spans="2:38">
      <c r="B519" s="501" t="s">
        <v>76</v>
      </c>
      <c r="C519" s="502"/>
      <c r="D519" s="407">
        <f t="shared" ref="D519" si="86">IF(AC519="","",(1-$W$2)*(AC519/1.2))</f>
        <v>833.33333333333337</v>
      </c>
      <c r="E519" s="93">
        <f t="shared" ref="E519" si="87">IF($W$5=0.2,D519*1.2,D519)/$W$4</f>
        <v>1000</v>
      </c>
      <c r="F519" s="26"/>
      <c r="G519" s="26"/>
      <c r="H519" s="5"/>
      <c r="AC519" s="298">
        <v>1000</v>
      </c>
      <c r="AD519" s="289"/>
      <c r="AE519" s="289"/>
      <c r="AF519" s="289"/>
      <c r="AG519" s="289"/>
      <c r="AH519" s="289"/>
      <c r="AI519" s="289"/>
      <c r="AJ519" s="289"/>
      <c r="AK519" s="289"/>
      <c r="AL519" s="289"/>
    </row>
    <row r="520" spans="2:38">
      <c r="B520" s="501" t="str">
        <f>IF($C$1="ENG","door handle-lock (for sliding doors)","ручка-замок (для дверей купе)")</f>
        <v>ручка-замок (для дверей купе)</v>
      </c>
      <c r="C520" s="502"/>
      <c r="D520" s="405">
        <f t="shared" si="81"/>
        <v>466.66666666666669</v>
      </c>
      <c r="E520" s="93">
        <f t="shared" si="82"/>
        <v>560</v>
      </c>
      <c r="F520" s="26"/>
      <c r="G520" s="26"/>
      <c r="I520" s="11"/>
      <c r="J520" s="11"/>
      <c r="K520" s="19"/>
      <c r="AC520" s="298">
        <v>560</v>
      </c>
      <c r="AD520" s="289">
        <v>560</v>
      </c>
      <c r="AE520" s="289">
        <f t="shared" si="83"/>
        <v>0</v>
      </c>
      <c r="AF520" s="289"/>
      <c r="AG520" s="289"/>
      <c r="AH520" s="289"/>
      <c r="AI520" s="289"/>
      <c r="AJ520" s="289"/>
      <c r="AK520" s="289"/>
      <c r="AL520" s="289"/>
    </row>
    <row r="521" spans="2:38">
      <c r="B521" s="501" t="str">
        <f>IF($C$1="ENG","cylinder incert","циліндр несиметричний")</f>
        <v>циліндр несиметричний</v>
      </c>
      <c r="C521" s="502"/>
      <c r="D521" s="405">
        <f t="shared" si="81"/>
        <v>325</v>
      </c>
      <c r="E521" s="93">
        <f t="shared" si="82"/>
        <v>390</v>
      </c>
      <c r="F521" s="26"/>
      <c r="G521" s="26"/>
      <c r="AC521" s="298">
        <v>390</v>
      </c>
      <c r="AD521" s="289">
        <v>390</v>
      </c>
      <c r="AE521" s="289">
        <f t="shared" si="83"/>
        <v>0</v>
      </c>
      <c r="AF521" s="289"/>
      <c r="AG521" s="289"/>
      <c r="AH521" s="289"/>
      <c r="AI521" s="289"/>
      <c r="AJ521" s="289"/>
      <c r="AK521" s="289"/>
      <c r="AL521" s="289"/>
    </row>
    <row r="522" spans="2:38">
      <c r="B522" s="501" t="str">
        <f>IF($C$1="ENG","door hindge Prestige (1 unit)","завіса Prestige (1 шт)")</f>
        <v>завіса Prestige (1 шт)</v>
      </c>
      <c r="C522" s="502"/>
      <c r="D522" s="408">
        <f t="shared" si="81"/>
        <v>216.66666666666669</v>
      </c>
      <c r="E522" s="93">
        <f t="shared" si="82"/>
        <v>260</v>
      </c>
      <c r="F522" s="26"/>
      <c r="G522" s="26"/>
      <c r="AC522" s="298">
        <v>260</v>
      </c>
      <c r="AD522" s="289">
        <v>260</v>
      </c>
      <c r="AE522" s="289">
        <f t="shared" si="83"/>
        <v>0</v>
      </c>
      <c r="AF522" s="289"/>
      <c r="AG522" s="289"/>
      <c r="AH522" s="289"/>
      <c r="AI522" s="289"/>
      <c r="AJ522" s="289"/>
      <c r="AK522" s="289"/>
      <c r="AL522" s="289"/>
    </row>
    <row r="523" spans="2:38">
      <c r="B523" s="501" t="str">
        <f>IF($C$1="ENG","door hinge caps (1 set)","накладка на завіси (1 к-т)")</f>
        <v>накладка на завіси (1 к-т)</v>
      </c>
      <c r="C523" s="502"/>
      <c r="D523" s="408">
        <f t="shared" si="81"/>
        <v>66.666666666666671</v>
      </c>
      <c r="E523" s="93">
        <f t="shared" si="82"/>
        <v>80</v>
      </c>
      <c r="F523" s="26"/>
      <c r="G523" s="26"/>
      <c r="AC523" s="298">
        <v>80</v>
      </c>
      <c r="AD523" s="289">
        <v>80</v>
      </c>
      <c r="AE523" s="289">
        <f t="shared" si="83"/>
        <v>0</v>
      </c>
      <c r="AF523" s="289"/>
      <c r="AG523" s="289"/>
      <c r="AH523" s="289"/>
      <c r="AI523" s="289"/>
      <c r="AJ523" s="289"/>
      <c r="AK523" s="289"/>
      <c r="AL523" s="289"/>
    </row>
    <row r="524" spans="2:38">
      <c r="B524" s="501" t="str">
        <f>IF($C$1="ENG","door handle","дверна ручка")</f>
        <v>дверна ручка</v>
      </c>
      <c r="C524" s="502"/>
      <c r="D524" s="409" t="str">
        <f t="shared" si="81"/>
        <v/>
      </c>
      <c r="E524" s="247" t="str">
        <f>IF($C$1="ENG","see Handles Price","див. Таблицю Ручки")</f>
        <v>див. Таблицю Ручки</v>
      </c>
      <c r="F524" s="26"/>
      <c r="G524" s="26"/>
      <c r="AC524" s="289"/>
      <c r="AD524" s="289"/>
      <c r="AE524" s="289"/>
      <c r="AF524" s="289"/>
      <c r="AG524" s="289"/>
      <c r="AH524" s="289"/>
      <c r="AI524" s="289"/>
      <c r="AJ524" s="289"/>
      <c r="AK524" s="289"/>
      <c r="AL524" s="289"/>
    </row>
    <row r="525" spans="2:38" ht="14.25" customHeight="1">
      <c r="C525" s="245"/>
      <c r="D525" s="26"/>
      <c r="E525" s="26"/>
      <c r="F525" s="26"/>
      <c r="G525" s="26"/>
      <c r="H525" s="5"/>
      <c r="T525" s="503" t="str">
        <f>IF($C$1="ENG",CONCATENATE("down to: ",B575),CONCATENATE("вниз до: ",B575))</f>
        <v>вниз до: Полотна збірні: ЛАДА B</v>
      </c>
      <c r="U525" s="503"/>
      <c r="V525" s="503"/>
      <c r="W525" s="503"/>
    </row>
    <row r="526" spans="2:38" ht="14.25" customHeight="1">
      <c r="C526" s="245"/>
      <c r="D526" s="26"/>
      <c r="E526" s="26"/>
      <c r="F526" s="26"/>
      <c r="G526" s="26"/>
      <c r="H526" s="5"/>
    </row>
    <row r="527" spans="2:38" ht="14.25" customHeight="1">
      <c r="C527" s="245"/>
      <c r="D527" s="26"/>
      <c r="E527" s="26"/>
      <c r="F527" s="26"/>
      <c r="G527" s="26"/>
      <c r="H527" s="5"/>
    </row>
    <row r="528" spans="2:38" ht="14.25" customHeight="1">
      <c r="C528" s="245"/>
      <c r="D528" s="26"/>
      <c r="E528" s="26"/>
      <c r="F528" s="26"/>
      <c r="G528" s="26"/>
      <c r="H528" s="5"/>
    </row>
    <row r="529" spans="3:8" ht="14.25" customHeight="1">
      <c r="C529" s="245"/>
      <c r="D529" s="26"/>
      <c r="E529" s="26"/>
      <c r="F529" s="26"/>
      <c r="G529" s="26"/>
      <c r="H529" s="5"/>
    </row>
    <row r="530" spans="3:8" ht="14.25" customHeight="1">
      <c r="C530" s="245"/>
      <c r="D530" s="26"/>
      <c r="E530" s="26"/>
      <c r="F530" s="26"/>
      <c r="G530" s="26"/>
      <c r="H530" s="5"/>
    </row>
    <row r="531" spans="3:8" ht="14.25" customHeight="1">
      <c r="C531" s="245"/>
      <c r="D531" s="26"/>
      <c r="E531" s="26"/>
      <c r="F531" s="26"/>
      <c r="G531" s="26"/>
      <c r="H531" s="5"/>
    </row>
    <row r="532" spans="3:8" ht="14.25" customHeight="1">
      <c r="C532" s="245"/>
      <c r="D532" s="26"/>
      <c r="E532" s="26"/>
      <c r="F532" s="26"/>
      <c r="G532" s="26"/>
      <c r="H532" s="5"/>
    </row>
    <row r="533" spans="3:8" ht="14.25" customHeight="1">
      <c r="C533" s="245"/>
      <c r="D533" s="26"/>
      <c r="E533" s="26"/>
      <c r="F533" s="26"/>
      <c r="G533" s="26"/>
      <c r="H533" s="5"/>
    </row>
    <row r="534" spans="3:8" ht="14.25" customHeight="1">
      <c r="C534" s="245"/>
      <c r="D534" s="26"/>
      <c r="E534" s="26"/>
      <c r="F534" s="26"/>
      <c r="G534" s="26"/>
      <c r="H534" s="5"/>
    </row>
    <row r="535" spans="3:8" ht="14.25" customHeight="1">
      <c r="C535" s="245"/>
      <c r="D535" s="26"/>
      <c r="E535" s="26"/>
      <c r="F535" s="26"/>
      <c r="G535" s="26"/>
      <c r="H535" s="5"/>
    </row>
    <row r="536" spans="3:8" ht="14.25" customHeight="1">
      <c r="C536" s="245"/>
      <c r="D536" s="26"/>
      <c r="E536" s="26"/>
      <c r="F536" s="26"/>
      <c r="G536" s="26"/>
      <c r="H536" s="5"/>
    </row>
    <row r="537" spans="3:8" ht="14.25" customHeight="1">
      <c r="C537" s="245"/>
      <c r="D537" s="26"/>
      <c r="E537" s="26"/>
      <c r="F537" s="26"/>
      <c r="G537" s="26"/>
      <c r="H537" s="5"/>
    </row>
    <row r="538" spans="3:8" ht="14.25" customHeight="1">
      <c r="C538" s="245"/>
      <c r="D538" s="26"/>
      <c r="E538" s="26"/>
      <c r="F538" s="26"/>
      <c r="G538" s="26"/>
      <c r="H538" s="5"/>
    </row>
    <row r="539" spans="3:8" ht="14.25" customHeight="1">
      <c r="C539" s="245"/>
      <c r="D539" s="26"/>
      <c r="E539" s="26"/>
      <c r="F539" s="26"/>
      <c r="G539" s="26"/>
      <c r="H539" s="5"/>
    </row>
    <row r="540" spans="3:8" ht="14.25" customHeight="1">
      <c r="C540" s="245"/>
      <c r="D540" s="26"/>
      <c r="E540" s="26"/>
      <c r="F540" s="26"/>
      <c r="G540" s="26"/>
      <c r="H540" s="5"/>
    </row>
    <row r="541" spans="3:8" ht="14.25" customHeight="1">
      <c r="C541" s="245"/>
      <c r="D541" s="26"/>
      <c r="E541" s="26"/>
      <c r="F541" s="26"/>
      <c r="G541" s="26"/>
      <c r="H541" s="5"/>
    </row>
    <row r="542" spans="3:8" ht="14.25" customHeight="1">
      <c r="C542" s="245"/>
      <c r="D542" s="26"/>
      <c r="E542" s="26"/>
      <c r="F542" s="26"/>
      <c r="G542" s="26"/>
      <c r="H542" s="5"/>
    </row>
    <row r="543" spans="3:8" ht="14.25" customHeight="1">
      <c r="C543" s="245"/>
      <c r="D543" s="26"/>
      <c r="E543" s="26"/>
      <c r="F543" s="26"/>
      <c r="G543" s="26"/>
      <c r="H543" s="5"/>
    </row>
    <row r="544" spans="3:8" ht="14.25" customHeight="1">
      <c r="C544" s="245"/>
      <c r="D544" s="26"/>
      <c r="E544" s="26"/>
      <c r="F544" s="26"/>
      <c r="G544" s="26"/>
      <c r="H544" s="5"/>
    </row>
    <row r="545" spans="3:8" ht="14.25" customHeight="1">
      <c r="C545" s="245"/>
      <c r="D545" s="26"/>
      <c r="E545" s="26"/>
      <c r="F545" s="26"/>
      <c r="G545" s="26"/>
      <c r="H545" s="5"/>
    </row>
    <row r="546" spans="3:8" ht="14.25" customHeight="1">
      <c r="C546" s="245"/>
      <c r="D546" s="26"/>
      <c r="E546" s="26"/>
      <c r="F546" s="26"/>
      <c r="G546" s="26"/>
      <c r="H546" s="5"/>
    </row>
    <row r="547" spans="3:8" ht="14.25" customHeight="1">
      <c r="C547" s="245"/>
      <c r="D547" s="26"/>
      <c r="E547" s="26"/>
      <c r="F547" s="26"/>
      <c r="G547" s="26"/>
      <c r="H547" s="5"/>
    </row>
    <row r="548" spans="3:8" ht="14.25" customHeight="1">
      <c r="C548" s="245"/>
      <c r="D548" s="26"/>
      <c r="E548" s="26"/>
      <c r="F548" s="26"/>
      <c r="G548" s="26"/>
      <c r="H548" s="5"/>
    </row>
    <row r="549" spans="3:8" ht="14.25" customHeight="1">
      <c r="C549" s="245"/>
      <c r="D549" s="26"/>
      <c r="E549" s="26"/>
      <c r="F549" s="26"/>
      <c r="G549" s="26"/>
      <c r="H549" s="5"/>
    </row>
    <row r="550" spans="3:8" ht="14.25" customHeight="1">
      <c r="C550" s="245"/>
      <c r="D550" s="26"/>
      <c r="E550" s="26"/>
      <c r="F550" s="26"/>
      <c r="G550" s="26"/>
      <c r="H550" s="5"/>
    </row>
    <row r="551" spans="3:8" ht="14.25" customHeight="1">
      <c r="C551" s="245"/>
      <c r="D551" s="26"/>
      <c r="E551" s="26"/>
      <c r="F551" s="26"/>
      <c r="G551" s="26"/>
      <c r="H551" s="5"/>
    </row>
    <row r="552" spans="3:8" ht="14.25" customHeight="1">
      <c r="C552" s="245"/>
      <c r="D552" s="26"/>
      <c r="E552" s="26"/>
      <c r="F552" s="26"/>
      <c r="G552" s="26"/>
      <c r="H552" s="5"/>
    </row>
    <row r="553" spans="3:8" ht="14.25" customHeight="1">
      <c r="C553" s="245"/>
      <c r="D553" s="26"/>
      <c r="E553" s="26"/>
      <c r="F553" s="26"/>
      <c r="G553" s="26"/>
      <c r="H553" s="5"/>
    </row>
    <row r="554" spans="3:8" ht="14.25" customHeight="1">
      <c r="C554" s="245"/>
      <c r="D554" s="26"/>
      <c r="E554" s="26"/>
      <c r="F554" s="26"/>
      <c r="G554" s="26"/>
      <c r="H554" s="5"/>
    </row>
    <row r="555" spans="3:8" ht="14.25" customHeight="1">
      <c r="C555" s="245"/>
      <c r="D555" s="26"/>
      <c r="E555" s="26"/>
      <c r="F555" s="26"/>
      <c r="G555" s="26"/>
      <c r="H555" s="5"/>
    </row>
    <row r="556" spans="3:8" ht="14.25" customHeight="1">
      <c r="C556" s="245"/>
      <c r="D556" s="26"/>
      <c r="E556" s="26"/>
      <c r="F556" s="26"/>
      <c r="G556" s="26"/>
      <c r="H556" s="5"/>
    </row>
    <row r="557" spans="3:8" ht="14.25" customHeight="1">
      <c r="C557" s="245"/>
      <c r="D557" s="26"/>
      <c r="E557" s="26"/>
      <c r="F557" s="26"/>
      <c r="G557" s="26"/>
      <c r="H557" s="5"/>
    </row>
    <row r="558" spans="3:8" ht="14.25" customHeight="1">
      <c r="C558" s="245"/>
      <c r="D558" s="26"/>
      <c r="E558" s="26"/>
      <c r="F558" s="26"/>
      <c r="G558" s="26"/>
      <c r="H558" s="5"/>
    </row>
    <row r="559" spans="3:8" ht="14.25" customHeight="1">
      <c r="C559" s="245"/>
      <c r="D559" s="26"/>
      <c r="E559" s="26"/>
      <c r="F559" s="26"/>
      <c r="G559" s="26"/>
      <c r="H559" s="5"/>
    </row>
    <row r="560" spans="3:8" ht="14.25" customHeight="1">
      <c r="C560" s="245"/>
      <c r="D560" s="26"/>
      <c r="E560" s="26"/>
      <c r="F560" s="26"/>
      <c r="G560" s="26"/>
      <c r="H560" s="5"/>
    </row>
    <row r="561" spans="2:46" ht="14.25" customHeight="1">
      <c r="C561" s="245"/>
      <c r="D561" s="26"/>
      <c r="E561" s="26"/>
      <c r="F561" s="26"/>
      <c r="G561" s="26"/>
      <c r="H561" s="5"/>
    </row>
    <row r="562" spans="2:46" ht="14.25" customHeight="1">
      <c r="C562" s="245"/>
      <c r="D562" s="26"/>
      <c r="E562" s="26"/>
      <c r="F562" s="26"/>
      <c r="G562" s="26"/>
      <c r="H562" s="5"/>
    </row>
    <row r="563" spans="2:46" ht="14.25" customHeight="1">
      <c r="C563" s="245"/>
      <c r="D563" s="26"/>
      <c r="E563" s="26"/>
      <c r="F563" s="26"/>
      <c r="G563" s="26"/>
      <c r="H563" s="5"/>
    </row>
    <row r="564" spans="2:46" ht="14.25" customHeight="1">
      <c r="C564" s="245"/>
      <c r="D564" s="26"/>
      <c r="E564" s="26"/>
      <c r="F564" s="26"/>
      <c r="G564" s="26"/>
      <c r="H564" s="5"/>
    </row>
    <row r="565" spans="2:46" ht="14.25" customHeight="1">
      <c r="C565" s="245"/>
      <c r="D565" s="26"/>
      <c r="E565" s="26"/>
      <c r="F565" s="26"/>
      <c r="G565" s="26"/>
      <c r="H565" s="5"/>
    </row>
    <row r="566" spans="2:46" ht="14.25" customHeight="1">
      <c r="C566" s="245"/>
      <c r="D566" s="26"/>
      <c r="E566" s="26"/>
      <c r="F566" s="26"/>
      <c r="G566" s="26"/>
      <c r="H566" s="5"/>
    </row>
    <row r="567" spans="2:46" ht="14.25" customHeight="1">
      <c r="C567" s="245"/>
      <c r="D567" s="26"/>
      <c r="E567" s="26"/>
      <c r="F567" s="26"/>
      <c r="G567" s="26"/>
      <c r="H567" s="5"/>
    </row>
    <row r="568" spans="2:46" ht="14.25" customHeight="1">
      <c r="C568" s="245"/>
      <c r="D568" s="26"/>
      <c r="E568" s="26"/>
      <c r="F568" s="26"/>
      <c r="G568" s="26"/>
      <c r="H568" s="5"/>
    </row>
    <row r="569" spans="2:46" ht="14.25" customHeight="1">
      <c r="C569" s="245"/>
      <c r="D569" s="26"/>
      <c r="E569" s="26"/>
      <c r="F569" s="26"/>
      <c r="G569" s="26"/>
      <c r="H569" s="5"/>
    </row>
    <row r="570" spans="2:46" ht="14.25" customHeight="1">
      <c r="C570" s="245"/>
      <c r="D570" s="26"/>
      <c r="E570" s="26"/>
      <c r="F570" s="26"/>
      <c r="G570" s="26"/>
      <c r="H570" s="5"/>
    </row>
    <row r="571" spans="2:46" ht="14.25" customHeight="1">
      <c r="C571" s="245"/>
      <c r="D571" s="26"/>
      <c r="E571" s="26"/>
      <c r="F571" s="26"/>
      <c r="G571" s="26"/>
      <c r="H571" s="5"/>
    </row>
    <row r="572" spans="2:46" ht="14.25" customHeight="1">
      <c r="C572" s="245"/>
      <c r="D572" s="26"/>
      <c r="E572" s="26"/>
      <c r="F572" s="26"/>
      <c r="G572" s="26"/>
      <c r="H572" s="5"/>
    </row>
    <row r="573" spans="2:46" ht="14.25" customHeight="1">
      <c r="C573" s="245"/>
      <c r="D573" s="26"/>
      <c r="E573" s="26"/>
      <c r="F573" s="26"/>
      <c r="G573" s="26"/>
      <c r="H573" s="5"/>
    </row>
    <row r="574" spans="2:46" ht="14.25" customHeight="1">
      <c r="C574" s="245"/>
      <c r="D574" s="26"/>
      <c r="E574" s="26"/>
      <c r="F574" s="26"/>
      <c r="G574" s="26"/>
      <c r="H574" s="5"/>
    </row>
    <row r="575" spans="2:46" s="8" customFormat="1">
      <c r="B575" s="494" t="str">
        <f>TITLE!C16</f>
        <v>Полотна збірні: ЛАДА B</v>
      </c>
      <c r="C575" s="494"/>
      <c r="D575" s="118"/>
      <c r="E575" s="118"/>
      <c r="F575" s="118"/>
      <c r="G575" s="118"/>
      <c r="H575" s="496"/>
      <c r="I575" s="496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517" t="str">
        <f>IF($C$1="ENG",CONCATENATE("up to: ",B502),CONCATENATE("вгору до: ",B502))</f>
        <v>вгору до: Полотна збірні: ЛАДА A</v>
      </c>
      <c r="U575" s="517"/>
      <c r="V575" s="517"/>
      <c r="W575" s="517"/>
      <c r="AN575" s="280"/>
      <c r="AO575" s="280"/>
      <c r="AP575" s="280"/>
      <c r="AQ575" s="280"/>
      <c r="AR575" s="280"/>
      <c r="AS575" s="280"/>
      <c r="AT575" s="280"/>
    </row>
    <row r="576" spans="2:46" s="8" customFormat="1" ht="5.0999999999999996" customHeight="1">
      <c r="B576" s="117"/>
      <c r="C576" s="420"/>
      <c r="D576" s="9"/>
      <c r="E576" s="9"/>
      <c r="F576" s="9"/>
      <c r="G576" s="9"/>
      <c r="H576" s="120"/>
      <c r="I576" s="120"/>
      <c r="T576" s="115"/>
      <c r="U576" s="115"/>
      <c r="V576" s="115"/>
      <c r="W576" s="115"/>
      <c r="AN576" s="280"/>
      <c r="AO576" s="280"/>
      <c r="AP576" s="280"/>
      <c r="AQ576" s="280"/>
      <c r="AR576" s="280"/>
      <c r="AS576" s="280"/>
      <c r="AT576" s="280"/>
    </row>
    <row r="577" spans="1:46" s="8" customFormat="1" ht="12.75" customHeight="1">
      <c r="B577" s="509" t="str">
        <f>IF($C$1="ENG","model","модель")</f>
        <v>модель</v>
      </c>
      <c r="C577" s="122" t="str">
        <f>IF($C$1="ENG","cover:","покриття:")</f>
        <v>покриття:</v>
      </c>
      <c r="D577" s="498" t="str">
        <f>IF($C$1="ENG","Verto-CELL","Verto-CELL")</f>
        <v>Verto-CELL</v>
      </c>
      <c r="E577" s="500"/>
      <c r="F577" s="498" t="str">
        <f>IF($C$1="ENG","UNI-MAT","UNI-MAT")</f>
        <v>UNI-MAT</v>
      </c>
      <c r="G577" s="500"/>
      <c r="H577" s="498" t="str">
        <f>IF($C$1="ENG","RESIST","RESIST")</f>
        <v>RESIST</v>
      </c>
      <c r="I577" s="500"/>
      <c r="J577" s="498" t="str">
        <f>IF($C$1="ENG","Verto LINE-3D","Verto LINE-3D")</f>
        <v>Verto LINE-3D</v>
      </c>
      <c r="K577" s="500"/>
      <c r="L577" s="498" t="str">
        <f>IF($C$1="ENG","ECO Shpon","ЕКО Шпон")</f>
        <v>ЕКО Шпон</v>
      </c>
      <c r="M577" s="500"/>
      <c r="P577" s="1"/>
      <c r="Q577" s="1"/>
      <c r="T577" s="115"/>
      <c r="U577" s="115"/>
      <c r="V577" s="115"/>
      <c r="W577" s="115"/>
      <c r="AN577" s="280"/>
      <c r="AO577" s="280"/>
      <c r="AP577" s="280"/>
      <c r="AQ577" s="280"/>
      <c r="AR577" s="280"/>
      <c r="AS577" s="280"/>
      <c r="AT577" s="280"/>
    </row>
    <row r="578" spans="1:46" s="8" customFormat="1" ht="24.75" customHeight="1">
      <c r="B578" s="510"/>
      <c r="C578" s="123" t="str">
        <f>IF($C$1="ENG","filling:","заповнення:")</f>
        <v>заповнення:</v>
      </c>
      <c r="D578" s="505" t="str">
        <f>IF($C$1="ENG","softwood","клеєний сосновий брус")</f>
        <v>клеєний сосновий брус</v>
      </c>
      <c r="E578" s="506"/>
      <c r="F578" s="505" t="str">
        <f>IF($C$1="ENG","softwood","клеєний сосновий брус")</f>
        <v>клеєний сосновий брус</v>
      </c>
      <c r="G578" s="506"/>
      <c r="H578" s="505" t="str">
        <f>IF($C$1="ENG","softwood","клеєний сосновий брус")</f>
        <v>клеєний сосновий брус</v>
      </c>
      <c r="I578" s="506"/>
      <c r="J578" s="505" t="str">
        <f>IF($C$1="ENG","softwood","клеєний сосновий брус")</f>
        <v>клеєний сосновий брус</v>
      </c>
      <c r="K578" s="506"/>
      <c r="L578" s="505" t="str">
        <f>IF($C$1="ENG","softwood","клеєний сосновий брус")</f>
        <v>клеєний сосновий брус</v>
      </c>
      <c r="M578" s="506"/>
      <c r="P578" s="1"/>
      <c r="Q578" s="1"/>
      <c r="T578" s="115"/>
      <c r="U578" s="115"/>
      <c r="V578" s="115"/>
      <c r="W578" s="115"/>
      <c r="AD578" s="383">
        <f>AD580/AC580-1</f>
        <v>0.1396468699839486</v>
      </c>
      <c r="AE578" s="383">
        <f>AE580/AD580-1</f>
        <v>4.2253521126760507E-2</v>
      </c>
      <c r="AF578" s="383">
        <f>AF580/AE580-1</f>
        <v>8.783783783783794E-2</v>
      </c>
      <c r="AG578" s="383">
        <f>AG580/AF580-1</f>
        <v>5.2173913043478182E-2</v>
      </c>
      <c r="AN578" s="280"/>
      <c r="AO578" s="280"/>
      <c r="AP578" s="280"/>
      <c r="AQ578" s="280"/>
      <c r="AR578" s="280"/>
      <c r="AS578" s="280"/>
      <c r="AT578" s="280"/>
    </row>
    <row r="579" spans="1:46" ht="12.75" customHeight="1">
      <c r="A579" s="8"/>
      <c r="B579" s="511"/>
      <c r="C579" s="124" t="str">
        <f>IF($C$1="ENG","glazing:","скління:")</f>
        <v>скління:</v>
      </c>
      <c r="D579" s="489" t="str">
        <f>IF($C$1="ENG","Satin","Сатин")</f>
        <v>Сатин</v>
      </c>
      <c r="E579" s="492"/>
      <c r="F579" s="489" t="str">
        <f>IF($C$1="ENG","Satin","Сатин")</f>
        <v>Сатин</v>
      </c>
      <c r="G579" s="492"/>
      <c r="H579" s="489" t="str">
        <f>IF($C$1="ENG","Satin","Сатин")</f>
        <v>Сатин</v>
      </c>
      <c r="I579" s="492"/>
      <c r="J579" s="489" t="str">
        <f>IF($C$1="ENG","Satin","Сатин")</f>
        <v>Сатин</v>
      </c>
      <c r="K579" s="492"/>
      <c r="L579" s="489" t="str">
        <f>IF($C$1="ENG","Satin","Сатин")</f>
        <v>Сатин</v>
      </c>
      <c r="M579" s="492"/>
    </row>
    <row r="580" spans="1:46" ht="35.1" customHeight="1">
      <c r="A580" s="8"/>
      <c r="B580" s="13" t="s">
        <v>39</v>
      </c>
      <c r="C580" s="14"/>
      <c r="D580" s="15">
        <f>IF(AC580="","",(1-$W$2)*(AC580/1.2))</f>
        <v>5191.666666666667</v>
      </c>
      <c r="E580" s="64">
        <f>IF($W$5=0.2,D580*1.2,D580)/$W$4</f>
        <v>6230</v>
      </c>
      <c r="F580" s="15">
        <f>IF(AD580="","",(1-$W$2)*(AD580/1.2))</f>
        <v>5916.666666666667</v>
      </c>
      <c r="G580" s="64">
        <f>IF($W$5=0.2,F580*1.2,F580)/$W$4</f>
        <v>7100</v>
      </c>
      <c r="H580" s="15">
        <f>IF(AE580="","",(1-$W$2)*(AE580/1.2))</f>
        <v>6166.666666666667</v>
      </c>
      <c r="I580" s="64">
        <f>IF($W$5=0.2,H580*1.2,H580)/$W$4</f>
        <v>7400</v>
      </c>
      <c r="J580" s="15">
        <f>IF(AF580="","",(1-$W$2)*(AF580/1.2))</f>
        <v>6708.3333333333339</v>
      </c>
      <c r="K580" s="64">
        <f>IF($W$5=0.2,J580*1.2,J580)/$W$4</f>
        <v>8050</v>
      </c>
      <c r="L580" s="15">
        <f>IF(AG580="","",(1-$W$2)*(AG580/1.2))</f>
        <v>7058.3333333333339</v>
      </c>
      <c r="M580" s="64">
        <f>IF($W$5=0.2,L580*1.2,L580)/$W$4</f>
        <v>8470</v>
      </c>
      <c r="N580" s="104"/>
      <c r="R580" s="104"/>
      <c r="T580" s="104"/>
      <c r="U580" s="20"/>
      <c r="V580" s="104"/>
      <c r="W580" s="20"/>
      <c r="X580" s="104"/>
      <c r="Y580" s="104"/>
      <c r="Z580" s="104"/>
      <c r="AA580" s="104"/>
      <c r="AB580" s="104"/>
      <c r="AC580" s="332">
        <v>6230</v>
      </c>
      <c r="AD580" s="391">
        <v>7100</v>
      </c>
      <c r="AE580" s="332">
        <v>7400</v>
      </c>
      <c r="AF580" s="332">
        <v>8050</v>
      </c>
      <c r="AG580" s="332">
        <v>8470</v>
      </c>
      <c r="AH580" s="289">
        <v>6230</v>
      </c>
      <c r="AI580" s="289">
        <f>AH580/AC580-1</f>
        <v>0</v>
      </c>
      <c r="AJ580" s="289">
        <v>7100</v>
      </c>
      <c r="AK580" s="289">
        <f>AJ580/AD580-1</f>
        <v>0</v>
      </c>
      <c r="AL580" s="289">
        <v>7400</v>
      </c>
      <c r="AM580" s="1">
        <f>AL580/AE580-1</f>
        <v>0</v>
      </c>
      <c r="AN580" s="30">
        <v>8050</v>
      </c>
      <c r="AO580" s="1">
        <f>AN580/AF580-1</f>
        <v>0</v>
      </c>
      <c r="AP580" s="1">
        <v>8470</v>
      </c>
      <c r="AQ580" s="1">
        <f>AP580/AG580-1</f>
        <v>0</v>
      </c>
    </row>
    <row r="581" spans="1:46" ht="35.1" customHeight="1">
      <c r="A581" s="8"/>
      <c r="B581" s="16" t="s">
        <v>28</v>
      </c>
      <c r="C581" s="17"/>
      <c r="D581" s="18">
        <f>IF(AC581="","",(1-$W$2)*(AC581/1.2))</f>
        <v>5191.666666666667</v>
      </c>
      <c r="E581" s="66">
        <f>IF($W$5=0.2,D581*1.2,D581)/$W$4</f>
        <v>6230</v>
      </c>
      <c r="F581" s="18">
        <f>IF(AD581="","",(1-$W$2)*(AD581/1.2))</f>
        <v>5916.666666666667</v>
      </c>
      <c r="G581" s="66">
        <f>IF($W$5=0.2,F581*1.2,F581)/$W$4</f>
        <v>7100</v>
      </c>
      <c r="H581" s="18">
        <f>IF(AE581="","",(1-$W$2)*(AE581/1.2))</f>
        <v>6166.666666666667</v>
      </c>
      <c r="I581" s="66">
        <f>IF($W$5=0.2,H581*1.2,H581)/$W$4</f>
        <v>7400</v>
      </c>
      <c r="J581" s="18">
        <f>IF(AF581="","",(1-$W$2)*(AF581/1.2))</f>
        <v>6708.3333333333339</v>
      </c>
      <c r="K581" s="66">
        <f>IF($W$5=0.2,J581*1.2,J581)/$W$4</f>
        <v>8050</v>
      </c>
      <c r="L581" s="18">
        <f>IF(AG581="","",(1-$W$2)*(AG581/1.2))</f>
        <v>7058.3333333333339</v>
      </c>
      <c r="M581" s="66">
        <f>IF($W$5=0.2,L581*1.2,L581)/$W$4</f>
        <v>8470</v>
      </c>
      <c r="N581" s="104"/>
      <c r="R581" s="104"/>
      <c r="T581" s="104"/>
      <c r="U581" s="20"/>
      <c r="V581" s="104"/>
      <c r="W581" s="20"/>
      <c r="X581" s="104"/>
      <c r="Y581" s="104"/>
      <c r="Z581" s="104"/>
      <c r="AA581" s="104"/>
      <c r="AB581" s="104"/>
      <c r="AC581" s="332">
        <v>6230</v>
      </c>
      <c r="AD581" s="391">
        <v>7100</v>
      </c>
      <c r="AE581" s="332">
        <v>7400</v>
      </c>
      <c r="AF581" s="332">
        <v>8050</v>
      </c>
      <c r="AG581" s="332">
        <v>8470</v>
      </c>
      <c r="AH581" s="289">
        <v>6230</v>
      </c>
      <c r="AI581" s="289">
        <f t="shared" ref="AI581:AI582" si="88">AH581/AC581-1</f>
        <v>0</v>
      </c>
      <c r="AJ581" s="289">
        <v>7100</v>
      </c>
      <c r="AK581" s="289">
        <f t="shared" ref="AK581:AK582" si="89">AJ581/AD581-1</f>
        <v>0</v>
      </c>
      <c r="AL581" s="289">
        <v>7400</v>
      </c>
      <c r="AM581" s="1">
        <f t="shared" ref="AM581:AM582" si="90">AL581/AE581-1</f>
        <v>0</v>
      </c>
      <c r="AN581" s="30">
        <v>8050</v>
      </c>
      <c r="AO581" s="1">
        <f t="shared" ref="AO581:AO582" si="91">AN581/AF581-1</f>
        <v>0</v>
      </c>
      <c r="AP581" s="1">
        <v>8470</v>
      </c>
      <c r="AQ581" s="1">
        <f t="shared" ref="AQ581:AQ582" si="92">AP581/AG581-1</f>
        <v>0</v>
      </c>
    </row>
    <row r="582" spans="1:46" ht="35.1" customHeight="1">
      <c r="A582" s="8"/>
      <c r="B582" s="23" t="s">
        <v>40</v>
      </c>
      <c r="C582" s="24"/>
      <c r="D582" s="25">
        <f>IF(AC582="","",(1-$W$2)*(AC582/1.2))</f>
        <v>5416.666666666667</v>
      </c>
      <c r="E582" s="69">
        <f>IF($W$5=0.2,D582*1.2,D582)/$W$4</f>
        <v>6500</v>
      </c>
      <c r="F582" s="25">
        <f>IF(AD582="","",(1-$W$2)*(AD582/1.2))</f>
        <v>6166.666666666667</v>
      </c>
      <c r="G582" s="69">
        <f>IF($W$5=0.2,F582*1.2,F582)/$W$4</f>
        <v>7400</v>
      </c>
      <c r="H582" s="25">
        <f>IF(AE582="","",(1-$W$2)*(AE582/1.2))</f>
        <v>6441.666666666667</v>
      </c>
      <c r="I582" s="69">
        <f>IF($W$5=0.2,H582*1.2,H582)/$W$4</f>
        <v>7730</v>
      </c>
      <c r="J582" s="25">
        <f>IF(AF582="","",(1-$W$2)*(AF582/1.2))</f>
        <v>6950</v>
      </c>
      <c r="K582" s="69">
        <f>IF($W$5=0.2,J582*1.2,J582)/$W$4</f>
        <v>8340</v>
      </c>
      <c r="L582" s="25">
        <f>IF(AG582="","",(1-$W$2)*(AG582/1.2))</f>
        <v>7375</v>
      </c>
      <c r="M582" s="69">
        <f>IF($W$5=0.2,L582*1.2,L582)/$W$4</f>
        <v>8850</v>
      </c>
      <c r="N582" s="104"/>
      <c r="R582" s="104"/>
      <c r="T582" s="104"/>
      <c r="V582" s="104"/>
      <c r="X582" s="104"/>
      <c r="Y582" s="104"/>
      <c r="Z582" s="104"/>
      <c r="AA582" s="104"/>
      <c r="AB582" s="104"/>
      <c r="AC582" s="332">
        <v>6500</v>
      </c>
      <c r="AD582" s="391">
        <v>7400</v>
      </c>
      <c r="AE582" s="332">
        <v>7730</v>
      </c>
      <c r="AF582" s="332">
        <v>8340</v>
      </c>
      <c r="AG582" s="332">
        <v>8850</v>
      </c>
      <c r="AH582" s="289">
        <v>6500</v>
      </c>
      <c r="AI582" s="289">
        <f t="shared" si="88"/>
        <v>0</v>
      </c>
      <c r="AJ582" s="289">
        <v>7400</v>
      </c>
      <c r="AK582" s="289">
        <f t="shared" si="89"/>
        <v>0</v>
      </c>
      <c r="AL582" s="289">
        <v>7730</v>
      </c>
      <c r="AM582" s="1">
        <f t="shared" si="90"/>
        <v>0</v>
      </c>
      <c r="AN582" s="30">
        <v>8340</v>
      </c>
      <c r="AO582" s="1">
        <f t="shared" si="91"/>
        <v>0</v>
      </c>
      <c r="AP582" s="1">
        <v>8850</v>
      </c>
      <c r="AQ582" s="1">
        <f t="shared" si="92"/>
        <v>0</v>
      </c>
    </row>
    <row r="583" spans="1:46">
      <c r="C583" s="245"/>
      <c r="D583" s="26"/>
      <c r="E583" s="57"/>
      <c r="F583" s="26"/>
      <c r="G583" s="57"/>
      <c r="H583" s="10"/>
      <c r="I583" s="8"/>
      <c r="J583" s="8"/>
      <c r="K583" s="8"/>
    </row>
    <row r="584" spans="1:46">
      <c r="B584" s="212" t="str">
        <f>IF($C$1="ENG","For additonal charge:","Послуги за додаткову плату:")</f>
        <v>Послуги за додаткову плату:</v>
      </c>
      <c r="C584" s="421"/>
      <c r="D584" s="213"/>
      <c r="E584" s="214"/>
      <c r="F584" s="26"/>
      <c r="G584" s="57"/>
      <c r="H584" s="10"/>
      <c r="I584" s="8"/>
      <c r="J584" s="8"/>
      <c r="K584" s="8"/>
    </row>
    <row r="585" spans="1:46" ht="5.0999999999999996" customHeight="1">
      <c r="B585" s="27"/>
      <c r="C585" s="245"/>
      <c r="D585" s="26"/>
      <c r="E585" s="57"/>
      <c r="F585" s="26"/>
      <c r="G585" s="57"/>
      <c r="H585" s="10"/>
      <c r="I585" s="8"/>
      <c r="J585" s="8"/>
      <c r="K585" s="8"/>
    </row>
    <row r="586" spans="1:46">
      <c r="B586" s="514" t="str">
        <f>IF($C$1="ENG","door leaf with width 100","полотно розміром 100")</f>
        <v>полотно розміром 100</v>
      </c>
      <c r="C586" s="515"/>
      <c r="D586" s="410">
        <f t="shared" ref="D586:D598" si="93">IF(AC586="","",(1-$W$2)*(AC586/1.2))</f>
        <v>600</v>
      </c>
      <c r="E586" s="92">
        <f t="shared" ref="E586:E597" si="94">IF($W$5=0.2,D586*1.2,D586)/$W$4</f>
        <v>720</v>
      </c>
      <c r="F586" s="26"/>
      <c r="G586" s="26"/>
      <c r="H586" s="10"/>
      <c r="I586" s="8"/>
      <c r="J586" s="8"/>
      <c r="K586" s="8"/>
      <c r="AC586" s="298">
        <v>720</v>
      </c>
      <c r="AD586" s="298">
        <v>720</v>
      </c>
      <c r="AE586" s="289">
        <f>AD586/AC586-1</f>
        <v>0</v>
      </c>
      <c r="AF586" s="289"/>
      <c r="AG586" s="289"/>
      <c r="AH586" s="289"/>
      <c r="AI586" s="289"/>
      <c r="AJ586" s="289"/>
      <c r="AK586" s="289"/>
      <c r="AL586" s="289"/>
    </row>
    <row r="587" spans="1:46">
      <c r="B587" s="514" t="str">
        <f>IF($C$1="ENG","Ventilation cut","вентиляційний підріз")</f>
        <v>вентиляційний підріз</v>
      </c>
      <c r="C587" s="515"/>
      <c r="D587" s="405">
        <f t="shared" si="93"/>
        <v>141.66666666666669</v>
      </c>
      <c r="E587" s="66">
        <f t="shared" si="94"/>
        <v>170.00000000000003</v>
      </c>
      <c r="F587" s="26"/>
      <c r="G587" s="26"/>
      <c r="I587" s="59"/>
      <c r="J587" s="28"/>
      <c r="AC587" s="298">
        <v>170</v>
      </c>
      <c r="AD587" s="298">
        <v>170</v>
      </c>
      <c r="AE587" s="289">
        <f t="shared" ref="AE587:AE597" si="95">AD587/AC587-1</f>
        <v>0</v>
      </c>
      <c r="AF587" s="289"/>
      <c r="AG587" s="289"/>
      <c r="AH587" s="289"/>
      <c r="AI587" s="289"/>
      <c r="AJ587" s="289"/>
      <c r="AK587" s="289"/>
      <c r="AL587" s="289"/>
    </row>
    <row r="588" spans="1:46">
      <c r="B588" s="501" t="str">
        <f>IF($C$1="ENG","glazing Graphite / Bronze","скло Графіт / Бронза")</f>
        <v>скло Графіт / Бронза</v>
      </c>
      <c r="C588" s="502"/>
      <c r="D588" s="407">
        <f t="shared" si="93"/>
        <v>458.33333333333337</v>
      </c>
      <c r="E588" s="93">
        <f>IF($W$5=0.2,D588*1.2,D588)/$W$4</f>
        <v>550</v>
      </c>
      <c r="F588" s="26"/>
      <c r="G588" s="26"/>
      <c r="H588" s="5"/>
      <c r="AC588" s="298">
        <v>550</v>
      </c>
      <c r="AD588" s="298">
        <v>550</v>
      </c>
      <c r="AE588" s="289">
        <f t="shared" si="95"/>
        <v>0</v>
      </c>
      <c r="AF588" s="289"/>
      <c r="AG588" s="289"/>
      <c r="AH588" s="289"/>
      <c r="AI588" s="289"/>
      <c r="AJ588" s="289"/>
      <c r="AK588" s="289"/>
      <c r="AL588" s="289"/>
    </row>
    <row r="589" spans="1:46">
      <c r="B589" s="501" t="str">
        <f>IF($C$1="ENG","glazing Lacobel black ","скло Lacobel чорне")</f>
        <v>скло Lacobel чорне</v>
      </c>
      <c r="C589" s="502"/>
      <c r="D589" s="407">
        <f t="shared" si="93"/>
        <v>458.33333333333337</v>
      </c>
      <c r="E589" s="93">
        <f>IF($W$5=0.2,D589*1.2,D589)/$W$4</f>
        <v>550</v>
      </c>
      <c r="F589" s="26"/>
      <c r="G589" s="26"/>
      <c r="H589" s="5"/>
      <c r="AC589" s="298">
        <v>550</v>
      </c>
      <c r="AD589" s="298">
        <v>550</v>
      </c>
      <c r="AE589" s="289"/>
      <c r="AF589" s="289"/>
      <c r="AG589" s="289"/>
      <c r="AH589" s="289"/>
      <c r="AI589" s="289"/>
      <c r="AJ589" s="289"/>
      <c r="AK589" s="289"/>
      <c r="AL589" s="289"/>
    </row>
    <row r="590" spans="1:46">
      <c r="B590" s="501" t="str">
        <f>IF($C$1="ENG","door lock Soft","замок Soft")</f>
        <v>замок Soft</v>
      </c>
      <c r="C590" s="502"/>
      <c r="D590" s="407">
        <f t="shared" si="93"/>
        <v>458.33333333333337</v>
      </c>
      <c r="E590" s="93">
        <f t="shared" si="94"/>
        <v>550</v>
      </c>
      <c r="F590" s="26"/>
      <c r="G590" s="26"/>
      <c r="H590" s="5"/>
      <c r="AC590" s="298">
        <v>550</v>
      </c>
      <c r="AD590" s="298">
        <v>550</v>
      </c>
      <c r="AE590" s="289">
        <f t="shared" si="95"/>
        <v>0</v>
      </c>
      <c r="AF590" s="289"/>
      <c r="AG590" s="289"/>
      <c r="AH590" s="289"/>
      <c r="AI590" s="289"/>
      <c r="AJ590" s="289"/>
      <c r="AK590" s="289"/>
      <c r="AL590" s="289"/>
    </row>
    <row r="591" spans="1:46">
      <c r="B591" s="501" t="str">
        <f>IF($C$1="ENG","door lock Soft black","замок Soft чорн.")</f>
        <v>замок Soft чорн.</v>
      </c>
      <c r="C591" s="502"/>
      <c r="D591" s="407">
        <f t="shared" ref="D591" si="96">IF(AC591="","",(1-$W$2)*(AC591/1.2))</f>
        <v>566.66666666666674</v>
      </c>
      <c r="E591" s="93">
        <f t="shared" ref="E591" si="97">IF($W$5=0.2,D591*1.2,D591)/$W$4</f>
        <v>680.00000000000011</v>
      </c>
      <c r="F591" s="26"/>
      <c r="G591" s="26"/>
      <c r="H591" s="5"/>
      <c r="AC591" s="298">
        <v>680</v>
      </c>
      <c r="AD591" s="298"/>
      <c r="AE591" s="289"/>
      <c r="AF591" s="289"/>
      <c r="AG591" s="289"/>
      <c r="AH591" s="289"/>
      <c r="AI591" s="289"/>
      <c r="AJ591" s="289"/>
      <c r="AK591" s="289"/>
      <c r="AL591" s="289"/>
    </row>
    <row r="592" spans="1:46">
      <c r="B592" s="501" t="str">
        <f>IF($C$1="ENG","door lock Magnet","замок Magnet")</f>
        <v>замок Magnet</v>
      </c>
      <c r="C592" s="502"/>
      <c r="D592" s="407">
        <f t="shared" si="93"/>
        <v>666.66666666666674</v>
      </c>
      <c r="E592" s="93">
        <f t="shared" si="94"/>
        <v>800.00000000000011</v>
      </c>
      <c r="F592" s="26"/>
      <c r="G592" s="26"/>
      <c r="H592" s="5"/>
      <c r="AC592" s="298">
        <v>800</v>
      </c>
      <c r="AD592" s="298">
        <v>800</v>
      </c>
      <c r="AE592" s="289">
        <f t="shared" si="95"/>
        <v>0</v>
      </c>
      <c r="AF592" s="289"/>
      <c r="AG592" s="289"/>
      <c r="AH592" s="289"/>
      <c r="AI592" s="289"/>
      <c r="AJ592" s="289"/>
      <c r="AK592" s="289"/>
      <c r="AL592" s="289"/>
    </row>
    <row r="593" spans="2:38">
      <c r="B593" s="501" t="s">
        <v>76</v>
      </c>
      <c r="C593" s="502"/>
      <c r="D593" s="407">
        <f t="shared" ref="D593" si="98">IF(AC593="","",(1-$W$2)*(AC593/1.2))</f>
        <v>833.33333333333337</v>
      </c>
      <c r="E593" s="93">
        <f t="shared" ref="E593" si="99">IF($W$5=0.2,D593*1.2,D593)/$W$4</f>
        <v>1000</v>
      </c>
      <c r="F593" s="26"/>
      <c r="G593" s="26"/>
      <c r="H593" s="5"/>
      <c r="AC593" s="298">
        <v>1000</v>
      </c>
      <c r="AD593" s="298"/>
      <c r="AE593" s="289"/>
      <c r="AF593" s="289"/>
      <c r="AG593" s="289"/>
      <c r="AH593" s="289"/>
      <c r="AI593" s="289"/>
      <c r="AJ593" s="289"/>
      <c r="AK593" s="289"/>
      <c r="AL593" s="289"/>
    </row>
    <row r="594" spans="2:38">
      <c r="B594" s="501" t="str">
        <f>IF($C$1="ENG","door handle-lock (for sliding doors)","ручка-замок (для дверей купе)")</f>
        <v>ручка-замок (для дверей купе)</v>
      </c>
      <c r="C594" s="502"/>
      <c r="D594" s="405">
        <f t="shared" si="93"/>
        <v>466.66666666666669</v>
      </c>
      <c r="E594" s="93">
        <f t="shared" si="94"/>
        <v>560</v>
      </c>
      <c r="F594" s="26"/>
      <c r="G594" s="26"/>
      <c r="I594" s="11"/>
      <c r="J594" s="11"/>
      <c r="K594" s="19"/>
      <c r="AC594" s="298">
        <v>560</v>
      </c>
      <c r="AD594" s="298">
        <v>560</v>
      </c>
      <c r="AE594" s="289">
        <f t="shared" si="95"/>
        <v>0</v>
      </c>
      <c r="AF594" s="289"/>
      <c r="AG594" s="289"/>
      <c r="AH594" s="289"/>
      <c r="AI594" s="289"/>
      <c r="AJ594" s="289"/>
      <c r="AK594" s="289"/>
      <c r="AL594" s="289"/>
    </row>
    <row r="595" spans="2:38">
      <c r="B595" s="501" t="str">
        <f>IF($C$1="ENG","cylinder incert","циліндр несиметричний")</f>
        <v>циліндр несиметричний</v>
      </c>
      <c r="C595" s="502"/>
      <c r="D595" s="405">
        <f t="shared" si="93"/>
        <v>325</v>
      </c>
      <c r="E595" s="93">
        <f t="shared" si="94"/>
        <v>390</v>
      </c>
      <c r="F595" s="26"/>
      <c r="G595" s="26"/>
      <c r="AC595" s="298">
        <v>390</v>
      </c>
      <c r="AD595" s="298">
        <v>390</v>
      </c>
      <c r="AE595" s="289">
        <f t="shared" si="95"/>
        <v>0</v>
      </c>
      <c r="AF595" s="289"/>
      <c r="AG595" s="289"/>
      <c r="AH595" s="289"/>
      <c r="AI595" s="289"/>
      <c r="AJ595" s="289"/>
      <c r="AK595" s="289"/>
      <c r="AL595" s="289"/>
    </row>
    <row r="596" spans="2:38">
      <c r="B596" s="501" t="str">
        <f>IF($C$1="ENG","door hindge Prestige (1 unit)","завіса Prestige (1 шт)")</f>
        <v>завіса Prestige (1 шт)</v>
      </c>
      <c r="C596" s="502"/>
      <c r="D596" s="408">
        <f t="shared" si="93"/>
        <v>216.66666666666669</v>
      </c>
      <c r="E596" s="93">
        <f t="shared" si="94"/>
        <v>260</v>
      </c>
      <c r="F596" s="26"/>
      <c r="G596" s="26"/>
      <c r="AC596" s="298">
        <v>260</v>
      </c>
      <c r="AD596" s="298">
        <v>260</v>
      </c>
      <c r="AE596" s="289">
        <f t="shared" si="95"/>
        <v>0</v>
      </c>
      <c r="AF596" s="289"/>
      <c r="AG596" s="289"/>
      <c r="AH596" s="289"/>
      <c r="AI596" s="289"/>
      <c r="AJ596" s="289"/>
      <c r="AK596" s="289"/>
      <c r="AL596" s="289"/>
    </row>
    <row r="597" spans="2:38">
      <c r="B597" s="501" t="str">
        <f>IF($C$1="ENG","door hinge caps (1 set)","накладка на завіси (1 к-т)")</f>
        <v>накладка на завіси (1 к-т)</v>
      </c>
      <c r="C597" s="502"/>
      <c r="D597" s="408">
        <f t="shared" si="93"/>
        <v>66.666666666666671</v>
      </c>
      <c r="E597" s="93">
        <f t="shared" si="94"/>
        <v>80</v>
      </c>
      <c r="F597" s="26"/>
      <c r="G597" s="26"/>
      <c r="AC597" s="298">
        <v>80</v>
      </c>
      <c r="AD597" s="298">
        <v>80</v>
      </c>
      <c r="AE597" s="289">
        <f t="shared" si="95"/>
        <v>0</v>
      </c>
      <c r="AF597" s="289"/>
      <c r="AG597" s="289"/>
      <c r="AH597" s="289"/>
      <c r="AI597" s="289"/>
      <c r="AJ597" s="289"/>
      <c r="AK597" s="289"/>
      <c r="AL597" s="289"/>
    </row>
    <row r="598" spans="2:38">
      <c r="B598" s="501" t="str">
        <f>IF($C$1="ENG","door handle","дверна ручка")</f>
        <v>дверна ручка</v>
      </c>
      <c r="C598" s="502"/>
      <c r="D598" s="409" t="str">
        <f t="shared" si="93"/>
        <v/>
      </c>
      <c r="E598" s="247" t="str">
        <f>IF($C$1="ENG","see Handles Price","див. Таблицю Ручки")</f>
        <v>див. Таблицю Ручки</v>
      </c>
      <c r="F598" s="26"/>
      <c r="G598" s="26"/>
      <c r="AC598" s="289"/>
      <c r="AD598" s="289"/>
      <c r="AE598" s="289"/>
      <c r="AF598" s="289"/>
      <c r="AG598" s="289"/>
      <c r="AH598" s="289"/>
      <c r="AI598" s="289"/>
      <c r="AJ598" s="289"/>
      <c r="AK598" s="289"/>
      <c r="AL598" s="289"/>
    </row>
    <row r="599" spans="2:38" ht="14.25" customHeight="1">
      <c r="C599" s="245"/>
      <c r="D599" s="26"/>
      <c r="E599" s="26"/>
      <c r="F599" s="26"/>
      <c r="G599" s="26"/>
      <c r="H599" s="5"/>
      <c r="T599" s="503" t="str">
        <f>IF($C$1="ENG",CONCATENATE("down to: ",B649),CONCATENATE("вниз до: ",B649))</f>
        <v>вниз до: Полотна збірні: ЛАДА C</v>
      </c>
      <c r="U599" s="503"/>
      <c r="V599" s="503"/>
      <c r="W599" s="503"/>
    </row>
    <row r="600" spans="2:38" ht="14.25" customHeight="1">
      <c r="C600" s="245"/>
      <c r="D600" s="26"/>
      <c r="E600" s="26"/>
      <c r="F600" s="26"/>
      <c r="G600" s="26"/>
      <c r="H600" s="5"/>
    </row>
    <row r="601" spans="2:38" ht="14.25" customHeight="1">
      <c r="C601" s="245"/>
      <c r="D601" s="26"/>
      <c r="E601" s="26"/>
      <c r="F601" s="26"/>
      <c r="G601" s="26"/>
      <c r="H601" s="5"/>
    </row>
    <row r="602" spans="2:38" ht="14.25" customHeight="1">
      <c r="C602" s="245"/>
      <c r="D602" s="26"/>
      <c r="E602" s="26"/>
      <c r="F602" s="26"/>
      <c r="G602" s="26"/>
      <c r="H602" s="5"/>
    </row>
    <row r="603" spans="2:38" ht="14.25" customHeight="1">
      <c r="C603" s="245"/>
      <c r="D603" s="26"/>
      <c r="E603" s="26"/>
      <c r="F603" s="26"/>
      <c r="G603" s="26"/>
      <c r="H603" s="5"/>
    </row>
    <row r="604" spans="2:38" ht="14.25" customHeight="1">
      <c r="C604" s="245"/>
      <c r="D604" s="26"/>
      <c r="E604" s="26"/>
      <c r="F604" s="26"/>
      <c r="G604" s="26"/>
      <c r="H604" s="5"/>
    </row>
    <row r="605" spans="2:38" ht="14.25" customHeight="1">
      <c r="C605" s="245"/>
      <c r="D605" s="26"/>
      <c r="E605" s="26"/>
      <c r="F605" s="26"/>
      <c r="G605" s="26"/>
      <c r="H605" s="5"/>
    </row>
    <row r="606" spans="2:38" ht="14.25" customHeight="1">
      <c r="C606" s="245"/>
      <c r="D606" s="26"/>
      <c r="E606" s="26"/>
      <c r="F606" s="26"/>
      <c r="G606" s="26"/>
      <c r="H606" s="5"/>
    </row>
    <row r="607" spans="2:38" ht="14.25" customHeight="1">
      <c r="C607" s="245"/>
      <c r="D607" s="26"/>
      <c r="E607" s="26"/>
      <c r="F607" s="26"/>
      <c r="G607" s="26"/>
      <c r="H607" s="5"/>
    </row>
    <row r="608" spans="2:38" ht="14.25" customHeight="1">
      <c r="C608" s="245"/>
      <c r="D608" s="26"/>
      <c r="E608" s="26"/>
      <c r="F608" s="26"/>
      <c r="G608" s="26"/>
      <c r="H608" s="5"/>
    </row>
    <row r="609" spans="3:8" ht="14.25" customHeight="1">
      <c r="C609" s="245"/>
      <c r="D609" s="26"/>
      <c r="E609" s="26"/>
      <c r="F609" s="26"/>
      <c r="G609" s="26"/>
      <c r="H609" s="5"/>
    </row>
    <row r="610" spans="3:8" ht="14.25" customHeight="1">
      <c r="C610" s="245"/>
      <c r="D610" s="26"/>
      <c r="E610" s="26"/>
      <c r="F610" s="26"/>
      <c r="G610" s="26"/>
      <c r="H610" s="5"/>
    </row>
    <row r="611" spans="3:8" ht="14.25" customHeight="1">
      <c r="C611" s="245"/>
      <c r="D611" s="26"/>
      <c r="E611" s="26"/>
      <c r="F611" s="26"/>
      <c r="G611" s="26"/>
      <c r="H611" s="5"/>
    </row>
    <row r="612" spans="3:8" ht="14.25" customHeight="1">
      <c r="C612" s="245"/>
      <c r="D612" s="26"/>
      <c r="E612" s="26"/>
      <c r="F612" s="26"/>
      <c r="G612" s="26"/>
      <c r="H612" s="5"/>
    </row>
    <row r="613" spans="3:8" ht="14.25" customHeight="1">
      <c r="C613" s="245"/>
      <c r="D613" s="26"/>
      <c r="E613" s="26"/>
      <c r="F613" s="26"/>
      <c r="G613" s="26"/>
      <c r="H613" s="5"/>
    </row>
    <row r="614" spans="3:8" ht="14.25" customHeight="1">
      <c r="C614" s="245"/>
      <c r="D614" s="26"/>
      <c r="E614" s="26"/>
      <c r="F614" s="26"/>
      <c r="G614" s="26"/>
      <c r="H614" s="5"/>
    </row>
    <row r="615" spans="3:8" ht="14.25" customHeight="1">
      <c r="C615" s="245"/>
      <c r="D615" s="26"/>
      <c r="E615" s="26"/>
      <c r="F615" s="26"/>
      <c r="G615" s="26"/>
      <c r="H615" s="5"/>
    </row>
    <row r="616" spans="3:8" ht="14.25" customHeight="1">
      <c r="C616" s="245"/>
      <c r="D616" s="26"/>
      <c r="E616" s="26"/>
      <c r="F616" s="26"/>
      <c r="G616" s="26"/>
      <c r="H616" s="5"/>
    </row>
    <row r="617" spans="3:8" ht="14.25" customHeight="1">
      <c r="C617" s="245"/>
      <c r="D617" s="26"/>
      <c r="E617" s="26"/>
      <c r="F617" s="26"/>
      <c r="G617" s="26"/>
      <c r="H617" s="5"/>
    </row>
    <row r="618" spans="3:8" ht="14.25" customHeight="1">
      <c r="C618" s="245"/>
      <c r="D618" s="26"/>
      <c r="E618" s="26"/>
      <c r="F618" s="26"/>
      <c r="G618" s="26"/>
      <c r="H618" s="5"/>
    </row>
    <row r="619" spans="3:8" ht="14.25" customHeight="1">
      <c r="C619" s="245"/>
      <c r="D619" s="26"/>
      <c r="E619" s="26"/>
      <c r="F619" s="26"/>
      <c r="G619" s="26"/>
      <c r="H619" s="5"/>
    </row>
    <row r="620" spans="3:8" ht="14.25" customHeight="1">
      <c r="C620" s="245"/>
      <c r="D620" s="26"/>
      <c r="E620" s="26"/>
      <c r="F620" s="26"/>
      <c r="G620" s="26"/>
      <c r="H620" s="5"/>
    </row>
    <row r="621" spans="3:8" ht="14.25" customHeight="1">
      <c r="C621" s="245"/>
      <c r="D621" s="26"/>
      <c r="E621" s="26"/>
      <c r="F621" s="26"/>
      <c r="G621" s="26"/>
      <c r="H621" s="5"/>
    </row>
    <row r="622" spans="3:8" ht="14.25" customHeight="1">
      <c r="C622" s="245"/>
      <c r="D622" s="26"/>
      <c r="E622" s="26"/>
      <c r="F622" s="26"/>
      <c r="G622" s="26"/>
      <c r="H622" s="5"/>
    </row>
    <row r="623" spans="3:8" ht="14.25" customHeight="1">
      <c r="C623" s="245"/>
      <c r="D623" s="26"/>
      <c r="E623" s="26"/>
      <c r="F623" s="26"/>
      <c r="G623" s="26"/>
      <c r="H623" s="5"/>
    </row>
    <row r="624" spans="3:8" ht="14.25" customHeight="1">
      <c r="C624" s="245"/>
      <c r="D624" s="26"/>
      <c r="E624" s="26"/>
      <c r="F624" s="26"/>
      <c r="G624" s="26"/>
      <c r="H624" s="5"/>
    </row>
    <row r="625" spans="3:8" ht="14.25" customHeight="1">
      <c r="C625" s="245"/>
      <c r="D625" s="26"/>
      <c r="E625" s="26"/>
      <c r="F625" s="26"/>
      <c r="G625" s="26"/>
      <c r="H625" s="5"/>
    </row>
    <row r="626" spans="3:8" ht="14.25" customHeight="1">
      <c r="C626" s="245"/>
      <c r="D626" s="26"/>
      <c r="E626" s="26"/>
      <c r="F626" s="26"/>
      <c r="G626" s="26"/>
      <c r="H626" s="5"/>
    </row>
    <row r="627" spans="3:8" ht="14.25" customHeight="1">
      <c r="C627" s="245"/>
      <c r="D627" s="26"/>
      <c r="E627" s="26"/>
      <c r="F627" s="26"/>
      <c r="G627" s="26"/>
      <c r="H627" s="5"/>
    </row>
    <row r="628" spans="3:8" ht="14.25" customHeight="1">
      <c r="C628" s="245"/>
      <c r="D628" s="26"/>
      <c r="E628" s="26"/>
      <c r="F628" s="26"/>
      <c r="G628" s="26"/>
      <c r="H628" s="5"/>
    </row>
    <row r="629" spans="3:8" ht="14.25" customHeight="1">
      <c r="C629" s="245"/>
      <c r="D629" s="26"/>
      <c r="E629" s="26"/>
      <c r="F629" s="26"/>
      <c r="G629" s="26"/>
      <c r="H629" s="5"/>
    </row>
    <row r="630" spans="3:8" ht="14.25" customHeight="1">
      <c r="C630" s="245"/>
      <c r="D630" s="26"/>
      <c r="E630" s="26"/>
      <c r="F630" s="26"/>
      <c r="G630" s="26"/>
      <c r="H630" s="5"/>
    </row>
    <row r="631" spans="3:8" ht="14.25" customHeight="1">
      <c r="C631" s="245"/>
      <c r="D631" s="26"/>
      <c r="E631" s="26"/>
      <c r="F631" s="26"/>
      <c r="G631" s="26"/>
      <c r="H631" s="5"/>
    </row>
    <row r="632" spans="3:8" ht="14.25" customHeight="1">
      <c r="C632" s="245"/>
      <c r="D632" s="26"/>
      <c r="E632" s="26"/>
      <c r="F632" s="26"/>
      <c r="G632" s="26"/>
      <c r="H632" s="5"/>
    </row>
    <row r="633" spans="3:8" ht="14.25" customHeight="1">
      <c r="C633" s="245"/>
      <c r="D633" s="26"/>
      <c r="E633" s="26"/>
      <c r="F633" s="26"/>
      <c r="G633" s="26"/>
      <c r="H633" s="5"/>
    </row>
    <row r="634" spans="3:8" ht="14.25" customHeight="1">
      <c r="C634" s="245"/>
      <c r="D634" s="26"/>
      <c r="E634" s="26"/>
      <c r="F634" s="26"/>
      <c r="G634" s="26"/>
      <c r="H634" s="5"/>
    </row>
    <row r="635" spans="3:8" ht="14.25" customHeight="1">
      <c r="C635" s="245"/>
      <c r="D635" s="26"/>
      <c r="E635" s="26"/>
      <c r="F635" s="26"/>
      <c r="G635" s="26"/>
      <c r="H635" s="5"/>
    </row>
    <row r="636" spans="3:8" ht="14.25" customHeight="1">
      <c r="C636" s="245"/>
      <c r="D636" s="26"/>
      <c r="E636" s="26"/>
      <c r="F636" s="26"/>
      <c r="G636" s="26"/>
      <c r="H636" s="5"/>
    </row>
    <row r="637" spans="3:8" ht="14.25" customHeight="1">
      <c r="C637" s="245"/>
      <c r="D637" s="26"/>
      <c r="E637" s="26"/>
      <c r="F637" s="26"/>
      <c r="G637" s="26"/>
      <c r="H637" s="5"/>
    </row>
    <row r="638" spans="3:8" ht="14.25" customHeight="1">
      <c r="C638" s="245"/>
      <c r="D638" s="26"/>
      <c r="E638" s="26"/>
      <c r="F638" s="26"/>
      <c r="G638" s="26"/>
      <c r="H638" s="5"/>
    </row>
    <row r="639" spans="3:8" ht="14.25" customHeight="1">
      <c r="C639" s="245"/>
      <c r="D639" s="26"/>
      <c r="E639" s="26"/>
      <c r="F639" s="26"/>
      <c r="G639" s="26"/>
      <c r="H639" s="5"/>
    </row>
    <row r="640" spans="3:8" ht="14.25" customHeight="1">
      <c r="C640" s="245"/>
      <c r="D640" s="26"/>
      <c r="E640" s="26"/>
      <c r="F640" s="26"/>
      <c r="G640" s="26"/>
      <c r="H640" s="5"/>
    </row>
    <row r="641" spans="1:46" ht="14.25" customHeight="1">
      <c r="C641" s="245"/>
      <c r="D641" s="26"/>
      <c r="E641" s="26"/>
      <c r="F641" s="26"/>
      <c r="G641" s="26"/>
      <c r="H641" s="5"/>
    </row>
    <row r="642" spans="1:46" ht="14.25" customHeight="1">
      <c r="C642" s="245"/>
      <c r="D642" s="26"/>
      <c r="E642" s="26"/>
      <c r="F642" s="26"/>
      <c r="G642" s="26"/>
      <c r="H642" s="5"/>
    </row>
    <row r="643" spans="1:46" ht="14.25" customHeight="1">
      <c r="C643" s="245"/>
      <c r="D643" s="26"/>
      <c r="E643" s="26"/>
      <c r="F643" s="26"/>
      <c r="G643" s="26"/>
      <c r="H643" s="5"/>
    </row>
    <row r="644" spans="1:46" ht="14.25" customHeight="1">
      <c r="C644" s="245"/>
      <c r="D644" s="26"/>
      <c r="E644" s="26"/>
      <c r="F644" s="26"/>
      <c r="G644" s="26"/>
      <c r="H644" s="5"/>
    </row>
    <row r="645" spans="1:46" ht="14.25" customHeight="1">
      <c r="C645" s="245"/>
      <c r="D645" s="26"/>
      <c r="E645" s="26"/>
      <c r="F645" s="26"/>
      <c r="G645" s="26"/>
      <c r="H645" s="5"/>
    </row>
    <row r="646" spans="1:46" ht="14.25" customHeight="1">
      <c r="C646" s="245"/>
      <c r="D646" s="26"/>
      <c r="E646" s="26"/>
      <c r="F646" s="26"/>
      <c r="G646" s="26"/>
      <c r="H646" s="5"/>
    </row>
    <row r="647" spans="1:46" ht="14.25" customHeight="1">
      <c r="C647" s="245"/>
      <c r="D647" s="26"/>
      <c r="E647" s="26"/>
      <c r="F647" s="26"/>
      <c r="G647" s="26"/>
      <c r="H647" s="5"/>
    </row>
    <row r="648" spans="1:46" ht="14.25" customHeight="1">
      <c r="C648" s="245"/>
      <c r="D648" s="26"/>
      <c r="E648" s="26"/>
      <c r="F648" s="26"/>
      <c r="G648" s="26"/>
      <c r="H648" s="5"/>
    </row>
    <row r="649" spans="1:46" s="8" customFormat="1">
      <c r="B649" s="494" t="str">
        <f>TITLE!C17</f>
        <v>Полотна збірні: ЛАДА C</v>
      </c>
      <c r="C649" s="494"/>
      <c r="D649" s="118"/>
      <c r="E649" s="118"/>
      <c r="F649" s="118"/>
      <c r="G649" s="118"/>
      <c r="H649" s="496"/>
      <c r="I649" s="496"/>
      <c r="J649" s="121"/>
      <c r="K649" s="121"/>
      <c r="L649" s="121"/>
      <c r="M649" s="121"/>
      <c r="N649" s="121"/>
      <c r="O649" s="121"/>
      <c r="P649" s="121"/>
      <c r="Q649" s="121"/>
      <c r="R649" s="121"/>
      <c r="S649" s="121"/>
      <c r="T649" s="517" t="str">
        <f>IF($C$1="ENG",CONCATENATE("up to: ",B575),CONCATENATE("вгору до: ",B575))</f>
        <v>вгору до: Полотна збірні: ЛАДА B</v>
      </c>
      <c r="U649" s="517"/>
      <c r="V649" s="517"/>
      <c r="W649" s="517"/>
      <c r="AN649" s="280"/>
      <c r="AO649" s="280"/>
      <c r="AP649" s="280"/>
      <c r="AQ649" s="280"/>
      <c r="AR649" s="280"/>
      <c r="AS649" s="280"/>
      <c r="AT649" s="280"/>
    </row>
    <row r="650" spans="1:46" s="8" customFormat="1" ht="5.0999999999999996" customHeight="1">
      <c r="B650" s="117"/>
      <c r="C650" s="420"/>
      <c r="D650" s="9"/>
      <c r="E650" s="9"/>
      <c r="F650" s="9"/>
      <c r="G650" s="9"/>
      <c r="H650" s="120"/>
      <c r="I650" s="120"/>
      <c r="T650" s="115"/>
      <c r="U650" s="115"/>
      <c r="V650" s="115"/>
      <c r="W650" s="115"/>
      <c r="AN650" s="280"/>
      <c r="AO650" s="280"/>
      <c r="AP650" s="280"/>
      <c r="AQ650" s="280"/>
      <c r="AR650" s="280"/>
      <c r="AS650" s="280"/>
      <c r="AT650" s="280"/>
    </row>
    <row r="651" spans="1:46" s="8" customFormat="1" ht="12.75" customHeight="1">
      <c r="B651" s="509" t="str">
        <f>IF($C$1="ENG","model","модель")</f>
        <v>модель</v>
      </c>
      <c r="C651" s="122" t="str">
        <f>IF($C$1="ENG","cover:","покриття:")</f>
        <v>покриття:</v>
      </c>
      <c r="D651" s="498" t="str">
        <f>IF($C$1="ENG","Verto-CELL","Verto-CELL")</f>
        <v>Verto-CELL</v>
      </c>
      <c r="E651" s="500"/>
      <c r="F651" s="498" t="str">
        <f>IF($C$1="ENG","UNI-MAT","UNI-MAT")</f>
        <v>UNI-MAT</v>
      </c>
      <c r="G651" s="500"/>
      <c r="H651" s="498" t="str">
        <f>IF($C$1="ENG","RESIST","RESIST")</f>
        <v>RESIST</v>
      </c>
      <c r="I651" s="500"/>
      <c r="J651" s="498" t="str">
        <f>IF($C$1="ENG","Verto LINE-3D","Verto LINE-3D")</f>
        <v>Verto LINE-3D</v>
      </c>
      <c r="K651" s="500"/>
      <c r="L651" s="498" t="str">
        <f>IF($C$1="ENG","ECO Shpon","ЕКО Шпон")</f>
        <v>ЕКО Шпон</v>
      </c>
      <c r="M651" s="500"/>
      <c r="P651" s="1"/>
      <c r="Q651" s="1"/>
      <c r="T651" s="115"/>
      <c r="U651" s="115"/>
      <c r="V651" s="115"/>
      <c r="W651" s="115"/>
      <c r="AN651" s="280"/>
      <c r="AO651" s="280"/>
      <c r="AP651" s="280"/>
      <c r="AQ651" s="280"/>
      <c r="AR651" s="280"/>
      <c r="AS651" s="280"/>
      <c r="AT651" s="280"/>
    </row>
    <row r="652" spans="1:46" s="8" customFormat="1" ht="24.75" customHeight="1">
      <c r="B652" s="510"/>
      <c r="C652" s="123" t="str">
        <f>IF($C$1="ENG","filling:","заповнення:")</f>
        <v>заповнення:</v>
      </c>
      <c r="D652" s="505" t="str">
        <f>IF($C$1="ENG","softwood","клеєний сосновий брус")</f>
        <v>клеєний сосновий брус</v>
      </c>
      <c r="E652" s="506"/>
      <c r="F652" s="505" t="str">
        <f>IF($C$1="ENG","softwood","клеєний сосновий брус")</f>
        <v>клеєний сосновий брус</v>
      </c>
      <c r="G652" s="506"/>
      <c r="H652" s="505" t="str">
        <f>IF($C$1="ENG","softwood","клеєний сосновий брус")</f>
        <v>клеєний сосновий брус</v>
      </c>
      <c r="I652" s="506"/>
      <c r="J652" s="505" t="str">
        <f>IF($C$1="ENG","softwood","клеєний сосновий брус")</f>
        <v>клеєний сосновий брус</v>
      </c>
      <c r="K652" s="506"/>
      <c r="L652" s="505" t="str">
        <f>IF($C$1="ENG","softwood","клеєний сосновий брус")</f>
        <v>клеєний сосновий брус</v>
      </c>
      <c r="M652" s="506"/>
      <c r="P652" s="1"/>
      <c r="Q652" s="1"/>
      <c r="T652" s="115"/>
      <c r="U652" s="115"/>
      <c r="V652" s="115"/>
      <c r="W652" s="115"/>
      <c r="AD652" s="383">
        <f>AD654/AC654-1</f>
        <v>0.13991163475699553</v>
      </c>
      <c r="AE652" s="383">
        <f>AE654/AD654-1</f>
        <v>4.0051679586563305E-2</v>
      </c>
      <c r="AF652" s="383">
        <f>AF654/AE654-1</f>
        <v>8.9440993788819867E-2</v>
      </c>
      <c r="AG652" s="383">
        <f>AG654/AF654-1</f>
        <v>4.903078677309014E-2</v>
      </c>
      <c r="AN652" s="280"/>
      <c r="AO652" s="280"/>
      <c r="AP652" s="280"/>
      <c r="AQ652" s="280"/>
      <c r="AR652" s="280"/>
      <c r="AS652" s="280"/>
      <c r="AT652" s="280"/>
    </row>
    <row r="653" spans="1:46" ht="12.75" customHeight="1">
      <c r="A653" s="8"/>
      <c r="B653" s="511"/>
      <c r="C653" s="124" t="str">
        <f>IF($C$1="ENG","glazing:","скління:")</f>
        <v>скління:</v>
      </c>
      <c r="D653" s="489" t="str">
        <f>IF($C$1="ENG","Satin","Сатин")</f>
        <v>Сатин</v>
      </c>
      <c r="E653" s="492"/>
      <c r="F653" s="489" t="str">
        <f>IF($C$1="ENG","Satin","Сатин")</f>
        <v>Сатин</v>
      </c>
      <c r="G653" s="492"/>
      <c r="H653" s="489" t="str">
        <f>IF($C$1="ENG","Satin","Сатин")</f>
        <v>Сатин</v>
      </c>
      <c r="I653" s="492"/>
      <c r="J653" s="489" t="str">
        <f>IF($C$1="ENG","Satin","Сатин")</f>
        <v>Сатин</v>
      </c>
      <c r="K653" s="492"/>
      <c r="L653" s="489" t="str">
        <f>IF($C$1="ENG","Satin","Сатин")</f>
        <v>Сатин</v>
      </c>
      <c r="M653" s="492"/>
    </row>
    <row r="654" spans="1:46" ht="35.1" customHeight="1">
      <c r="A654" s="8"/>
      <c r="B654" s="16" t="s">
        <v>41</v>
      </c>
      <c r="C654" s="17"/>
      <c r="D654" s="18">
        <f>IF(AC654="","",(1-$W$2)*(AC654/1.2))</f>
        <v>5658.3333333333339</v>
      </c>
      <c r="E654" s="66">
        <f>IF($W$5=0.2,D654*1.2,D654)/$W$4</f>
        <v>6790.0000000000009</v>
      </c>
      <c r="F654" s="18">
        <f>IF(AD654="","",(1-$W$2)*(AD654/1.2))</f>
        <v>6450</v>
      </c>
      <c r="G654" s="66">
        <f>IF($W$5=0.2,F654*1.2,F654)/$W$4</f>
        <v>7740</v>
      </c>
      <c r="H654" s="18">
        <f>IF(AE654="","",(1-$W$2)*(AE654/1.2))</f>
        <v>6708.3333333333339</v>
      </c>
      <c r="I654" s="66">
        <f>IF($W$5=0.2,H654*1.2,H654)/$W$4</f>
        <v>8050</v>
      </c>
      <c r="J654" s="18">
        <f>IF(AF654="","",(1-$W$2)*(AF654/1.2))</f>
        <v>7308.3333333333339</v>
      </c>
      <c r="K654" s="66">
        <f>IF($W$5=0.2,J654*1.2,J654)/$W$4</f>
        <v>8770</v>
      </c>
      <c r="L654" s="18">
        <f>IF(AG654="","",(1-$W$2)*(AG654/1.2))</f>
        <v>7666.666666666667</v>
      </c>
      <c r="M654" s="66">
        <f>IF($W$5=0.2,L654*1.2,L654)/$W$4</f>
        <v>9200</v>
      </c>
      <c r="N654" s="104"/>
      <c r="R654" s="104"/>
      <c r="T654" s="104"/>
      <c r="U654" s="20"/>
      <c r="V654" s="104"/>
      <c r="W654" s="20"/>
      <c r="X654" s="104"/>
      <c r="Y654" s="104"/>
      <c r="Z654" s="104"/>
      <c r="AA654" s="104"/>
      <c r="AB654" s="104"/>
      <c r="AC654" s="332">
        <v>6790</v>
      </c>
      <c r="AD654" s="391">
        <v>7740</v>
      </c>
      <c r="AE654" s="332">
        <v>8050</v>
      </c>
      <c r="AF654" s="332">
        <v>8770</v>
      </c>
      <c r="AG654" s="332">
        <v>9200</v>
      </c>
      <c r="AH654" s="289">
        <v>6790</v>
      </c>
      <c r="AI654" s="289">
        <f>AH654/AC654-1</f>
        <v>0</v>
      </c>
      <c r="AJ654" s="289">
        <v>7740</v>
      </c>
      <c r="AK654" s="289">
        <f>AJ654/AD654-1</f>
        <v>0</v>
      </c>
      <c r="AL654" s="289">
        <v>8050</v>
      </c>
      <c r="AM654" s="1">
        <f>AL654/AE654-1</f>
        <v>0</v>
      </c>
      <c r="AN654" s="30">
        <v>8770</v>
      </c>
      <c r="AO654" s="1">
        <f>AN654/AF654-1</f>
        <v>0</v>
      </c>
      <c r="AP654" s="1">
        <v>9200</v>
      </c>
      <c r="AQ654" s="1">
        <f>AP654/AG654-1</f>
        <v>0</v>
      </c>
    </row>
    <row r="655" spans="1:46" ht="35.1" customHeight="1">
      <c r="A655" s="8"/>
      <c r="B655" s="23" t="s">
        <v>42</v>
      </c>
      <c r="C655" s="24"/>
      <c r="D655" s="25">
        <f>IF(AC655="","",(1-$W$2)*(AC655/1.2))</f>
        <v>5658.3333333333339</v>
      </c>
      <c r="E655" s="69">
        <f>IF($W$5=0.2,D655*1.2,D655)/$W$4</f>
        <v>6790.0000000000009</v>
      </c>
      <c r="F655" s="25">
        <f>IF(AD655="","",(1-$W$2)*(AD655/1.2))</f>
        <v>6450</v>
      </c>
      <c r="G655" s="69">
        <f>IF($W$5=0.2,F655*1.2,F655)/$W$4</f>
        <v>7740</v>
      </c>
      <c r="H655" s="25">
        <f>IF(AE655="","",(1-$W$2)*(AE655/1.2))</f>
        <v>6708.3333333333339</v>
      </c>
      <c r="I655" s="69">
        <f>IF($W$5=0.2,H655*1.2,H655)/$W$4</f>
        <v>8050</v>
      </c>
      <c r="J655" s="25">
        <f>IF(AF655="","",(1-$W$2)*(AF655/1.2))</f>
        <v>7308.3333333333339</v>
      </c>
      <c r="K655" s="69">
        <f>IF($W$5=0.2,J655*1.2,J655)/$W$4</f>
        <v>8770</v>
      </c>
      <c r="L655" s="25">
        <f>IF(AG655="","",(1-$W$2)*(AG655/1.2))</f>
        <v>7666.666666666667</v>
      </c>
      <c r="M655" s="69">
        <f>IF($W$5=0.2,L655*1.2,L655)/$W$4</f>
        <v>9200</v>
      </c>
      <c r="N655" s="104"/>
      <c r="R655" s="104"/>
      <c r="T655" s="104"/>
      <c r="U655" s="20"/>
      <c r="V655" s="104"/>
      <c r="W655" s="20"/>
      <c r="X655" s="104"/>
      <c r="Y655" s="104"/>
      <c r="Z655" s="104"/>
      <c r="AA655" s="104"/>
      <c r="AB655" s="104"/>
      <c r="AC655" s="332">
        <v>6790</v>
      </c>
      <c r="AD655" s="391">
        <v>7740</v>
      </c>
      <c r="AE655" s="332">
        <v>8050</v>
      </c>
      <c r="AF655" s="332">
        <v>8770</v>
      </c>
      <c r="AG655" s="332">
        <v>9200</v>
      </c>
      <c r="AH655" s="289">
        <v>6790</v>
      </c>
      <c r="AI655" s="289">
        <f>AH655/AC655-1</f>
        <v>0</v>
      </c>
      <c r="AJ655" s="289">
        <v>7740</v>
      </c>
      <c r="AK655" s="289">
        <f>AJ655/AD655-1</f>
        <v>0</v>
      </c>
      <c r="AL655" s="289">
        <v>8050</v>
      </c>
      <c r="AM655" s="1">
        <f>AL655/AE655-1</f>
        <v>0</v>
      </c>
      <c r="AN655" s="30">
        <v>8770</v>
      </c>
      <c r="AO655" s="1">
        <f>AN655/AF655-1</f>
        <v>0</v>
      </c>
      <c r="AP655" s="1">
        <v>9200</v>
      </c>
      <c r="AQ655" s="1">
        <f>AP655/AG655-1</f>
        <v>0</v>
      </c>
    </row>
    <row r="656" spans="1:46">
      <c r="C656" s="245"/>
      <c r="D656" s="26"/>
      <c r="E656" s="57"/>
      <c r="F656" s="26"/>
      <c r="G656" s="57"/>
      <c r="H656" s="10"/>
      <c r="I656" s="8"/>
      <c r="J656" s="8"/>
      <c r="K656" s="8"/>
    </row>
    <row r="657" spans="2:38">
      <c r="B657" s="212" t="str">
        <f>IF($C$1="ENG","For additonal charge:","Послуги за додаткову плату:")</f>
        <v>Послуги за додаткову плату:</v>
      </c>
      <c r="C657" s="421"/>
      <c r="D657" s="213"/>
      <c r="E657" s="214"/>
      <c r="F657" s="26"/>
      <c r="G657" s="57"/>
      <c r="H657" s="10"/>
      <c r="I657" s="8"/>
      <c r="J657" s="8"/>
      <c r="K657" s="8"/>
    </row>
    <row r="658" spans="2:38" ht="5.0999999999999996" customHeight="1">
      <c r="B658" s="27"/>
      <c r="C658" s="245"/>
      <c r="D658" s="26"/>
      <c r="E658" s="57"/>
      <c r="F658" s="26"/>
      <c r="G658" s="57"/>
      <c r="H658" s="10"/>
      <c r="I658" s="8"/>
      <c r="J658" s="8"/>
      <c r="K658" s="8"/>
    </row>
    <row r="659" spans="2:38">
      <c r="B659" s="514" t="str">
        <f>IF($C$1="ENG","door leaf with width 100","полотно розміром 100")</f>
        <v>полотно розміром 100</v>
      </c>
      <c r="C659" s="515"/>
      <c r="D659" s="410">
        <f t="shared" ref="D659:D670" si="100">IF(AC659="","",(1-$W$2)*(AC659/1.2))</f>
        <v>600</v>
      </c>
      <c r="E659" s="92">
        <f t="shared" ref="E659:E669" si="101">IF($W$5=0.2,D659*1.2,D659)/$W$4</f>
        <v>720</v>
      </c>
      <c r="F659" s="26"/>
      <c r="G659" s="26"/>
      <c r="H659" s="10"/>
      <c r="I659" s="8"/>
      <c r="J659" s="8"/>
      <c r="K659" s="8"/>
      <c r="AC659" s="289">
        <v>720</v>
      </c>
      <c r="AD659" s="298">
        <v>720</v>
      </c>
      <c r="AE659" s="289">
        <f>AD659/AC659-1</f>
        <v>0</v>
      </c>
      <c r="AF659" s="289"/>
      <c r="AG659" s="289"/>
      <c r="AH659" s="289"/>
      <c r="AI659" s="289"/>
      <c r="AJ659" s="289"/>
      <c r="AK659" s="289"/>
      <c r="AL659" s="289"/>
    </row>
    <row r="660" spans="2:38">
      <c r="B660" s="514" t="str">
        <f>IF($C$1="ENG","Ventilation cut","вентиляційний підріз")</f>
        <v>вентиляційний підріз</v>
      </c>
      <c r="C660" s="515"/>
      <c r="D660" s="405">
        <f t="shared" si="100"/>
        <v>141.66666666666669</v>
      </c>
      <c r="E660" s="66">
        <f t="shared" si="101"/>
        <v>170.00000000000003</v>
      </c>
      <c r="F660" s="26"/>
      <c r="G660" s="26"/>
      <c r="I660" s="59"/>
      <c r="J660" s="28"/>
      <c r="AC660" s="289">
        <v>170</v>
      </c>
      <c r="AD660" s="298">
        <v>170</v>
      </c>
      <c r="AE660" s="289"/>
      <c r="AF660" s="289"/>
      <c r="AG660" s="289"/>
      <c r="AH660" s="289"/>
      <c r="AI660" s="289"/>
      <c r="AJ660" s="289"/>
      <c r="AK660" s="289"/>
      <c r="AL660" s="289"/>
    </row>
    <row r="661" spans="2:38">
      <c r="B661" s="501" t="str">
        <f>IF($C$1="ENG","glazing Graphite / Bronze","скло Графіт / Бронза")</f>
        <v>скло Графіт / Бронза</v>
      </c>
      <c r="C661" s="502"/>
      <c r="D661" s="407">
        <f t="shared" si="100"/>
        <v>458.33333333333337</v>
      </c>
      <c r="E661" s="93">
        <f t="shared" si="101"/>
        <v>550</v>
      </c>
      <c r="F661" s="26"/>
      <c r="G661" s="26"/>
      <c r="H661" s="5"/>
      <c r="AC661" s="289">
        <v>550</v>
      </c>
      <c r="AD661" s="298">
        <v>550</v>
      </c>
      <c r="AE661" s="289"/>
      <c r="AF661" s="289"/>
      <c r="AG661" s="289"/>
      <c r="AH661" s="289"/>
      <c r="AI661" s="289"/>
      <c r="AJ661" s="289"/>
      <c r="AK661" s="289"/>
      <c r="AL661" s="289"/>
    </row>
    <row r="662" spans="2:38">
      <c r="B662" s="501" t="str">
        <f>IF($C$1="ENG","door lock Soft","замок Soft")</f>
        <v>замок Soft</v>
      </c>
      <c r="C662" s="502"/>
      <c r="D662" s="407">
        <f t="shared" si="100"/>
        <v>458.33333333333337</v>
      </c>
      <c r="E662" s="93">
        <f t="shared" si="101"/>
        <v>550</v>
      </c>
      <c r="F662" s="26"/>
      <c r="G662" s="26"/>
      <c r="H662" s="5"/>
      <c r="AC662" s="289">
        <v>550</v>
      </c>
      <c r="AD662" s="298">
        <v>550</v>
      </c>
      <c r="AE662" s="289"/>
      <c r="AF662" s="289"/>
      <c r="AG662" s="289"/>
      <c r="AH662" s="289"/>
      <c r="AI662" s="289"/>
      <c r="AJ662" s="289"/>
      <c r="AK662" s="289"/>
      <c r="AL662" s="289"/>
    </row>
    <row r="663" spans="2:38">
      <c r="B663" s="501" t="str">
        <f>IF($C$1="ENG","door lock Soft black","замок Soft чорн.")</f>
        <v>замок Soft чорн.</v>
      </c>
      <c r="C663" s="502"/>
      <c r="D663" s="407">
        <f t="shared" ref="D663" si="102">IF(AC663="","",(1-$W$2)*(AC663/1.2))</f>
        <v>566.66666666666674</v>
      </c>
      <c r="E663" s="93">
        <f t="shared" ref="E663" si="103">IF($W$5=0.2,D663*1.2,D663)/$W$4</f>
        <v>680.00000000000011</v>
      </c>
      <c r="F663" s="26"/>
      <c r="G663" s="26"/>
      <c r="H663" s="5"/>
      <c r="AC663" s="289">
        <v>680</v>
      </c>
      <c r="AD663" s="298"/>
      <c r="AE663" s="289"/>
      <c r="AF663" s="289"/>
      <c r="AG663" s="289"/>
      <c r="AH663" s="289"/>
      <c r="AI663" s="289"/>
      <c r="AJ663" s="289"/>
      <c r="AK663" s="289"/>
      <c r="AL663" s="289"/>
    </row>
    <row r="664" spans="2:38">
      <c r="B664" s="501" t="str">
        <f>IF($C$1="ENG","door lock Magnet","замок Magnet")</f>
        <v>замок Magnet</v>
      </c>
      <c r="C664" s="502"/>
      <c r="D664" s="407">
        <f t="shared" si="100"/>
        <v>666.66666666666674</v>
      </c>
      <c r="E664" s="93">
        <f t="shared" si="101"/>
        <v>800.00000000000011</v>
      </c>
      <c r="F664" s="26"/>
      <c r="G664" s="26"/>
      <c r="H664" s="5"/>
      <c r="AC664" s="289">
        <v>800</v>
      </c>
      <c r="AD664" s="298">
        <v>800</v>
      </c>
      <c r="AE664" s="289"/>
      <c r="AF664" s="289"/>
      <c r="AG664" s="289"/>
      <c r="AH664" s="289"/>
      <c r="AI664" s="289"/>
      <c r="AJ664" s="289"/>
      <c r="AK664" s="289"/>
      <c r="AL664" s="289"/>
    </row>
    <row r="665" spans="2:38">
      <c r="B665" s="501" t="s">
        <v>76</v>
      </c>
      <c r="C665" s="502"/>
      <c r="D665" s="407">
        <f t="shared" ref="D665" si="104">IF(AC665="","",(1-$W$2)*(AC665/1.2))</f>
        <v>833.33333333333337</v>
      </c>
      <c r="E665" s="93">
        <f t="shared" ref="E665" si="105">IF($W$5=0.2,D665*1.2,D665)/$W$4</f>
        <v>1000</v>
      </c>
      <c r="F665" s="26"/>
      <c r="G665" s="26"/>
      <c r="H665" s="5"/>
      <c r="AC665" s="289">
        <v>1000</v>
      </c>
      <c r="AD665" s="298"/>
      <c r="AE665" s="289"/>
      <c r="AF665" s="289"/>
      <c r="AG665" s="289"/>
      <c r="AH665" s="289"/>
      <c r="AI665" s="289"/>
      <c r="AJ665" s="289"/>
      <c r="AK665" s="289"/>
      <c r="AL665" s="289"/>
    </row>
    <row r="666" spans="2:38">
      <c r="B666" s="501" t="str">
        <f>IF($C$1="ENG","door handle-lock (for sliding doors)","ручка-замок (для дверей купе)")</f>
        <v>ручка-замок (для дверей купе)</v>
      </c>
      <c r="C666" s="502"/>
      <c r="D666" s="405">
        <f t="shared" si="100"/>
        <v>466.66666666666669</v>
      </c>
      <c r="E666" s="93">
        <f t="shared" si="101"/>
        <v>560</v>
      </c>
      <c r="F666" s="26"/>
      <c r="G666" s="26"/>
      <c r="I666" s="11"/>
      <c r="J666" s="11"/>
      <c r="K666" s="19"/>
      <c r="AC666" s="289">
        <v>560</v>
      </c>
      <c r="AD666" s="298">
        <v>560</v>
      </c>
      <c r="AE666" s="289"/>
      <c r="AF666" s="289"/>
      <c r="AG666" s="289"/>
      <c r="AH666" s="289"/>
      <c r="AI666" s="289"/>
      <c r="AJ666" s="289"/>
      <c r="AK666" s="289"/>
      <c r="AL666" s="289"/>
    </row>
    <row r="667" spans="2:38">
      <c r="B667" s="501" t="str">
        <f>IF($C$1="ENG","cylinder incert","циліндр несиметричний")</f>
        <v>циліндр несиметричний</v>
      </c>
      <c r="C667" s="502"/>
      <c r="D667" s="405">
        <f t="shared" si="100"/>
        <v>325</v>
      </c>
      <c r="E667" s="93">
        <f t="shared" si="101"/>
        <v>390</v>
      </c>
      <c r="F667" s="26"/>
      <c r="G667" s="26"/>
      <c r="AC667" s="289">
        <v>390</v>
      </c>
      <c r="AD667" s="298">
        <v>390</v>
      </c>
      <c r="AE667" s="289"/>
      <c r="AF667" s="289"/>
      <c r="AG667" s="289"/>
      <c r="AH667" s="289"/>
      <c r="AI667" s="289"/>
      <c r="AJ667" s="289"/>
      <c r="AK667" s="289"/>
      <c r="AL667" s="289"/>
    </row>
    <row r="668" spans="2:38">
      <c r="B668" s="501" t="str">
        <f>IF($C$1="ENG","door hindge Prestige (1 unit)","завіса Prestige (1 шт)")</f>
        <v>завіса Prestige (1 шт)</v>
      </c>
      <c r="C668" s="502"/>
      <c r="D668" s="408">
        <f t="shared" si="100"/>
        <v>216.66666666666669</v>
      </c>
      <c r="E668" s="93">
        <f t="shared" si="101"/>
        <v>260</v>
      </c>
      <c r="F668" s="26"/>
      <c r="G668" s="26"/>
      <c r="AC668" s="289">
        <v>260</v>
      </c>
      <c r="AD668" s="298">
        <v>260</v>
      </c>
      <c r="AE668" s="289"/>
      <c r="AF668" s="289"/>
      <c r="AG668" s="289"/>
      <c r="AH668" s="289"/>
      <c r="AI668" s="289"/>
      <c r="AJ668" s="289"/>
      <c r="AK668" s="289"/>
      <c r="AL668" s="289"/>
    </row>
    <row r="669" spans="2:38">
      <c r="B669" s="501" t="str">
        <f>IF($C$1="ENG","door hinge caps (1 set)","накладка на завіси (1 к-т)")</f>
        <v>накладка на завіси (1 к-т)</v>
      </c>
      <c r="C669" s="502"/>
      <c r="D669" s="408">
        <f t="shared" si="100"/>
        <v>66.666666666666671</v>
      </c>
      <c r="E669" s="93">
        <f t="shared" si="101"/>
        <v>80</v>
      </c>
      <c r="F669" s="26"/>
      <c r="G669" s="26"/>
      <c r="AC669" s="289">
        <v>80</v>
      </c>
      <c r="AD669" s="298">
        <v>80</v>
      </c>
      <c r="AE669" s="289"/>
      <c r="AF669" s="289"/>
      <c r="AG669" s="289"/>
      <c r="AH669" s="289"/>
      <c r="AI669" s="289"/>
      <c r="AJ669" s="289"/>
      <c r="AK669" s="289"/>
      <c r="AL669" s="289"/>
    </row>
    <row r="670" spans="2:38">
      <c r="B670" s="501" t="str">
        <f>IF($C$1="ENG","door handle","дверна ручка")</f>
        <v>дверна ручка</v>
      </c>
      <c r="C670" s="502"/>
      <c r="D670" s="409" t="str">
        <f t="shared" si="100"/>
        <v/>
      </c>
      <c r="E670" s="247" t="str">
        <f>IF($C$1="ENG","see Handles Price","див. Таблицю Ручки")</f>
        <v>див. Таблицю Ручки</v>
      </c>
      <c r="F670" s="26"/>
      <c r="G670" s="26"/>
      <c r="AC670" s="289"/>
      <c r="AD670" s="289"/>
      <c r="AE670" s="289"/>
      <c r="AF670" s="289"/>
      <c r="AG670" s="289"/>
      <c r="AH670" s="289"/>
      <c r="AI670" s="289"/>
      <c r="AJ670" s="289"/>
      <c r="AK670" s="289"/>
      <c r="AL670" s="289"/>
    </row>
    <row r="671" spans="2:38" ht="14.25" customHeight="1">
      <c r="C671" s="245"/>
      <c r="D671" s="26"/>
      <c r="E671" s="26"/>
      <c r="F671" s="26"/>
      <c r="G671" s="26"/>
      <c r="H671" s="5"/>
      <c r="T671" s="503" t="str">
        <f>IF($C$1="ENG",CONCATENATE("down to: ",B721),CONCATENATE("вниз до: ",B721))</f>
        <v>вниз до: Полотна збірні: ЛАДА D</v>
      </c>
      <c r="U671" s="503"/>
      <c r="V671" s="503"/>
      <c r="W671" s="503"/>
    </row>
    <row r="672" spans="2:38" ht="14.25" customHeight="1">
      <c r="C672" s="245"/>
      <c r="D672" s="26"/>
      <c r="E672" s="26"/>
      <c r="F672" s="26"/>
      <c r="G672" s="26"/>
      <c r="H672" s="5"/>
    </row>
    <row r="673" spans="3:8" ht="14.25" customHeight="1">
      <c r="C673" s="245"/>
      <c r="D673" s="26"/>
      <c r="E673" s="26"/>
      <c r="F673" s="26"/>
      <c r="G673" s="26"/>
      <c r="H673" s="5"/>
    </row>
    <row r="674" spans="3:8" ht="14.25" customHeight="1">
      <c r="C674" s="245"/>
      <c r="D674" s="26"/>
      <c r="E674" s="26"/>
      <c r="F674" s="26"/>
      <c r="G674" s="26"/>
      <c r="H674" s="5"/>
    </row>
    <row r="675" spans="3:8" ht="14.25" customHeight="1">
      <c r="C675" s="245"/>
      <c r="D675" s="26"/>
      <c r="E675" s="26"/>
      <c r="F675" s="26"/>
      <c r="G675" s="26"/>
      <c r="H675" s="5"/>
    </row>
    <row r="676" spans="3:8" ht="14.25" customHeight="1">
      <c r="C676" s="245"/>
      <c r="D676" s="26"/>
      <c r="E676" s="26"/>
      <c r="F676" s="26"/>
      <c r="G676" s="26"/>
      <c r="H676" s="5"/>
    </row>
    <row r="677" spans="3:8" ht="14.25" customHeight="1">
      <c r="C677" s="245"/>
      <c r="D677" s="26"/>
      <c r="E677" s="26"/>
      <c r="F677" s="26"/>
      <c r="G677" s="26"/>
      <c r="H677" s="5"/>
    </row>
    <row r="678" spans="3:8" ht="14.25" customHeight="1">
      <c r="C678" s="245"/>
      <c r="D678" s="26"/>
      <c r="E678" s="26"/>
      <c r="F678" s="26"/>
      <c r="G678" s="26"/>
      <c r="H678" s="5"/>
    </row>
    <row r="679" spans="3:8" ht="14.25" customHeight="1">
      <c r="C679" s="245"/>
      <c r="D679" s="26"/>
      <c r="E679" s="26"/>
      <c r="F679" s="26"/>
      <c r="G679" s="26"/>
      <c r="H679" s="5"/>
    </row>
    <row r="680" spans="3:8" ht="14.25" customHeight="1">
      <c r="C680" s="245"/>
      <c r="D680" s="26"/>
      <c r="E680" s="26"/>
      <c r="F680" s="26"/>
      <c r="G680" s="26"/>
      <c r="H680" s="5"/>
    </row>
    <row r="681" spans="3:8" ht="14.25" customHeight="1">
      <c r="C681" s="245"/>
      <c r="D681" s="26"/>
      <c r="E681" s="26"/>
      <c r="F681" s="26"/>
      <c r="G681" s="26"/>
      <c r="H681" s="5"/>
    </row>
    <row r="682" spans="3:8" ht="14.25" customHeight="1">
      <c r="C682" s="245"/>
      <c r="D682" s="26"/>
      <c r="E682" s="26"/>
      <c r="F682" s="26"/>
      <c r="G682" s="26"/>
      <c r="H682" s="5"/>
    </row>
    <row r="683" spans="3:8" ht="14.25" customHeight="1">
      <c r="C683" s="245"/>
      <c r="D683" s="26"/>
      <c r="E683" s="26"/>
      <c r="F683" s="26"/>
      <c r="G683" s="26"/>
      <c r="H683" s="5"/>
    </row>
    <row r="684" spans="3:8" ht="14.25" customHeight="1">
      <c r="C684" s="245"/>
      <c r="D684" s="26"/>
      <c r="E684" s="26"/>
      <c r="F684" s="26"/>
      <c r="G684" s="26"/>
      <c r="H684" s="5"/>
    </row>
    <row r="685" spans="3:8" ht="14.25" customHeight="1">
      <c r="C685" s="245"/>
      <c r="D685" s="26"/>
      <c r="E685" s="26"/>
      <c r="F685" s="26"/>
      <c r="G685" s="26"/>
      <c r="H685" s="5"/>
    </row>
    <row r="686" spans="3:8" ht="14.25" customHeight="1">
      <c r="C686" s="245"/>
      <c r="D686" s="26"/>
      <c r="E686" s="26"/>
      <c r="F686" s="26"/>
      <c r="G686" s="26"/>
      <c r="H686" s="5"/>
    </row>
    <row r="687" spans="3:8" ht="14.25" customHeight="1">
      <c r="C687" s="245"/>
      <c r="D687" s="26"/>
      <c r="E687" s="26"/>
      <c r="F687" s="26"/>
      <c r="G687" s="26"/>
      <c r="H687" s="5"/>
    </row>
    <row r="688" spans="3:8" ht="14.25" customHeight="1">
      <c r="C688" s="245"/>
      <c r="D688" s="26"/>
      <c r="E688" s="26"/>
      <c r="F688" s="26"/>
      <c r="G688" s="26"/>
      <c r="H688" s="5"/>
    </row>
    <row r="689" spans="3:8" ht="14.25" customHeight="1">
      <c r="C689" s="245"/>
      <c r="D689" s="26"/>
      <c r="E689" s="26"/>
      <c r="F689" s="26"/>
      <c r="G689" s="26"/>
      <c r="H689" s="5"/>
    </row>
    <row r="690" spans="3:8" ht="14.25" customHeight="1">
      <c r="C690" s="245"/>
      <c r="D690" s="26"/>
      <c r="E690" s="26"/>
      <c r="F690" s="26"/>
      <c r="G690" s="26"/>
      <c r="H690" s="5"/>
    </row>
    <row r="691" spans="3:8" ht="14.25" customHeight="1">
      <c r="C691" s="245"/>
      <c r="D691" s="26"/>
      <c r="E691" s="26"/>
      <c r="F691" s="26"/>
      <c r="G691" s="26"/>
      <c r="H691" s="5"/>
    </row>
    <row r="692" spans="3:8" ht="14.25" customHeight="1">
      <c r="C692" s="245"/>
      <c r="D692" s="26"/>
      <c r="E692" s="26"/>
      <c r="F692" s="26"/>
      <c r="G692" s="26"/>
      <c r="H692" s="5"/>
    </row>
    <row r="693" spans="3:8" ht="14.25" customHeight="1">
      <c r="C693" s="245"/>
      <c r="D693" s="26"/>
      <c r="E693" s="26"/>
      <c r="F693" s="26"/>
      <c r="G693" s="26"/>
      <c r="H693" s="5"/>
    </row>
    <row r="694" spans="3:8" ht="14.25" customHeight="1">
      <c r="C694" s="245"/>
      <c r="D694" s="26"/>
      <c r="E694" s="26"/>
      <c r="F694" s="26"/>
      <c r="G694" s="26"/>
      <c r="H694" s="5"/>
    </row>
    <row r="695" spans="3:8" ht="14.25" customHeight="1">
      <c r="C695" s="245"/>
      <c r="D695" s="26"/>
      <c r="E695" s="26"/>
      <c r="F695" s="26"/>
      <c r="G695" s="26"/>
      <c r="H695" s="5"/>
    </row>
    <row r="696" spans="3:8" ht="14.25" customHeight="1">
      <c r="C696" s="245"/>
      <c r="D696" s="26"/>
      <c r="E696" s="26"/>
      <c r="F696" s="26"/>
      <c r="G696" s="26"/>
      <c r="H696" s="5"/>
    </row>
    <row r="697" spans="3:8" ht="14.25" customHeight="1">
      <c r="C697" s="245"/>
      <c r="D697" s="26"/>
      <c r="E697" s="26"/>
      <c r="F697" s="26"/>
      <c r="G697" s="26"/>
      <c r="H697" s="5"/>
    </row>
    <row r="698" spans="3:8" ht="14.25" customHeight="1">
      <c r="C698" s="245"/>
      <c r="D698" s="26"/>
      <c r="E698" s="26"/>
      <c r="F698" s="26"/>
      <c r="G698" s="26"/>
      <c r="H698" s="5"/>
    </row>
    <row r="699" spans="3:8" ht="14.25" customHeight="1">
      <c r="C699" s="245"/>
      <c r="D699" s="26"/>
      <c r="E699" s="26"/>
      <c r="F699" s="26"/>
      <c r="G699" s="26"/>
      <c r="H699" s="5"/>
    </row>
    <row r="700" spans="3:8" ht="14.25" customHeight="1">
      <c r="C700" s="245"/>
      <c r="D700" s="26"/>
      <c r="E700" s="26"/>
      <c r="F700" s="26"/>
      <c r="G700" s="26"/>
      <c r="H700" s="5"/>
    </row>
    <row r="701" spans="3:8" ht="14.25" customHeight="1">
      <c r="C701" s="245"/>
      <c r="D701" s="26"/>
      <c r="E701" s="26"/>
      <c r="F701" s="26"/>
      <c r="G701" s="26"/>
      <c r="H701" s="5"/>
    </row>
    <row r="702" spans="3:8" ht="14.25" customHeight="1">
      <c r="C702" s="245"/>
      <c r="D702" s="26"/>
      <c r="E702" s="26"/>
      <c r="F702" s="26"/>
      <c r="G702" s="26"/>
      <c r="H702" s="5"/>
    </row>
    <row r="703" spans="3:8" ht="14.25" customHeight="1">
      <c r="C703" s="245"/>
      <c r="D703" s="26"/>
      <c r="E703" s="26"/>
      <c r="F703" s="26"/>
      <c r="G703" s="26"/>
      <c r="H703" s="5"/>
    </row>
    <row r="704" spans="3:8" ht="14.25" customHeight="1">
      <c r="C704" s="245"/>
      <c r="D704" s="26"/>
      <c r="E704" s="26"/>
      <c r="F704" s="26"/>
      <c r="G704" s="26"/>
      <c r="H704" s="5"/>
    </row>
    <row r="705" spans="3:8" ht="14.25" customHeight="1">
      <c r="C705" s="245"/>
      <c r="D705" s="26"/>
      <c r="E705" s="26"/>
      <c r="F705" s="26"/>
      <c r="G705" s="26"/>
      <c r="H705" s="5"/>
    </row>
    <row r="706" spans="3:8" ht="14.25" customHeight="1">
      <c r="C706" s="245"/>
      <c r="D706" s="26"/>
      <c r="E706" s="26"/>
      <c r="F706" s="26"/>
      <c r="G706" s="26"/>
      <c r="H706" s="5"/>
    </row>
    <row r="707" spans="3:8" ht="14.25" customHeight="1">
      <c r="C707" s="245"/>
      <c r="D707" s="26"/>
      <c r="E707" s="26"/>
      <c r="F707" s="26"/>
      <c r="G707" s="26"/>
      <c r="H707" s="5"/>
    </row>
    <row r="708" spans="3:8" ht="14.25" customHeight="1">
      <c r="C708" s="245"/>
      <c r="D708" s="26"/>
      <c r="E708" s="26"/>
      <c r="F708" s="26"/>
      <c r="G708" s="26"/>
      <c r="H708" s="5"/>
    </row>
    <row r="709" spans="3:8" ht="14.25" customHeight="1">
      <c r="C709" s="245"/>
      <c r="D709" s="26"/>
      <c r="E709" s="26"/>
      <c r="F709" s="26"/>
      <c r="G709" s="26"/>
      <c r="H709" s="5"/>
    </row>
    <row r="710" spans="3:8" ht="14.25" customHeight="1">
      <c r="C710" s="245"/>
      <c r="D710" s="26"/>
      <c r="E710" s="26"/>
      <c r="F710" s="26"/>
      <c r="G710" s="26"/>
      <c r="H710" s="5"/>
    </row>
    <row r="711" spans="3:8" ht="14.25" customHeight="1">
      <c r="C711" s="245"/>
      <c r="D711" s="26"/>
      <c r="E711" s="26"/>
      <c r="F711" s="26"/>
      <c r="G711" s="26"/>
      <c r="H711" s="5"/>
    </row>
    <row r="712" spans="3:8" ht="14.25" customHeight="1">
      <c r="C712" s="245"/>
      <c r="D712" s="26"/>
      <c r="E712" s="26"/>
      <c r="F712" s="26"/>
      <c r="G712" s="26"/>
      <c r="H712" s="5"/>
    </row>
    <row r="713" spans="3:8" ht="14.25" customHeight="1">
      <c r="C713" s="245"/>
      <c r="D713" s="26"/>
      <c r="E713" s="26"/>
      <c r="F713" s="26"/>
      <c r="G713" s="26"/>
      <c r="H713" s="5"/>
    </row>
    <row r="714" spans="3:8" ht="14.25" customHeight="1">
      <c r="C714" s="245"/>
      <c r="D714" s="26"/>
      <c r="E714" s="26"/>
      <c r="F714" s="26"/>
      <c r="G714" s="26"/>
      <c r="H714" s="5"/>
    </row>
    <row r="715" spans="3:8" ht="14.25" customHeight="1">
      <c r="C715" s="245"/>
      <c r="D715" s="26"/>
      <c r="E715" s="26"/>
      <c r="F715" s="26"/>
      <c r="G715" s="26"/>
      <c r="H715" s="5"/>
    </row>
    <row r="716" spans="3:8" ht="14.25" customHeight="1">
      <c r="C716" s="245"/>
      <c r="D716" s="26"/>
      <c r="E716" s="26"/>
      <c r="F716" s="26"/>
      <c r="G716" s="26"/>
      <c r="H716" s="5"/>
    </row>
    <row r="717" spans="3:8" ht="14.25" customHeight="1">
      <c r="C717" s="245"/>
      <c r="D717" s="26"/>
      <c r="E717" s="26"/>
      <c r="F717" s="26"/>
      <c r="G717" s="26"/>
      <c r="H717" s="5"/>
    </row>
    <row r="718" spans="3:8" ht="14.25" customHeight="1">
      <c r="C718" s="245"/>
      <c r="D718" s="26"/>
      <c r="E718" s="26"/>
      <c r="F718" s="26"/>
      <c r="G718" s="26"/>
      <c r="H718" s="5"/>
    </row>
    <row r="719" spans="3:8" ht="14.25" customHeight="1">
      <c r="C719" s="245"/>
      <c r="D719" s="26"/>
      <c r="E719" s="26"/>
      <c r="F719" s="26"/>
      <c r="G719" s="26"/>
      <c r="H719" s="5"/>
    </row>
    <row r="720" spans="3:8" ht="14.25" customHeight="1">
      <c r="C720" s="245"/>
      <c r="D720" s="26"/>
      <c r="E720" s="26"/>
      <c r="F720" s="26"/>
      <c r="G720" s="26"/>
      <c r="H720" s="5"/>
    </row>
    <row r="721" spans="1:46" s="8" customFormat="1">
      <c r="B721" s="494" t="str">
        <f>TITLE!C18</f>
        <v>Полотна збірні: ЛАДА D</v>
      </c>
      <c r="C721" s="494"/>
      <c r="D721" s="118"/>
      <c r="E721" s="118"/>
      <c r="F721" s="118"/>
      <c r="G721" s="118"/>
      <c r="H721" s="496"/>
      <c r="I721" s="496"/>
      <c r="J721" s="121"/>
      <c r="K721" s="121"/>
      <c r="L721" s="121"/>
      <c r="M721" s="121"/>
      <c r="N721" s="121"/>
      <c r="O721" s="121"/>
      <c r="P721" s="121"/>
      <c r="Q721" s="121"/>
      <c r="R721" s="121"/>
      <c r="S721" s="121"/>
      <c r="T721" s="517" t="str">
        <f>IF($C$1="ENG",CONCATENATE("up to: ",B649),CONCATENATE("вгору до: ",B649))</f>
        <v>вгору до: Полотна збірні: ЛАДА C</v>
      </c>
      <c r="U721" s="517"/>
      <c r="V721" s="517"/>
      <c r="W721" s="517"/>
      <c r="AN721" s="280"/>
      <c r="AO721" s="280"/>
      <c r="AP721" s="280"/>
      <c r="AQ721" s="280"/>
      <c r="AR721" s="280"/>
      <c r="AS721" s="280"/>
      <c r="AT721" s="280"/>
    </row>
    <row r="722" spans="1:46" s="8" customFormat="1" ht="5.0999999999999996" customHeight="1">
      <c r="B722" s="117"/>
      <c r="C722" s="420"/>
      <c r="D722" s="9"/>
      <c r="E722" s="9"/>
      <c r="F722" s="9"/>
      <c r="G722" s="9"/>
      <c r="H722" s="120"/>
      <c r="I722" s="120"/>
      <c r="T722" s="115"/>
      <c r="U722" s="115"/>
      <c r="V722" s="115"/>
      <c r="W722" s="115"/>
      <c r="AN722" s="280"/>
      <c r="AO722" s="280"/>
      <c r="AP722" s="280"/>
      <c r="AQ722" s="280"/>
      <c r="AR722" s="280"/>
      <c r="AS722" s="280"/>
      <c r="AT722" s="280"/>
    </row>
    <row r="723" spans="1:46" s="8" customFormat="1" ht="12.75" customHeight="1">
      <c r="B723" s="509" t="str">
        <f>IF($C$1="ENG","model","модель")</f>
        <v>модель</v>
      </c>
      <c r="C723" s="122" t="str">
        <f>IF($C$1="ENG","cover:","покриття:")</f>
        <v>покриття:</v>
      </c>
      <c r="D723" s="498" t="str">
        <f>IF($C$1="ENG","Verto-CELL","Verto-CELL")</f>
        <v>Verto-CELL</v>
      </c>
      <c r="E723" s="500"/>
      <c r="F723" s="498" t="str">
        <f>IF($C$1="ENG","UNI-MAT","UNI-MAT")</f>
        <v>UNI-MAT</v>
      </c>
      <c r="G723" s="500"/>
      <c r="H723" s="498" t="str">
        <f>IF($C$1="ENG","RESIST","RESIST")</f>
        <v>RESIST</v>
      </c>
      <c r="I723" s="500"/>
      <c r="J723" s="498" t="str">
        <f>IF($C$1="ENG","Verto LINE-3D","Verto LINE-3D")</f>
        <v>Verto LINE-3D</v>
      </c>
      <c r="K723" s="500"/>
      <c r="L723" s="498" t="str">
        <f>IF($C$1="ENG","ECO Shpon","ЕКО Шпон")</f>
        <v>ЕКО Шпон</v>
      </c>
      <c r="M723" s="500"/>
      <c r="P723" s="1"/>
      <c r="Q723" s="1"/>
      <c r="T723" s="115"/>
      <c r="U723" s="115"/>
      <c r="V723" s="115"/>
      <c r="W723" s="115"/>
      <c r="AN723" s="280"/>
      <c r="AO723" s="280"/>
      <c r="AP723" s="280"/>
      <c r="AQ723" s="280"/>
      <c r="AR723" s="280"/>
      <c r="AS723" s="280"/>
      <c r="AT723" s="280"/>
    </row>
    <row r="724" spans="1:46" s="8" customFormat="1" ht="24.75" customHeight="1">
      <c r="B724" s="510"/>
      <c r="C724" s="123" t="str">
        <f>IF($C$1="ENG","filling:","заповнення:")</f>
        <v>заповнення:</v>
      </c>
      <c r="D724" s="505" t="str">
        <f>IF($C$1="ENG","softwood","клеєний сосновий брус")</f>
        <v>клеєний сосновий брус</v>
      </c>
      <c r="E724" s="506"/>
      <c r="F724" s="505" t="str">
        <f>IF($C$1="ENG","softwood","клеєний сосновий брус")</f>
        <v>клеєний сосновий брус</v>
      </c>
      <c r="G724" s="506"/>
      <c r="H724" s="505" t="str">
        <f>IF($C$1="ENG","softwood","клеєний сосновий брус")</f>
        <v>клеєний сосновий брус</v>
      </c>
      <c r="I724" s="506"/>
      <c r="J724" s="505" t="str">
        <f>IF($C$1="ENG","softwood","клеєний сосновий брус")</f>
        <v>клеєний сосновий брус</v>
      </c>
      <c r="K724" s="506"/>
      <c r="L724" s="505" t="str">
        <f>IF($C$1="ENG","softwood","клеєний сосновий брус")</f>
        <v>клеєний сосновий брус</v>
      </c>
      <c r="M724" s="506"/>
      <c r="P724" s="1"/>
      <c r="Q724" s="1"/>
      <c r="T724" s="115"/>
      <c r="U724" s="115"/>
      <c r="V724" s="115"/>
      <c r="W724" s="115"/>
      <c r="AD724" s="383">
        <f>AD726/AC726-1</f>
        <v>0.13991163475699553</v>
      </c>
      <c r="AE724" s="383">
        <f>AE726/AD726-1</f>
        <v>4.0051679586563305E-2</v>
      </c>
      <c r="AF724" s="383">
        <f>AF726/AE726-1</f>
        <v>8.9440993788819867E-2</v>
      </c>
      <c r="AG724" s="383">
        <f>AG726/AF726-1</f>
        <v>4.7890535917902044E-2</v>
      </c>
      <c r="AN724" s="280"/>
      <c r="AO724" s="280"/>
      <c r="AP724" s="280"/>
      <c r="AQ724" s="280"/>
      <c r="AR724" s="280"/>
      <c r="AS724" s="280"/>
      <c r="AT724" s="280"/>
    </row>
    <row r="725" spans="1:46" ht="12.75" customHeight="1">
      <c r="A725" s="8"/>
      <c r="B725" s="511"/>
      <c r="C725" s="124" t="str">
        <f>IF($C$1="ENG","glazing:","скління:")</f>
        <v>скління:</v>
      </c>
      <c r="D725" s="489" t="str">
        <f>IF($C$1="ENG","Satin","Сатин")</f>
        <v>Сатин</v>
      </c>
      <c r="E725" s="492"/>
      <c r="F725" s="489" t="str">
        <f>IF($C$1="ENG","Satin","Сатин")</f>
        <v>Сатин</v>
      </c>
      <c r="G725" s="492"/>
      <c r="H725" s="489" t="str">
        <f>IF($C$1="ENG","Satin","Сатин")</f>
        <v>Сатин</v>
      </c>
      <c r="I725" s="492"/>
      <c r="J725" s="489" t="str">
        <f>IF($C$1="ENG","Satin","Сатин")</f>
        <v>Сатин</v>
      </c>
      <c r="K725" s="492"/>
      <c r="L725" s="489" t="str">
        <f>IF($C$1="ENG","Satin","Сатин")</f>
        <v>Сатин</v>
      </c>
      <c r="M725" s="492"/>
    </row>
    <row r="726" spans="1:46" ht="35.1" customHeight="1">
      <c r="A726" s="8"/>
      <c r="B726" s="16" t="s">
        <v>43</v>
      </c>
      <c r="C726" s="17"/>
      <c r="D726" s="18">
        <f>IF(AC726="","",(1-$W$2)*(AC726/1.2))</f>
        <v>5658.3333333333339</v>
      </c>
      <c r="E726" s="66">
        <f>IF($W$5=0.2,D726*1.2,D726)/$W$4</f>
        <v>6790.0000000000009</v>
      </c>
      <c r="F726" s="18">
        <f>IF(AD726="","",(1-$W$2)*(AD726/1.2))</f>
        <v>6450</v>
      </c>
      <c r="G726" s="66">
        <f>IF($W$5=0.2,F726*1.2,F726)/$W$4</f>
        <v>7740</v>
      </c>
      <c r="H726" s="18">
        <f>IF(AE726="","",(1-$W$2)*(AE726/1.2))</f>
        <v>6708.3333333333339</v>
      </c>
      <c r="I726" s="66">
        <f>IF($W$5=0.2,H726*1.2,H726)/$W$4</f>
        <v>8050</v>
      </c>
      <c r="J726" s="18">
        <f>IF(AF726="","",(1-$W$2)*(AF726/1.2))</f>
        <v>7308.3333333333339</v>
      </c>
      <c r="K726" s="66">
        <f>IF($W$5=0.2,J726*1.2,J726)/$W$4</f>
        <v>8770</v>
      </c>
      <c r="L726" s="18">
        <f>IF(AG726="","",(1-$W$2)*(AG726/1.2))</f>
        <v>7658.3333333333339</v>
      </c>
      <c r="M726" s="66">
        <f>IF($W$5=0.2,L726*1.2,L726)/$W$4</f>
        <v>9190</v>
      </c>
      <c r="N726" s="104"/>
      <c r="R726" s="104"/>
      <c r="T726" s="104"/>
      <c r="U726" s="20"/>
      <c r="V726" s="104"/>
      <c r="W726" s="20"/>
      <c r="X726" s="104"/>
      <c r="Y726" s="104"/>
      <c r="Z726" s="104"/>
      <c r="AA726" s="104"/>
      <c r="AB726" s="104"/>
      <c r="AC726" s="332">
        <v>6790</v>
      </c>
      <c r="AD726" s="391">
        <v>7740</v>
      </c>
      <c r="AE726" s="332">
        <v>8050</v>
      </c>
      <c r="AF726" s="332">
        <v>8770</v>
      </c>
      <c r="AG726" s="332">
        <v>9190</v>
      </c>
      <c r="AH726" s="289">
        <v>6790</v>
      </c>
      <c r="AI726" s="289">
        <f>AH726/AC726-1</f>
        <v>0</v>
      </c>
      <c r="AJ726" s="289">
        <v>7740</v>
      </c>
      <c r="AK726" s="289">
        <f>AJ726/AD726-1</f>
        <v>0</v>
      </c>
      <c r="AL726" s="289">
        <v>8050</v>
      </c>
      <c r="AM726" s="1">
        <f>AL726/AE726-1</f>
        <v>0</v>
      </c>
      <c r="AN726" s="30">
        <v>8770</v>
      </c>
      <c r="AO726" s="1">
        <f>AN726/AF726-1</f>
        <v>0</v>
      </c>
      <c r="AP726" s="1">
        <v>9190</v>
      </c>
      <c r="AQ726" s="1">
        <f>AP726/AG726-1</f>
        <v>0</v>
      </c>
    </row>
    <row r="727" spans="1:46" ht="35.1" customHeight="1">
      <c r="A727" s="8"/>
      <c r="B727" s="23" t="s">
        <v>31</v>
      </c>
      <c r="C727" s="24"/>
      <c r="D727" s="25">
        <f>IF(AC727="","",(1-$W$2)*(AC727/1.2))</f>
        <v>5608.3333333333339</v>
      </c>
      <c r="E727" s="69">
        <f>IF($W$5=0.2,D727*1.2,D727)/$W$4</f>
        <v>6730.0000000000009</v>
      </c>
      <c r="F727" s="25">
        <f>IF(AD727="","",(1-$W$2)*(AD727/1.2))</f>
        <v>6391.666666666667</v>
      </c>
      <c r="G727" s="69">
        <f>IF($W$5=0.2,F727*1.2,F727)/$W$4</f>
        <v>7670</v>
      </c>
      <c r="H727" s="25">
        <f>IF(AE727="","",(1-$W$2)*(AE727/1.2))</f>
        <v>6675</v>
      </c>
      <c r="I727" s="69">
        <f>IF($W$5=0.2,H727*1.2,H727)/$W$4</f>
        <v>8010</v>
      </c>
      <c r="J727" s="25">
        <f>IF(AF727="","",(1-$W$2)*(AF727/1.2))</f>
        <v>7208.3333333333339</v>
      </c>
      <c r="K727" s="69">
        <f>IF($W$5=0.2,J727*1.2,J727)/$W$4</f>
        <v>8650</v>
      </c>
      <c r="L727" s="25">
        <f>IF(AG727="","",(1-$W$2)*(AG727/1.2))</f>
        <v>7641.666666666667</v>
      </c>
      <c r="M727" s="69">
        <f>IF($W$5=0.2,L727*1.2,L727)/$W$4</f>
        <v>9170</v>
      </c>
      <c r="N727" s="104"/>
      <c r="R727" s="104"/>
      <c r="T727" s="104"/>
      <c r="U727" s="20"/>
      <c r="V727" s="104"/>
      <c r="W727" s="20"/>
      <c r="X727" s="104"/>
      <c r="Y727" s="104"/>
      <c r="Z727" s="104"/>
      <c r="AA727" s="104"/>
      <c r="AB727" s="104"/>
      <c r="AC727" s="332">
        <v>6730</v>
      </c>
      <c r="AD727" s="391">
        <v>7670</v>
      </c>
      <c r="AE727" s="332">
        <v>8010</v>
      </c>
      <c r="AF727" s="332">
        <v>8650</v>
      </c>
      <c r="AG727" s="332">
        <v>9170</v>
      </c>
      <c r="AH727" s="289">
        <v>6730</v>
      </c>
      <c r="AI727" s="289">
        <f>AH727/AC727-1</f>
        <v>0</v>
      </c>
      <c r="AJ727" s="289">
        <v>7670</v>
      </c>
      <c r="AK727" s="289">
        <f>AJ727/AD727-1</f>
        <v>0</v>
      </c>
      <c r="AL727" s="289">
        <v>8010</v>
      </c>
      <c r="AM727" s="1">
        <f>AL727/AE727-1</f>
        <v>0</v>
      </c>
      <c r="AN727" s="30">
        <v>8650</v>
      </c>
      <c r="AO727" s="1">
        <f>AN727/AF727-1</f>
        <v>0</v>
      </c>
      <c r="AP727" s="1">
        <v>9170</v>
      </c>
      <c r="AQ727" s="1">
        <f>AP727/AG727-1</f>
        <v>0</v>
      </c>
    </row>
    <row r="728" spans="1:46">
      <c r="C728" s="245"/>
      <c r="D728" s="26"/>
      <c r="E728" s="57"/>
      <c r="F728" s="26"/>
      <c r="G728" s="57"/>
      <c r="H728" s="10"/>
      <c r="I728" s="8"/>
      <c r="J728" s="8"/>
      <c r="K728" s="8"/>
    </row>
    <row r="729" spans="1:46">
      <c r="B729" s="212" t="str">
        <f>IF($C$1="ENG","For additonal charge:","Послуги за додаткову плату:")</f>
        <v>Послуги за додаткову плату:</v>
      </c>
      <c r="C729" s="421"/>
      <c r="D729" s="213"/>
      <c r="E729" s="214"/>
      <c r="F729" s="26"/>
      <c r="G729" s="57"/>
      <c r="H729" s="10"/>
      <c r="I729" s="8"/>
      <c r="J729" s="8"/>
      <c r="K729" s="8"/>
    </row>
    <row r="730" spans="1:46" ht="5.0999999999999996" customHeight="1">
      <c r="B730" s="27"/>
      <c r="C730" s="245"/>
      <c r="D730" s="26"/>
      <c r="E730" s="57"/>
      <c r="F730" s="26"/>
      <c r="G730" s="57"/>
      <c r="H730" s="10"/>
      <c r="I730" s="8"/>
      <c r="J730" s="8"/>
      <c r="K730" s="8"/>
    </row>
    <row r="731" spans="1:46">
      <c r="B731" s="514" t="str">
        <f>IF($C$1="ENG","door leaf with width 100","полотно розміром 100")</f>
        <v>полотно розміром 100</v>
      </c>
      <c r="C731" s="515"/>
      <c r="D731" s="410">
        <f t="shared" ref="D731:D743" si="106">IF(AC731="","",(1-$W$2)*(AC731/1.2))</f>
        <v>600</v>
      </c>
      <c r="E731" s="92">
        <f t="shared" ref="E731:E742" si="107">IF($W$5=0.2,D731*1.2,D731)/$W$4</f>
        <v>720</v>
      </c>
      <c r="F731" s="26"/>
      <c r="G731" s="26"/>
      <c r="H731" s="10"/>
      <c r="I731" s="8"/>
      <c r="J731" s="8"/>
      <c r="K731" s="8"/>
      <c r="AC731" s="298">
        <v>720</v>
      </c>
      <c r="AD731" s="298">
        <v>720</v>
      </c>
      <c r="AE731" s="289">
        <f>AD731/AC731-1</f>
        <v>0</v>
      </c>
      <c r="AF731" s="289"/>
      <c r="AG731" s="289"/>
      <c r="AH731" s="289"/>
      <c r="AI731" s="289"/>
      <c r="AJ731" s="289"/>
      <c r="AK731" s="289"/>
      <c r="AL731" s="289"/>
    </row>
    <row r="732" spans="1:46">
      <c r="B732" s="514" t="str">
        <f>IF($C$1="ENG","Ventilation cut","вентиляційний підріз")</f>
        <v>вентиляційний підріз</v>
      </c>
      <c r="C732" s="515"/>
      <c r="D732" s="405">
        <f t="shared" si="106"/>
        <v>141.66666666666669</v>
      </c>
      <c r="E732" s="66">
        <f t="shared" si="107"/>
        <v>170.00000000000003</v>
      </c>
      <c r="F732" s="26"/>
      <c r="G732" s="26"/>
      <c r="I732" s="59"/>
      <c r="J732" s="28"/>
      <c r="AC732" s="298">
        <v>170</v>
      </c>
      <c r="AD732" s="298">
        <v>170</v>
      </c>
      <c r="AE732" s="289">
        <f t="shared" ref="AE732:AE742" si="108">AD732/AC732-1</f>
        <v>0</v>
      </c>
      <c r="AF732" s="289"/>
      <c r="AG732" s="289"/>
      <c r="AH732" s="289"/>
      <c r="AI732" s="289"/>
      <c r="AJ732" s="289"/>
      <c r="AK732" s="289"/>
      <c r="AL732" s="289"/>
    </row>
    <row r="733" spans="1:46">
      <c r="B733" s="501" t="str">
        <f>IF($C$1="ENG","glazing Graphite / Bronze","скло Графіт / Бронза")</f>
        <v>скло Графіт / Бронза</v>
      </c>
      <c r="C733" s="502"/>
      <c r="D733" s="407">
        <f t="shared" si="106"/>
        <v>458.33333333333337</v>
      </c>
      <c r="E733" s="93">
        <f t="shared" si="107"/>
        <v>550</v>
      </c>
      <c r="F733" s="26"/>
      <c r="G733" s="26"/>
      <c r="H733" s="5"/>
      <c r="AC733" s="298">
        <v>550</v>
      </c>
      <c r="AD733" s="298">
        <v>550</v>
      </c>
      <c r="AE733" s="289">
        <f t="shared" si="108"/>
        <v>0</v>
      </c>
      <c r="AF733" s="289"/>
      <c r="AG733" s="289"/>
      <c r="AH733" s="289"/>
      <c r="AI733" s="289"/>
      <c r="AJ733" s="289"/>
      <c r="AK733" s="289"/>
      <c r="AL733" s="289"/>
    </row>
    <row r="734" spans="1:46">
      <c r="B734" s="501" t="str">
        <f>IF($C$1="ENG","glazing Lacobel black ","скло Lacobel чорне")</f>
        <v>скло Lacobel чорне</v>
      </c>
      <c r="C734" s="502"/>
      <c r="D734" s="407">
        <f t="shared" si="106"/>
        <v>458.33333333333337</v>
      </c>
      <c r="E734" s="93">
        <f>IF($W$5=0.2,D734*1.2,D734)/$W$4</f>
        <v>550</v>
      </c>
      <c r="F734" s="26"/>
      <c r="G734" s="26"/>
      <c r="H734" s="5"/>
      <c r="AC734" s="298">
        <v>550</v>
      </c>
      <c r="AD734" s="298">
        <v>550</v>
      </c>
      <c r="AE734" s="289"/>
      <c r="AF734" s="289"/>
      <c r="AG734" s="289"/>
      <c r="AH734" s="289"/>
      <c r="AI734" s="289"/>
      <c r="AJ734" s="289"/>
      <c r="AK734" s="289"/>
      <c r="AL734" s="289"/>
    </row>
    <row r="735" spans="1:46">
      <c r="B735" s="501" t="str">
        <f>IF($C$1="ENG","door lock Soft","замок Soft")</f>
        <v>замок Soft</v>
      </c>
      <c r="C735" s="502"/>
      <c r="D735" s="407">
        <f t="shared" si="106"/>
        <v>458.33333333333337</v>
      </c>
      <c r="E735" s="93">
        <f t="shared" si="107"/>
        <v>550</v>
      </c>
      <c r="F735" s="26"/>
      <c r="G735" s="26"/>
      <c r="H735" s="5"/>
      <c r="AC735" s="298">
        <v>550</v>
      </c>
      <c r="AD735" s="298">
        <v>550</v>
      </c>
      <c r="AE735" s="289">
        <f t="shared" si="108"/>
        <v>0</v>
      </c>
      <c r="AF735" s="289"/>
      <c r="AG735" s="289"/>
      <c r="AH735" s="289"/>
      <c r="AI735" s="289"/>
      <c r="AJ735" s="289"/>
      <c r="AK735" s="289"/>
      <c r="AL735" s="289"/>
    </row>
    <row r="736" spans="1:46">
      <c r="B736" s="501" t="str">
        <f>IF($C$1="ENG","door lock Soft black","замок Soft чорн.")</f>
        <v>замок Soft чорн.</v>
      </c>
      <c r="C736" s="502"/>
      <c r="D736" s="407">
        <f t="shared" ref="D736" si="109">IF(AC736="","",(1-$W$2)*(AC736/1.2))</f>
        <v>566.66666666666674</v>
      </c>
      <c r="E736" s="93">
        <f t="shared" ref="E736" si="110">IF($W$5=0.2,D736*1.2,D736)/$W$4</f>
        <v>680.00000000000011</v>
      </c>
      <c r="F736" s="26"/>
      <c r="G736" s="26"/>
      <c r="H736" s="5"/>
      <c r="AC736" s="298">
        <v>680</v>
      </c>
      <c r="AD736" s="298"/>
      <c r="AE736" s="289"/>
      <c r="AF736" s="289"/>
      <c r="AG736" s="289"/>
      <c r="AH736" s="289"/>
      <c r="AI736" s="289"/>
      <c r="AJ736" s="289"/>
      <c r="AK736" s="289"/>
      <c r="AL736" s="289"/>
    </row>
    <row r="737" spans="2:38">
      <c r="B737" s="501" t="str">
        <f>IF($C$1="ENG","door lock Magnet","замок Magnet")</f>
        <v>замок Magnet</v>
      </c>
      <c r="C737" s="502"/>
      <c r="D737" s="407">
        <f t="shared" si="106"/>
        <v>666.66666666666674</v>
      </c>
      <c r="E737" s="93">
        <f t="shared" si="107"/>
        <v>800.00000000000011</v>
      </c>
      <c r="F737" s="26"/>
      <c r="G737" s="26"/>
      <c r="H737" s="5"/>
      <c r="AC737" s="298">
        <v>800</v>
      </c>
      <c r="AD737" s="298">
        <v>800</v>
      </c>
      <c r="AE737" s="289">
        <f t="shared" si="108"/>
        <v>0</v>
      </c>
      <c r="AF737" s="289"/>
      <c r="AG737" s="289"/>
      <c r="AH737" s="289"/>
      <c r="AI737" s="289"/>
      <c r="AJ737" s="289"/>
      <c r="AK737" s="289"/>
      <c r="AL737" s="289"/>
    </row>
    <row r="738" spans="2:38">
      <c r="B738" s="501" t="s">
        <v>76</v>
      </c>
      <c r="C738" s="502"/>
      <c r="D738" s="407">
        <f t="shared" si="106"/>
        <v>833.33333333333337</v>
      </c>
      <c r="E738" s="93">
        <f t="shared" si="107"/>
        <v>1000</v>
      </c>
      <c r="F738" s="26"/>
      <c r="G738" s="26"/>
      <c r="H738" s="5"/>
      <c r="AC738" s="298">
        <v>1000</v>
      </c>
      <c r="AD738" s="298"/>
      <c r="AE738" s="289"/>
      <c r="AF738" s="289"/>
      <c r="AG738" s="289"/>
      <c r="AH738" s="289"/>
      <c r="AI738" s="289"/>
      <c r="AJ738" s="289"/>
      <c r="AK738" s="289"/>
      <c r="AL738" s="289"/>
    </row>
    <row r="739" spans="2:38">
      <c r="B739" s="501" t="str">
        <f>IF($C$1="ENG","door handle-lock (for sliding doors)","ручка-замок (для дверей купе)")</f>
        <v>ручка-замок (для дверей купе)</v>
      </c>
      <c r="C739" s="502"/>
      <c r="D739" s="405">
        <f t="shared" si="106"/>
        <v>466.66666666666669</v>
      </c>
      <c r="E739" s="93">
        <f t="shared" si="107"/>
        <v>560</v>
      </c>
      <c r="F739" s="26"/>
      <c r="G739" s="26"/>
      <c r="I739" s="11"/>
      <c r="J739" s="11"/>
      <c r="K739" s="19"/>
      <c r="AC739" s="298">
        <v>560</v>
      </c>
      <c r="AD739" s="298">
        <v>560</v>
      </c>
      <c r="AE739" s="289">
        <f t="shared" si="108"/>
        <v>0</v>
      </c>
      <c r="AF739" s="289"/>
      <c r="AG739" s="289"/>
      <c r="AH739" s="289"/>
      <c r="AI739" s="289"/>
      <c r="AJ739" s="289"/>
      <c r="AK739" s="289"/>
      <c r="AL739" s="289"/>
    </row>
    <row r="740" spans="2:38">
      <c r="B740" s="501" t="str">
        <f>IF($C$1="ENG","cylinder incert","циліндр несиметричний")</f>
        <v>циліндр несиметричний</v>
      </c>
      <c r="C740" s="502"/>
      <c r="D740" s="405">
        <f t="shared" si="106"/>
        <v>325</v>
      </c>
      <c r="E740" s="93">
        <f t="shared" si="107"/>
        <v>390</v>
      </c>
      <c r="F740" s="26"/>
      <c r="G740" s="26"/>
      <c r="AC740" s="298">
        <v>390</v>
      </c>
      <c r="AD740" s="298">
        <v>390</v>
      </c>
      <c r="AE740" s="289">
        <f t="shared" si="108"/>
        <v>0</v>
      </c>
      <c r="AF740" s="289"/>
      <c r="AG740" s="289"/>
      <c r="AH740" s="289"/>
      <c r="AI740" s="289"/>
      <c r="AJ740" s="289"/>
      <c r="AK740" s="289"/>
      <c r="AL740" s="289"/>
    </row>
    <row r="741" spans="2:38">
      <c r="B741" s="501" t="str">
        <f>IF($C$1="ENG","door hindge Prestige (1 unit)","завіса Prestige (1 шт)")</f>
        <v>завіса Prestige (1 шт)</v>
      </c>
      <c r="C741" s="502"/>
      <c r="D741" s="408">
        <f t="shared" si="106"/>
        <v>216.66666666666669</v>
      </c>
      <c r="E741" s="93">
        <f t="shared" si="107"/>
        <v>260</v>
      </c>
      <c r="F741" s="26"/>
      <c r="G741" s="26"/>
      <c r="AC741" s="298">
        <v>260</v>
      </c>
      <c r="AD741" s="298">
        <v>260</v>
      </c>
      <c r="AE741" s="289">
        <f t="shared" si="108"/>
        <v>0</v>
      </c>
      <c r="AF741" s="289"/>
      <c r="AG741" s="289"/>
      <c r="AH741" s="289"/>
      <c r="AI741" s="289"/>
      <c r="AJ741" s="289"/>
      <c r="AK741" s="289"/>
      <c r="AL741" s="289"/>
    </row>
    <row r="742" spans="2:38">
      <c r="B742" s="501" t="str">
        <f>IF($C$1="ENG","door hinge caps (1 set)","накладка на завіси (1 к-т)")</f>
        <v>накладка на завіси (1 к-т)</v>
      </c>
      <c r="C742" s="502"/>
      <c r="D742" s="408">
        <f t="shared" si="106"/>
        <v>66.666666666666671</v>
      </c>
      <c r="E742" s="93">
        <f t="shared" si="107"/>
        <v>80</v>
      </c>
      <c r="F742" s="26"/>
      <c r="G742" s="26"/>
      <c r="AC742" s="298">
        <v>80</v>
      </c>
      <c r="AD742" s="298">
        <v>80</v>
      </c>
      <c r="AE742" s="289">
        <f t="shared" si="108"/>
        <v>0</v>
      </c>
      <c r="AF742" s="289"/>
      <c r="AG742" s="289"/>
      <c r="AH742" s="289"/>
      <c r="AI742" s="289"/>
      <c r="AJ742" s="289"/>
      <c r="AK742" s="289"/>
      <c r="AL742" s="289"/>
    </row>
    <row r="743" spans="2:38">
      <c r="B743" s="501" t="str">
        <f>IF($C$1="ENG","door handle","дверна ручка")</f>
        <v>дверна ручка</v>
      </c>
      <c r="C743" s="502"/>
      <c r="D743" s="409" t="str">
        <f t="shared" si="106"/>
        <v/>
      </c>
      <c r="E743" s="247" t="str">
        <f>IF($C$1="ENG","see Handles Price","див. Таблицю Ручки")</f>
        <v>див. Таблицю Ручки</v>
      </c>
      <c r="F743" s="26"/>
      <c r="G743" s="26"/>
      <c r="AC743" s="332"/>
      <c r="AD743" s="289"/>
      <c r="AE743" s="289"/>
      <c r="AF743" s="289"/>
      <c r="AG743" s="289"/>
      <c r="AH743" s="289"/>
      <c r="AI743" s="289"/>
      <c r="AJ743" s="289"/>
      <c r="AK743" s="289"/>
      <c r="AL743" s="289"/>
    </row>
    <row r="744" spans="2:38" ht="14.25" customHeight="1">
      <c r="C744" s="245"/>
      <c r="D744" s="26"/>
      <c r="E744" s="26"/>
      <c r="F744" s="26"/>
      <c r="G744" s="26"/>
      <c r="H744" s="5"/>
      <c r="T744" s="503" t="str">
        <f>IF($C$1="ENG",CONCATENATE("down to: ",B794),CONCATENATE("вниз до: ",B794))</f>
        <v>вниз до: Полотна збірні: НІКА</v>
      </c>
      <c r="U744" s="503"/>
      <c r="V744" s="503"/>
      <c r="W744" s="503"/>
    </row>
    <row r="745" spans="2:38" ht="14.25" customHeight="1">
      <c r="C745" s="245"/>
      <c r="D745" s="26"/>
      <c r="E745" s="26"/>
      <c r="F745" s="26"/>
      <c r="G745" s="26"/>
      <c r="H745" s="5"/>
    </row>
    <row r="746" spans="2:38" ht="14.25" customHeight="1">
      <c r="C746" s="245"/>
      <c r="D746" s="26"/>
      <c r="E746" s="26"/>
      <c r="F746" s="26"/>
      <c r="G746" s="26"/>
      <c r="H746" s="5"/>
    </row>
    <row r="747" spans="2:38" ht="14.25" customHeight="1">
      <c r="C747" s="245"/>
      <c r="D747" s="26"/>
      <c r="E747" s="26"/>
      <c r="F747" s="26"/>
      <c r="G747" s="26"/>
      <c r="H747" s="5"/>
    </row>
    <row r="748" spans="2:38" ht="14.25" customHeight="1">
      <c r="C748" s="245"/>
      <c r="D748" s="26"/>
      <c r="E748" s="26"/>
      <c r="F748" s="26"/>
      <c r="G748" s="26"/>
      <c r="H748" s="5"/>
    </row>
    <row r="749" spans="2:38" ht="14.25" customHeight="1">
      <c r="C749" s="245"/>
      <c r="D749" s="26"/>
      <c r="E749" s="26"/>
      <c r="F749" s="26"/>
      <c r="G749" s="26"/>
      <c r="H749" s="5"/>
    </row>
    <row r="750" spans="2:38" ht="14.25" customHeight="1">
      <c r="C750" s="245"/>
      <c r="D750" s="26"/>
      <c r="E750" s="26"/>
      <c r="F750" s="26"/>
      <c r="G750" s="26"/>
      <c r="H750" s="5"/>
    </row>
    <row r="751" spans="2:38" ht="14.25" customHeight="1">
      <c r="C751" s="245"/>
      <c r="D751" s="26"/>
      <c r="E751" s="26"/>
      <c r="F751" s="26"/>
      <c r="G751" s="26"/>
      <c r="H751" s="5"/>
    </row>
    <row r="752" spans="2:38" ht="14.25" customHeight="1">
      <c r="C752" s="245"/>
      <c r="D752" s="26"/>
      <c r="E752" s="26"/>
      <c r="F752" s="26"/>
      <c r="G752" s="26"/>
      <c r="H752" s="5"/>
    </row>
    <row r="753" spans="3:8" ht="14.25" customHeight="1">
      <c r="C753" s="245"/>
      <c r="D753" s="26"/>
      <c r="E753" s="26"/>
      <c r="F753" s="26"/>
      <c r="G753" s="26"/>
      <c r="H753" s="5"/>
    </row>
    <row r="754" spans="3:8" ht="14.25" customHeight="1">
      <c r="C754" s="245"/>
      <c r="D754" s="26"/>
      <c r="E754" s="26"/>
      <c r="F754" s="26"/>
      <c r="G754" s="26"/>
      <c r="H754" s="5"/>
    </row>
    <row r="755" spans="3:8" ht="14.25" customHeight="1">
      <c r="C755" s="245"/>
      <c r="D755" s="26"/>
      <c r="E755" s="26"/>
      <c r="F755" s="26"/>
      <c r="G755" s="26"/>
      <c r="H755" s="5"/>
    </row>
    <row r="756" spans="3:8" ht="14.25" customHeight="1">
      <c r="C756" s="245"/>
      <c r="D756" s="26"/>
      <c r="E756" s="26"/>
      <c r="F756" s="26"/>
      <c r="G756" s="26"/>
      <c r="H756" s="5"/>
    </row>
    <row r="757" spans="3:8" ht="14.25" customHeight="1">
      <c r="C757" s="245"/>
      <c r="D757" s="26"/>
      <c r="E757" s="26"/>
      <c r="F757" s="26"/>
      <c r="G757" s="26"/>
      <c r="H757" s="5"/>
    </row>
    <row r="758" spans="3:8" ht="14.25" customHeight="1">
      <c r="C758" s="245"/>
      <c r="D758" s="26"/>
      <c r="E758" s="26"/>
      <c r="F758" s="26"/>
      <c r="G758" s="26"/>
      <c r="H758" s="5"/>
    </row>
    <row r="759" spans="3:8" ht="14.25" customHeight="1">
      <c r="C759" s="245"/>
      <c r="D759" s="26"/>
      <c r="E759" s="26"/>
      <c r="F759" s="26"/>
      <c r="G759" s="26"/>
      <c r="H759" s="5"/>
    </row>
    <row r="760" spans="3:8" ht="14.25" customHeight="1">
      <c r="C760" s="245"/>
      <c r="D760" s="26"/>
      <c r="E760" s="26"/>
      <c r="F760" s="26"/>
      <c r="G760" s="26"/>
      <c r="H760" s="5"/>
    </row>
    <row r="761" spans="3:8" ht="14.25" customHeight="1">
      <c r="C761" s="245"/>
      <c r="D761" s="26"/>
      <c r="E761" s="26"/>
      <c r="F761" s="26"/>
      <c r="G761" s="26"/>
      <c r="H761" s="5"/>
    </row>
    <row r="762" spans="3:8" ht="14.25" customHeight="1">
      <c r="C762" s="245"/>
      <c r="D762" s="26"/>
      <c r="E762" s="26"/>
      <c r="F762" s="26"/>
      <c r="G762" s="26"/>
      <c r="H762" s="5"/>
    </row>
    <row r="763" spans="3:8" ht="14.25" customHeight="1">
      <c r="C763" s="245"/>
      <c r="D763" s="26"/>
      <c r="E763" s="26"/>
      <c r="F763" s="26"/>
      <c r="G763" s="26"/>
      <c r="H763" s="5"/>
    </row>
    <row r="764" spans="3:8" ht="14.25" customHeight="1">
      <c r="C764" s="245"/>
      <c r="D764" s="26"/>
      <c r="E764" s="26"/>
      <c r="F764" s="26"/>
      <c r="G764" s="26"/>
      <c r="H764" s="5"/>
    </row>
    <row r="765" spans="3:8" ht="14.25" customHeight="1">
      <c r="C765" s="245"/>
      <c r="D765" s="26"/>
      <c r="E765" s="26"/>
      <c r="F765" s="26"/>
      <c r="G765" s="26"/>
      <c r="H765" s="5"/>
    </row>
    <row r="766" spans="3:8" ht="14.25" customHeight="1">
      <c r="C766" s="245"/>
      <c r="D766" s="26"/>
      <c r="E766" s="26"/>
      <c r="F766" s="26"/>
      <c r="G766" s="26"/>
      <c r="H766" s="5"/>
    </row>
    <row r="767" spans="3:8" ht="14.25" customHeight="1">
      <c r="C767" s="245"/>
      <c r="D767" s="26"/>
      <c r="E767" s="26"/>
      <c r="F767" s="26"/>
      <c r="G767" s="26"/>
      <c r="H767" s="5"/>
    </row>
    <row r="768" spans="3:8" ht="14.25" customHeight="1">
      <c r="C768" s="245"/>
      <c r="D768" s="26"/>
      <c r="E768" s="26"/>
      <c r="F768" s="26"/>
      <c r="G768" s="26"/>
      <c r="H768" s="5"/>
    </row>
    <row r="769" spans="3:8" ht="14.25" customHeight="1">
      <c r="C769" s="245"/>
      <c r="D769" s="26"/>
      <c r="E769" s="26"/>
      <c r="F769" s="26"/>
      <c r="G769" s="26"/>
      <c r="H769" s="5"/>
    </row>
    <row r="770" spans="3:8" ht="14.25" customHeight="1">
      <c r="C770" s="245"/>
      <c r="D770" s="26"/>
      <c r="E770" s="26"/>
      <c r="F770" s="26"/>
      <c r="G770" s="26"/>
      <c r="H770" s="5"/>
    </row>
    <row r="771" spans="3:8" ht="14.25" customHeight="1">
      <c r="C771" s="245"/>
      <c r="D771" s="26"/>
      <c r="E771" s="26"/>
      <c r="F771" s="26"/>
      <c r="G771" s="26"/>
      <c r="H771" s="5"/>
    </row>
    <row r="772" spans="3:8" ht="14.25" customHeight="1">
      <c r="C772" s="245"/>
      <c r="D772" s="26"/>
      <c r="E772" s="26"/>
      <c r="F772" s="26"/>
      <c r="G772" s="26"/>
      <c r="H772" s="5"/>
    </row>
    <row r="773" spans="3:8" ht="14.25" customHeight="1">
      <c r="C773" s="245"/>
      <c r="D773" s="26"/>
      <c r="E773" s="26"/>
      <c r="F773" s="26"/>
      <c r="G773" s="26"/>
      <c r="H773" s="5"/>
    </row>
    <row r="774" spans="3:8" ht="14.25" customHeight="1">
      <c r="C774" s="245"/>
      <c r="D774" s="26"/>
      <c r="E774" s="26"/>
      <c r="F774" s="26"/>
      <c r="G774" s="26"/>
      <c r="H774" s="5"/>
    </row>
    <row r="775" spans="3:8" ht="14.25" customHeight="1">
      <c r="C775" s="245"/>
      <c r="D775" s="26"/>
      <c r="E775" s="26"/>
      <c r="F775" s="26"/>
      <c r="G775" s="26"/>
      <c r="H775" s="5"/>
    </row>
    <row r="776" spans="3:8" ht="14.25" customHeight="1">
      <c r="C776" s="245"/>
      <c r="D776" s="26"/>
      <c r="E776" s="26"/>
      <c r="F776" s="26"/>
      <c r="G776" s="26"/>
      <c r="H776" s="5"/>
    </row>
    <row r="777" spans="3:8" ht="14.25" customHeight="1">
      <c r="C777" s="245"/>
      <c r="D777" s="26"/>
      <c r="E777" s="26"/>
      <c r="F777" s="26"/>
      <c r="G777" s="26"/>
      <c r="H777" s="5"/>
    </row>
    <row r="778" spans="3:8" ht="14.25" customHeight="1">
      <c r="C778" s="245"/>
      <c r="D778" s="26"/>
      <c r="E778" s="26"/>
      <c r="F778" s="26"/>
      <c r="G778" s="26"/>
      <c r="H778" s="5"/>
    </row>
    <row r="779" spans="3:8" ht="14.25" customHeight="1">
      <c r="C779" s="245"/>
      <c r="D779" s="26"/>
      <c r="E779" s="26"/>
      <c r="F779" s="26"/>
      <c r="G779" s="26"/>
      <c r="H779" s="5"/>
    </row>
    <row r="780" spans="3:8" ht="14.25" customHeight="1">
      <c r="C780" s="245"/>
      <c r="D780" s="26"/>
      <c r="E780" s="26"/>
      <c r="F780" s="26"/>
      <c r="G780" s="26"/>
      <c r="H780" s="5"/>
    </row>
    <row r="781" spans="3:8" ht="14.25" customHeight="1">
      <c r="C781" s="245"/>
      <c r="D781" s="26"/>
      <c r="E781" s="26"/>
      <c r="F781" s="26"/>
      <c r="G781" s="26"/>
      <c r="H781" s="5"/>
    </row>
    <row r="782" spans="3:8" ht="14.25" customHeight="1">
      <c r="C782" s="245"/>
      <c r="D782" s="26"/>
      <c r="E782" s="26"/>
      <c r="F782" s="26"/>
      <c r="G782" s="26"/>
      <c r="H782" s="5"/>
    </row>
    <row r="783" spans="3:8" ht="14.25" customHeight="1">
      <c r="C783" s="245"/>
      <c r="D783" s="26"/>
      <c r="E783" s="26"/>
      <c r="F783" s="26"/>
      <c r="G783" s="26"/>
      <c r="H783" s="5"/>
    </row>
    <row r="784" spans="3:8" ht="14.25" customHeight="1">
      <c r="C784" s="245"/>
      <c r="D784" s="26"/>
      <c r="E784" s="26"/>
      <c r="F784" s="26"/>
      <c r="G784" s="26"/>
      <c r="H784" s="5"/>
    </row>
    <row r="785" spans="1:46" ht="14.25" customHeight="1">
      <c r="C785" s="245"/>
      <c r="D785" s="26"/>
      <c r="E785" s="26"/>
      <c r="F785" s="26"/>
      <c r="G785" s="26"/>
      <c r="H785" s="5"/>
    </row>
    <row r="786" spans="1:46" ht="14.25" customHeight="1">
      <c r="C786" s="245"/>
      <c r="D786" s="26"/>
      <c r="E786" s="26"/>
      <c r="F786" s="26"/>
      <c r="G786" s="26"/>
      <c r="H786" s="5"/>
    </row>
    <row r="787" spans="1:46" ht="14.25" customHeight="1">
      <c r="C787" s="245"/>
      <c r="D787" s="26"/>
      <c r="E787" s="26"/>
      <c r="F787" s="26"/>
      <c r="G787" s="26"/>
      <c r="H787" s="5"/>
    </row>
    <row r="788" spans="1:46" ht="14.25" customHeight="1">
      <c r="C788" s="245"/>
      <c r="D788" s="26"/>
      <c r="E788" s="26"/>
      <c r="F788" s="26"/>
      <c r="G788" s="26"/>
      <c r="H788" s="5"/>
    </row>
    <row r="789" spans="1:46" ht="14.25" customHeight="1">
      <c r="C789" s="245"/>
      <c r="D789" s="26"/>
      <c r="E789" s="26"/>
      <c r="F789" s="26"/>
      <c r="G789" s="26"/>
      <c r="H789" s="5"/>
    </row>
    <row r="790" spans="1:46" ht="14.25" customHeight="1">
      <c r="C790" s="245"/>
      <c r="D790" s="26"/>
      <c r="E790" s="26"/>
      <c r="F790" s="26"/>
      <c r="G790" s="26"/>
      <c r="H790" s="5"/>
    </row>
    <row r="791" spans="1:46" ht="14.25" customHeight="1">
      <c r="C791" s="245"/>
      <c r="D791" s="26"/>
      <c r="E791" s="26"/>
      <c r="F791" s="26"/>
      <c r="G791" s="26"/>
      <c r="H791" s="5"/>
    </row>
    <row r="792" spans="1:46" ht="14.25" customHeight="1">
      <c r="C792" s="245"/>
      <c r="D792" s="26"/>
      <c r="E792" s="26"/>
      <c r="F792" s="26"/>
      <c r="G792" s="26"/>
      <c r="H792" s="5"/>
    </row>
    <row r="793" spans="1:46" ht="14.25" customHeight="1">
      <c r="C793" s="245"/>
      <c r="D793" s="26"/>
      <c r="E793" s="26"/>
      <c r="F793" s="26"/>
      <c r="G793" s="26"/>
      <c r="H793" s="5"/>
    </row>
    <row r="794" spans="1:46" s="8" customFormat="1">
      <c r="B794" s="494" t="str">
        <f>TITLE!C19</f>
        <v>Полотна збірні: НІКА</v>
      </c>
      <c r="C794" s="494"/>
      <c r="D794" s="118"/>
      <c r="E794" s="118"/>
      <c r="F794" s="118"/>
      <c r="G794" s="118"/>
      <c r="H794" s="496"/>
      <c r="I794" s="496"/>
      <c r="J794" s="121"/>
      <c r="K794" s="121"/>
      <c r="L794" s="121"/>
      <c r="M794" s="121"/>
      <c r="N794" s="121"/>
      <c r="O794" s="121"/>
      <c r="P794" s="121"/>
      <c r="Q794" s="121"/>
      <c r="R794" s="121"/>
      <c r="S794" s="121"/>
      <c r="T794" s="517" t="str">
        <f>IF($C$1="ENG",CONCATENATE("up to: ",B721),CONCATENATE("вгору до: ",B721))</f>
        <v>вгору до: Полотна збірні: ЛАДА D</v>
      </c>
      <c r="U794" s="517"/>
      <c r="V794" s="517"/>
      <c r="W794" s="517"/>
      <c r="AN794" s="280"/>
      <c r="AO794" s="280"/>
      <c r="AP794" s="280"/>
      <c r="AQ794" s="280"/>
      <c r="AR794" s="280"/>
      <c r="AS794" s="280"/>
      <c r="AT794" s="280"/>
    </row>
    <row r="795" spans="1:46" s="8" customFormat="1" ht="5.0999999999999996" customHeight="1">
      <c r="B795" s="117"/>
      <c r="C795" s="420"/>
      <c r="D795" s="9"/>
      <c r="E795" s="9"/>
      <c r="F795" s="9"/>
      <c r="G795" s="9"/>
      <c r="H795" s="120"/>
      <c r="I795" s="120"/>
      <c r="T795" s="115"/>
      <c r="U795" s="115"/>
      <c r="V795" s="115"/>
      <c r="W795" s="115"/>
      <c r="AN795" s="280"/>
      <c r="AO795" s="280"/>
      <c r="AP795" s="280"/>
      <c r="AQ795" s="280"/>
      <c r="AR795" s="280"/>
      <c r="AS795" s="280"/>
      <c r="AT795" s="280"/>
    </row>
    <row r="796" spans="1:46" s="8" customFormat="1" ht="12.75" customHeight="1">
      <c r="B796" s="509" t="str">
        <f>IF($C$1="ENG","model","модель")</f>
        <v>модель</v>
      </c>
      <c r="C796" s="122" t="str">
        <f>IF($C$1="ENG","cover:","покриття:")</f>
        <v>покриття:</v>
      </c>
      <c r="D796" s="498" t="str">
        <f>IF($C$1="ENG","Verto-CELL","Verto-CELL")</f>
        <v>Verto-CELL</v>
      </c>
      <c r="E796" s="500"/>
      <c r="F796" s="498" t="str">
        <f>IF($C$1="ENG","UNI-MAT","UNI-MAT")</f>
        <v>UNI-MAT</v>
      </c>
      <c r="G796" s="500"/>
      <c r="H796" s="498" t="str">
        <f>IF($C$1="ENG","RESIST","RESIST")</f>
        <v>RESIST</v>
      </c>
      <c r="I796" s="500"/>
      <c r="J796" s="498" t="str">
        <f>IF($C$1="ENG","Verto LINE-3D","Verto LINE-3D")</f>
        <v>Verto LINE-3D</v>
      </c>
      <c r="K796" s="500"/>
      <c r="L796" s="498" t="str">
        <f>IF($C$1="ENG","ECO Shpon","ЕКО Шпон")</f>
        <v>ЕКО Шпон</v>
      </c>
      <c r="M796" s="500"/>
      <c r="P796" s="1"/>
      <c r="Q796" s="1"/>
      <c r="T796" s="115"/>
      <c r="U796" s="115"/>
      <c r="V796" s="115"/>
      <c r="W796" s="115"/>
      <c r="AN796" s="280"/>
      <c r="AO796" s="280"/>
      <c r="AP796" s="280"/>
      <c r="AQ796" s="280"/>
      <c r="AR796" s="280"/>
      <c r="AS796" s="280"/>
      <c r="AT796" s="280"/>
    </row>
    <row r="797" spans="1:46" s="8" customFormat="1" ht="24.75" customHeight="1">
      <c r="B797" s="510"/>
      <c r="C797" s="123" t="str">
        <f>IF($C$1="ENG","filling:","заповнення:")</f>
        <v>заповнення:</v>
      </c>
      <c r="D797" s="505" t="str">
        <f>IF($C$1="ENG","softwood","клеєний сосновий брус")</f>
        <v>клеєний сосновий брус</v>
      </c>
      <c r="E797" s="506"/>
      <c r="F797" s="505" t="str">
        <f>IF($C$1="ENG","softwood","клеєний сосновий брус")</f>
        <v>клеєний сосновий брус</v>
      </c>
      <c r="G797" s="506"/>
      <c r="H797" s="505" t="str">
        <f>IF($C$1="ENG","softwood","клеєний сосновий брус")</f>
        <v>клеєний сосновий брус</v>
      </c>
      <c r="I797" s="506"/>
      <c r="J797" s="505" t="str">
        <f>IF($C$1="ENG","softwood","клеєний сосновий брус")</f>
        <v>клеєний сосновий брус</v>
      </c>
      <c r="K797" s="506"/>
      <c r="L797" s="505" t="str">
        <f>IF($C$1="ENG","softwood","клеєний сосновий брус")</f>
        <v>клеєний сосновий брус</v>
      </c>
      <c r="M797" s="506"/>
      <c r="P797" s="1"/>
      <c r="Q797" s="1"/>
      <c r="T797" s="115"/>
      <c r="U797" s="115"/>
      <c r="V797" s="115"/>
      <c r="W797" s="115"/>
      <c r="AD797" s="383">
        <f>AD799/AC799-1</f>
        <v>0.13808801213960553</v>
      </c>
      <c r="AE797" s="383">
        <f>AE799/AD799-1</f>
        <v>3.2000000000000028E-2</v>
      </c>
      <c r="AF797" s="383">
        <f>AF799/AE799-1</f>
        <v>8.5271317829457294E-2</v>
      </c>
      <c r="AG797" s="383">
        <f>AG799/AF799-1</f>
        <v>4.4047619047619113E-2</v>
      </c>
      <c r="AN797" s="280"/>
      <c r="AO797" s="280"/>
      <c r="AP797" s="280"/>
      <c r="AQ797" s="280"/>
      <c r="AR797" s="280"/>
      <c r="AS797" s="280"/>
      <c r="AT797" s="280"/>
    </row>
    <row r="798" spans="1:46" ht="12.75" customHeight="1">
      <c r="A798" s="8"/>
      <c r="B798" s="511"/>
      <c r="C798" s="124" t="str">
        <f>IF($C$1="ENG","glazing:","скління:")</f>
        <v>скління:</v>
      </c>
      <c r="D798" s="489" t="str">
        <f>IF($C$1="ENG","Satin","Сатин")</f>
        <v>Сатин</v>
      </c>
      <c r="E798" s="492"/>
      <c r="F798" s="489" t="str">
        <f>IF($C$1="ENG","Satin","Сатин")</f>
        <v>Сатин</v>
      </c>
      <c r="G798" s="492"/>
      <c r="H798" s="489" t="str">
        <f>IF($C$1="ENG","Satin","Сатин")</f>
        <v>Сатин</v>
      </c>
      <c r="I798" s="492"/>
      <c r="J798" s="489" t="str">
        <f>IF($C$1="ENG","Satin","Сатин")</f>
        <v>Сатин</v>
      </c>
      <c r="K798" s="492"/>
      <c r="L798" s="489" t="str">
        <f>IF($C$1="ENG","Satin","Сатин")</f>
        <v>Сатин</v>
      </c>
      <c r="M798" s="492"/>
    </row>
    <row r="799" spans="1:46" ht="35.1" customHeight="1">
      <c r="A799" s="8"/>
      <c r="B799" s="16" t="s">
        <v>45</v>
      </c>
      <c r="C799" s="17"/>
      <c r="D799" s="18">
        <f>IF(AC799="","",(1-$W$2)*(AC799/1.2))</f>
        <v>5491.666666666667</v>
      </c>
      <c r="E799" s="66">
        <f>IF($W$5=0.2,D799*1.2,D799)/$W$4</f>
        <v>6590</v>
      </c>
      <c r="F799" s="18">
        <f>IF(AD799="","",(1-$W$2)*(AD799/1.2))</f>
        <v>6250</v>
      </c>
      <c r="G799" s="66">
        <f>IF($W$5=0.2,F799*1.2,F799)/$W$4</f>
        <v>7500</v>
      </c>
      <c r="H799" s="18">
        <f>IF(AE799="","",(1-$W$2)*(AE799/1.2))</f>
        <v>6450</v>
      </c>
      <c r="I799" s="66">
        <f>IF($W$5=0.2,H799*1.2,H799)/$W$4</f>
        <v>7740</v>
      </c>
      <c r="J799" s="18">
        <f>IF(AF799="","",(1-$W$2)*(AF799/1.2))</f>
        <v>7000</v>
      </c>
      <c r="K799" s="66">
        <f>IF($W$5=0.2,J799*1.2,J799)/$W$4</f>
        <v>8400</v>
      </c>
      <c r="L799" s="18">
        <f>IF(AG799="","",(1-$W$2)*(AG799/1.2))</f>
        <v>7308.3333333333339</v>
      </c>
      <c r="M799" s="66">
        <f>IF($W$5=0.2,L799*1.2,L799)/$W$4</f>
        <v>8770</v>
      </c>
      <c r="N799" s="104"/>
      <c r="R799" s="104"/>
      <c r="T799" s="104"/>
      <c r="U799" s="20"/>
      <c r="V799" s="104"/>
      <c r="W799" s="20"/>
      <c r="X799" s="104"/>
      <c r="Y799" s="104"/>
      <c r="Z799" s="104"/>
      <c r="AA799" s="104"/>
      <c r="AB799" s="104"/>
      <c r="AC799" s="332">
        <v>6590</v>
      </c>
      <c r="AD799" s="391">
        <v>7500</v>
      </c>
      <c r="AE799" s="332">
        <v>7740</v>
      </c>
      <c r="AF799" s="332">
        <v>8400</v>
      </c>
      <c r="AG799" s="332">
        <v>8770</v>
      </c>
      <c r="AH799" s="289">
        <v>6590</v>
      </c>
      <c r="AI799" s="289">
        <f>AH799/AC799-1</f>
        <v>0</v>
      </c>
      <c r="AJ799" s="289">
        <v>7500</v>
      </c>
      <c r="AK799" s="289">
        <f>AJ799/AD799-1</f>
        <v>0</v>
      </c>
      <c r="AL799" s="289">
        <v>7740</v>
      </c>
      <c r="AM799" s="289">
        <f>AL799/AE799-1</f>
        <v>0</v>
      </c>
      <c r="AN799" s="30">
        <f>AF799/100*12+AF799</f>
        <v>9408</v>
      </c>
      <c r="AO799" s="1">
        <f>AN799/AF799-1</f>
        <v>0.12000000000000011</v>
      </c>
      <c r="AP799" s="30">
        <v>8770</v>
      </c>
      <c r="AQ799" s="1">
        <f>AP799/AG799-1</f>
        <v>0</v>
      </c>
    </row>
    <row r="800" spans="1:46" ht="35.1" customHeight="1">
      <c r="A800" s="8"/>
      <c r="B800" s="23" t="s">
        <v>46</v>
      </c>
      <c r="C800" s="24"/>
      <c r="D800" s="25">
        <f>IF(AC800="","",(1-$W$2)*(AC800/1.2))</f>
        <v>5491.666666666667</v>
      </c>
      <c r="E800" s="69">
        <f>IF($W$5=0.2,D800*1.2,D800)/$W$4</f>
        <v>6590</v>
      </c>
      <c r="F800" s="25">
        <f>IF(AD800="","",(1-$W$2)*(AD800/1.2))</f>
        <v>6250</v>
      </c>
      <c r="G800" s="69">
        <f>IF($W$5=0.2,F800*1.2,F800)/$W$4</f>
        <v>7500</v>
      </c>
      <c r="H800" s="25">
        <f>IF(AE800="","",(1-$W$2)*(AE800/1.2))</f>
        <v>6450</v>
      </c>
      <c r="I800" s="69">
        <f>IF($W$5=0.2,H800*1.2,H800)/$W$4</f>
        <v>7740</v>
      </c>
      <c r="J800" s="25">
        <f>IF(AF800="","",(1-$W$2)*(AF800/1.2))</f>
        <v>7000</v>
      </c>
      <c r="K800" s="69">
        <f>IF($W$5=0.2,J800*1.2,J800)/$W$4</f>
        <v>8400</v>
      </c>
      <c r="L800" s="25">
        <f>IF(AG800="","",(1-$W$2)*(AG800/1.2))</f>
        <v>7308.3333333333339</v>
      </c>
      <c r="M800" s="69">
        <f>IF($W$5=0.2,L800*1.2,L800)/$W$4</f>
        <v>8770</v>
      </c>
      <c r="N800" s="104"/>
      <c r="R800" s="104"/>
      <c r="T800" s="104"/>
      <c r="U800" s="20"/>
      <c r="V800" s="104"/>
      <c r="W800" s="20"/>
      <c r="X800" s="104"/>
      <c r="Y800" s="104"/>
      <c r="Z800" s="104"/>
      <c r="AA800" s="104"/>
      <c r="AB800" s="104"/>
      <c r="AC800" s="332">
        <v>6590</v>
      </c>
      <c r="AD800" s="391">
        <v>7500</v>
      </c>
      <c r="AE800" s="332">
        <v>7740</v>
      </c>
      <c r="AF800" s="332">
        <v>8400</v>
      </c>
      <c r="AG800" s="332">
        <v>8770</v>
      </c>
      <c r="AH800" s="289">
        <v>6590</v>
      </c>
      <c r="AI800" s="289">
        <f>AH800/AC800-1</f>
        <v>0</v>
      </c>
      <c r="AJ800" s="289">
        <v>7500</v>
      </c>
      <c r="AK800" s="289">
        <f>AJ800/AD800-1</f>
        <v>0</v>
      </c>
      <c r="AL800" s="289">
        <v>7740</v>
      </c>
      <c r="AM800" s="289">
        <f>AL800/AE800-1</f>
        <v>0</v>
      </c>
      <c r="AN800" s="30">
        <f>AF800/100*12+AF800</f>
        <v>9408</v>
      </c>
      <c r="AO800" s="1">
        <f>AN800/AF800-1</f>
        <v>0.12000000000000011</v>
      </c>
      <c r="AP800" s="30">
        <v>8770</v>
      </c>
      <c r="AQ800" s="1">
        <f>AP800/AG800-1</f>
        <v>0</v>
      </c>
    </row>
    <row r="801" spans="2:38">
      <c r="C801" s="245"/>
      <c r="D801" s="26"/>
      <c r="E801" s="57"/>
      <c r="F801" s="26"/>
      <c r="G801" s="57"/>
      <c r="H801" s="10"/>
      <c r="I801" s="8"/>
      <c r="J801" s="8"/>
      <c r="K801" s="8"/>
    </row>
    <row r="802" spans="2:38">
      <c r="B802" s="212" t="str">
        <f>IF($C$1="ENG","For additonal charge:","Послуги за додаткову плату:")</f>
        <v>Послуги за додаткову плату:</v>
      </c>
      <c r="C802" s="421"/>
      <c r="D802" s="213"/>
      <c r="E802" s="214"/>
      <c r="F802" s="26"/>
      <c r="G802" s="57"/>
      <c r="H802" s="10"/>
      <c r="I802" s="8"/>
      <c r="J802" s="8"/>
      <c r="K802" s="8"/>
    </row>
    <row r="803" spans="2:38" ht="5.0999999999999996" customHeight="1">
      <c r="B803" s="27"/>
      <c r="C803" s="245"/>
      <c r="D803" s="26"/>
      <c r="E803" s="57"/>
      <c r="F803" s="26"/>
      <c r="G803" s="57"/>
      <c r="H803" s="10"/>
      <c r="I803" s="8"/>
      <c r="J803" s="8"/>
      <c r="K803" s="8"/>
    </row>
    <row r="804" spans="2:38">
      <c r="B804" s="514" t="str">
        <f>IF($C$1="ENG","door leaf with width 100","полотно розміром 100")</f>
        <v>полотно розміром 100</v>
      </c>
      <c r="C804" s="515"/>
      <c r="D804" s="410">
        <f t="shared" ref="D804:D816" si="111">IF(AC804="","",(1-$W$2)*(AC804/1.2))</f>
        <v>600</v>
      </c>
      <c r="E804" s="92">
        <f t="shared" ref="E804:E815" si="112">IF($W$5=0.2,D804*1.2,D804)/$W$4</f>
        <v>720</v>
      </c>
      <c r="F804" s="26"/>
      <c r="G804" s="26"/>
      <c r="H804" s="10"/>
      <c r="I804" s="8"/>
      <c r="J804" s="8"/>
      <c r="K804" s="8"/>
      <c r="AC804" s="298">
        <v>720</v>
      </c>
      <c r="AD804" s="298">
        <v>720</v>
      </c>
      <c r="AE804" s="289"/>
      <c r="AF804" s="289"/>
      <c r="AG804" s="289"/>
      <c r="AH804" s="289"/>
      <c r="AI804" s="289"/>
      <c r="AJ804" s="289"/>
      <c r="AK804" s="289"/>
      <c r="AL804" s="289"/>
    </row>
    <row r="805" spans="2:38">
      <c r="B805" s="514" t="str">
        <f>IF($C$1="ENG","Ventilation cut","вентиляційний підріз")</f>
        <v>вентиляційний підріз</v>
      </c>
      <c r="C805" s="515"/>
      <c r="D805" s="405">
        <f t="shared" si="111"/>
        <v>141.66666666666669</v>
      </c>
      <c r="E805" s="66">
        <f t="shared" si="112"/>
        <v>170.00000000000003</v>
      </c>
      <c r="F805" s="26"/>
      <c r="G805" s="26"/>
      <c r="I805" s="59"/>
      <c r="J805" s="28"/>
      <c r="AC805" s="298">
        <v>170</v>
      </c>
      <c r="AD805" s="298">
        <v>170</v>
      </c>
      <c r="AE805" s="289"/>
      <c r="AF805" s="289"/>
      <c r="AG805" s="289"/>
      <c r="AH805" s="289"/>
      <c r="AI805" s="289"/>
      <c r="AJ805" s="289"/>
      <c r="AK805" s="289"/>
      <c r="AL805" s="289"/>
    </row>
    <row r="806" spans="2:38">
      <c r="B806" s="501" t="str">
        <f>IF($C$1="ENG","glazing Graphite / Bronze","скло Графіт / Бронза")</f>
        <v>скло Графіт / Бронза</v>
      </c>
      <c r="C806" s="502"/>
      <c r="D806" s="407">
        <f t="shared" si="111"/>
        <v>458.33333333333337</v>
      </c>
      <c r="E806" s="93">
        <f t="shared" si="112"/>
        <v>550</v>
      </c>
      <c r="F806" s="26"/>
      <c r="G806" s="26"/>
      <c r="H806" s="5"/>
      <c r="AC806" s="298">
        <v>550</v>
      </c>
      <c r="AD806" s="298">
        <v>550</v>
      </c>
      <c r="AE806" s="289"/>
      <c r="AF806" s="289"/>
      <c r="AG806" s="289"/>
      <c r="AH806" s="289"/>
      <c r="AI806" s="289"/>
      <c r="AJ806" s="289"/>
      <c r="AK806" s="289"/>
      <c r="AL806" s="289"/>
    </row>
    <row r="807" spans="2:38">
      <c r="B807" s="501" t="str">
        <f>IF($C$1="ENG","glazing Lacobel black ","скло Lacobel чорне")</f>
        <v>скло Lacobel чорне</v>
      </c>
      <c r="C807" s="502"/>
      <c r="D807" s="407">
        <f t="shared" si="111"/>
        <v>458.33333333333337</v>
      </c>
      <c r="E807" s="93">
        <f>IF($W$5=0.2,D807*1.2,D807)/$W$4</f>
        <v>550</v>
      </c>
      <c r="F807" s="26"/>
      <c r="G807" s="26"/>
      <c r="H807" s="5"/>
      <c r="AC807" s="298">
        <v>550</v>
      </c>
      <c r="AD807" s="298">
        <v>550</v>
      </c>
      <c r="AE807" s="289"/>
      <c r="AF807" s="289"/>
      <c r="AG807" s="289"/>
      <c r="AH807" s="289"/>
      <c r="AI807" s="289"/>
      <c r="AJ807" s="289"/>
      <c r="AK807" s="289"/>
      <c r="AL807" s="289"/>
    </row>
    <row r="808" spans="2:38">
      <c r="B808" s="501" t="str">
        <f>IF($C$1="ENG","door lock Soft","замок Soft")</f>
        <v>замок Soft</v>
      </c>
      <c r="C808" s="502"/>
      <c r="D808" s="407">
        <f t="shared" si="111"/>
        <v>458.33333333333337</v>
      </c>
      <c r="E808" s="93">
        <f t="shared" si="112"/>
        <v>550</v>
      </c>
      <c r="F808" s="26"/>
      <c r="G808" s="26"/>
      <c r="H808" s="5"/>
      <c r="AC808" s="298">
        <v>550</v>
      </c>
      <c r="AD808" s="298">
        <v>550</v>
      </c>
      <c r="AE808" s="289"/>
      <c r="AF808" s="289"/>
      <c r="AG808" s="289"/>
      <c r="AH808" s="289"/>
      <c r="AI808" s="289"/>
      <c r="AJ808" s="289"/>
      <c r="AK808" s="289"/>
      <c r="AL808" s="289"/>
    </row>
    <row r="809" spans="2:38">
      <c r="B809" s="501" t="str">
        <f>IF($C$1="ENG","door lock Soft black","замок Soft чорн.")</f>
        <v>замок Soft чорн.</v>
      </c>
      <c r="C809" s="502"/>
      <c r="D809" s="407">
        <f t="shared" ref="D809" si="113">IF(AC809="","",(1-$W$2)*(AC809/1.2))</f>
        <v>566.66666666666674</v>
      </c>
      <c r="E809" s="93">
        <f t="shared" ref="E809" si="114">IF($W$5=0.2,D809*1.2,D809)/$W$4</f>
        <v>680.00000000000011</v>
      </c>
      <c r="F809" s="26"/>
      <c r="G809" s="26"/>
      <c r="H809" s="5"/>
      <c r="AC809" s="298">
        <v>680</v>
      </c>
      <c r="AD809" s="298"/>
      <c r="AE809" s="289"/>
      <c r="AF809" s="289"/>
      <c r="AG809" s="289"/>
      <c r="AH809" s="289"/>
      <c r="AI809" s="289"/>
      <c r="AJ809" s="289"/>
      <c r="AK809" s="289"/>
      <c r="AL809" s="289"/>
    </row>
    <row r="810" spans="2:38">
      <c r="B810" s="501" t="str">
        <f>IF($C$1="ENG","door lock Magnet","замок Magnet")</f>
        <v>замок Magnet</v>
      </c>
      <c r="C810" s="502"/>
      <c r="D810" s="407">
        <f t="shared" si="111"/>
        <v>666.66666666666674</v>
      </c>
      <c r="E810" s="93">
        <f t="shared" si="112"/>
        <v>800.00000000000011</v>
      </c>
      <c r="F810" s="26"/>
      <c r="G810" s="26"/>
      <c r="H810" s="5"/>
      <c r="AC810" s="298">
        <v>800</v>
      </c>
      <c r="AD810" s="298">
        <v>800</v>
      </c>
      <c r="AE810" s="289"/>
      <c r="AF810" s="289"/>
      <c r="AG810" s="289"/>
      <c r="AH810" s="289"/>
      <c r="AI810" s="289"/>
      <c r="AJ810" s="289"/>
      <c r="AK810" s="289"/>
      <c r="AL810" s="289"/>
    </row>
    <row r="811" spans="2:38">
      <c r="B811" s="501" t="s">
        <v>76</v>
      </c>
      <c r="C811" s="502"/>
      <c r="D811" s="407">
        <f t="shared" ref="D811" si="115">IF(AC811="","",(1-$W$2)*(AC811/1.2))</f>
        <v>833.33333333333337</v>
      </c>
      <c r="E811" s="93">
        <f t="shared" ref="E811" si="116">IF($W$5=0.2,D811*1.2,D811)/$W$4</f>
        <v>1000</v>
      </c>
      <c r="F811" s="26"/>
      <c r="G811" s="26"/>
      <c r="H811" s="5"/>
      <c r="AC811" s="298">
        <v>1000</v>
      </c>
      <c r="AD811" s="298"/>
      <c r="AE811" s="289"/>
      <c r="AF811" s="289"/>
      <c r="AG811" s="289"/>
      <c r="AH811" s="289"/>
      <c r="AI811" s="289"/>
      <c r="AJ811" s="289"/>
      <c r="AK811" s="289"/>
      <c r="AL811" s="289"/>
    </row>
    <row r="812" spans="2:38">
      <c r="B812" s="501" t="str">
        <f>IF($C$1="ENG","door handle-lock (for sliding doors)","ручка-замок (для дверей купе)")</f>
        <v>ручка-замок (для дверей купе)</v>
      </c>
      <c r="C812" s="502"/>
      <c r="D812" s="405">
        <f t="shared" si="111"/>
        <v>466.66666666666669</v>
      </c>
      <c r="E812" s="93">
        <f t="shared" si="112"/>
        <v>560</v>
      </c>
      <c r="F812" s="26"/>
      <c r="G812" s="26"/>
      <c r="I812" s="11"/>
      <c r="J812" s="11"/>
      <c r="K812" s="19"/>
      <c r="AC812" s="298">
        <v>560</v>
      </c>
      <c r="AD812" s="298">
        <v>560</v>
      </c>
      <c r="AE812" s="289"/>
      <c r="AF812" s="289"/>
      <c r="AG812" s="289"/>
      <c r="AH812" s="289"/>
      <c r="AI812" s="289"/>
      <c r="AJ812" s="289"/>
      <c r="AK812" s="289"/>
      <c r="AL812" s="289"/>
    </row>
    <row r="813" spans="2:38">
      <c r="B813" s="501" t="str">
        <f>IF($C$1="ENG","cylinder incert","циліндр несиметричний")</f>
        <v>циліндр несиметричний</v>
      </c>
      <c r="C813" s="502"/>
      <c r="D813" s="405">
        <f t="shared" si="111"/>
        <v>325</v>
      </c>
      <c r="E813" s="93">
        <f t="shared" si="112"/>
        <v>390</v>
      </c>
      <c r="F813" s="26"/>
      <c r="G813" s="26"/>
      <c r="AC813" s="298">
        <v>390</v>
      </c>
      <c r="AD813" s="298">
        <v>390</v>
      </c>
      <c r="AE813" s="289"/>
      <c r="AF813" s="289"/>
      <c r="AG813" s="289"/>
      <c r="AH813" s="289"/>
      <c r="AI813" s="289"/>
      <c r="AJ813" s="289"/>
      <c r="AK813" s="289"/>
      <c r="AL813" s="289"/>
    </row>
    <row r="814" spans="2:38">
      <c r="B814" s="501" t="str">
        <f>IF($C$1="ENG","door hindge Prestige (1 unit)","завіса Prestige (1 шт)")</f>
        <v>завіса Prestige (1 шт)</v>
      </c>
      <c r="C814" s="502"/>
      <c r="D814" s="408">
        <f t="shared" si="111"/>
        <v>216.66666666666669</v>
      </c>
      <c r="E814" s="93">
        <f t="shared" si="112"/>
        <v>260</v>
      </c>
      <c r="F814" s="26"/>
      <c r="G814" s="26"/>
      <c r="AC814" s="298">
        <v>260</v>
      </c>
      <c r="AD814" s="298">
        <v>260</v>
      </c>
      <c r="AE814" s="289"/>
      <c r="AF814" s="289"/>
      <c r="AG814" s="289"/>
      <c r="AH814" s="289"/>
      <c r="AI814" s="289"/>
      <c r="AJ814" s="289"/>
      <c r="AK814" s="289"/>
      <c r="AL814" s="289"/>
    </row>
    <row r="815" spans="2:38">
      <c r="B815" s="501" t="str">
        <f>IF($C$1="ENG","door hinge caps (1 set)","накладка на завіси (1 к-т)")</f>
        <v>накладка на завіси (1 к-т)</v>
      </c>
      <c r="C815" s="502"/>
      <c r="D815" s="408">
        <f t="shared" si="111"/>
        <v>66.666666666666671</v>
      </c>
      <c r="E815" s="93">
        <f t="shared" si="112"/>
        <v>80</v>
      </c>
      <c r="F815" s="26"/>
      <c r="G815" s="26"/>
      <c r="AC815" s="298">
        <v>80</v>
      </c>
      <c r="AD815" s="298">
        <v>80</v>
      </c>
      <c r="AE815" s="289"/>
      <c r="AF815" s="289"/>
      <c r="AG815" s="289"/>
      <c r="AH815" s="289"/>
      <c r="AI815" s="289"/>
      <c r="AJ815" s="289"/>
      <c r="AK815" s="289"/>
      <c r="AL815" s="289"/>
    </row>
    <row r="816" spans="2:38">
      <c r="B816" s="501" t="str">
        <f>IF($C$1="ENG","door handle","дверна ручка")</f>
        <v>дверна ручка</v>
      </c>
      <c r="C816" s="502"/>
      <c r="D816" s="409" t="str">
        <f t="shared" si="111"/>
        <v/>
      </c>
      <c r="E816" s="247" t="str">
        <f>IF($C$1="ENG","see Handles Price","див. Таблицю Ручки")</f>
        <v>див. Таблицю Ручки</v>
      </c>
      <c r="F816" s="26"/>
      <c r="G816" s="26"/>
      <c r="AC816" s="289"/>
      <c r="AD816" s="289"/>
      <c r="AE816" s="289"/>
      <c r="AF816" s="289"/>
      <c r="AG816" s="289"/>
      <c r="AH816" s="289"/>
      <c r="AI816" s="289"/>
      <c r="AJ816" s="289"/>
      <c r="AK816" s="289"/>
      <c r="AL816" s="289"/>
    </row>
    <row r="817" spans="3:23" ht="14.25" customHeight="1">
      <c r="C817" s="245"/>
      <c r="D817" s="26"/>
      <c r="E817" s="26"/>
      <c r="F817" s="26"/>
      <c r="G817" s="26"/>
      <c r="H817" s="5"/>
      <c r="T817" s="503" t="str">
        <f>IF($C$1="ENG",CONCATENATE("down to: ",B867),CONCATENATE("вниз до: ",B867))</f>
        <v>вниз до: Полотна збірні: ЛІСА</v>
      </c>
      <c r="U817" s="503"/>
      <c r="V817" s="503"/>
      <c r="W817" s="503"/>
    </row>
    <row r="818" spans="3:23" ht="14.25" customHeight="1">
      <c r="C818" s="245"/>
      <c r="D818" s="26"/>
      <c r="E818" s="26"/>
      <c r="F818" s="26"/>
      <c r="G818" s="26"/>
      <c r="H818" s="5"/>
    </row>
    <row r="819" spans="3:23" ht="14.25" customHeight="1">
      <c r="C819" s="245"/>
      <c r="D819" s="26"/>
      <c r="E819" s="26"/>
      <c r="F819" s="26"/>
      <c r="G819" s="26"/>
      <c r="H819" s="5"/>
    </row>
    <row r="820" spans="3:23" ht="14.25" customHeight="1">
      <c r="C820" s="245"/>
      <c r="D820" s="26"/>
      <c r="E820" s="26"/>
      <c r="F820" s="26"/>
      <c r="G820" s="26"/>
      <c r="H820" s="5"/>
    </row>
    <row r="821" spans="3:23" ht="14.25" customHeight="1">
      <c r="C821" s="245"/>
      <c r="D821" s="26"/>
      <c r="E821" s="26"/>
      <c r="F821" s="26"/>
      <c r="G821" s="26"/>
      <c r="H821" s="5"/>
    </row>
    <row r="822" spans="3:23" ht="14.25" customHeight="1">
      <c r="C822" s="245"/>
      <c r="D822" s="26"/>
      <c r="E822" s="26"/>
      <c r="F822" s="26"/>
      <c r="G822" s="26"/>
      <c r="H822" s="5"/>
    </row>
    <row r="823" spans="3:23" ht="14.25" customHeight="1">
      <c r="C823" s="245"/>
      <c r="D823" s="26"/>
      <c r="E823" s="26"/>
      <c r="F823" s="26"/>
      <c r="G823" s="26"/>
      <c r="H823" s="5"/>
    </row>
    <row r="824" spans="3:23" ht="14.25" customHeight="1">
      <c r="C824" s="245"/>
      <c r="D824" s="26"/>
      <c r="E824" s="26"/>
      <c r="F824" s="26"/>
      <c r="G824" s="26"/>
      <c r="H824" s="5"/>
    </row>
    <row r="825" spans="3:23" ht="14.25" customHeight="1">
      <c r="C825" s="245"/>
      <c r="D825" s="26"/>
      <c r="E825" s="26"/>
      <c r="F825" s="26"/>
      <c r="G825" s="26"/>
      <c r="H825" s="5"/>
    </row>
    <row r="826" spans="3:23" ht="14.25" customHeight="1">
      <c r="C826" s="245"/>
      <c r="D826" s="26"/>
      <c r="E826" s="26"/>
      <c r="F826" s="26"/>
      <c r="G826" s="26"/>
      <c r="H826" s="5"/>
    </row>
    <row r="827" spans="3:23" ht="14.25" customHeight="1">
      <c r="C827" s="245"/>
      <c r="D827" s="26"/>
      <c r="E827" s="26"/>
      <c r="F827" s="26"/>
      <c r="G827" s="26"/>
      <c r="H827" s="5"/>
    </row>
    <row r="828" spans="3:23" ht="14.25" customHeight="1">
      <c r="C828" s="245"/>
      <c r="D828" s="26"/>
      <c r="E828" s="26"/>
      <c r="F828" s="26"/>
      <c r="G828" s="26"/>
      <c r="H828" s="5"/>
    </row>
    <row r="829" spans="3:23" ht="14.25" customHeight="1">
      <c r="C829" s="245"/>
      <c r="D829" s="26"/>
      <c r="E829" s="26"/>
      <c r="F829" s="26"/>
      <c r="G829" s="26"/>
      <c r="H829" s="5"/>
    </row>
    <row r="830" spans="3:23" ht="14.25" customHeight="1">
      <c r="C830" s="245"/>
      <c r="D830" s="26"/>
      <c r="E830" s="26"/>
      <c r="F830" s="26"/>
      <c r="G830" s="26"/>
      <c r="H830" s="5"/>
    </row>
    <row r="831" spans="3:23" ht="14.25" customHeight="1">
      <c r="C831" s="245"/>
      <c r="D831" s="26"/>
      <c r="E831" s="26"/>
      <c r="F831" s="26"/>
      <c r="G831" s="26"/>
      <c r="H831" s="5"/>
    </row>
    <row r="832" spans="3:23" ht="14.25" customHeight="1">
      <c r="C832" s="245"/>
      <c r="D832" s="26"/>
      <c r="E832" s="26"/>
      <c r="F832" s="26"/>
      <c r="G832" s="26"/>
      <c r="H832" s="5"/>
    </row>
    <row r="833" spans="3:8" ht="14.25" customHeight="1">
      <c r="C833" s="245"/>
      <c r="D833" s="26"/>
      <c r="E833" s="26"/>
      <c r="F833" s="26"/>
      <c r="G833" s="26"/>
      <c r="H833" s="5"/>
    </row>
    <row r="834" spans="3:8" ht="14.25" customHeight="1">
      <c r="C834" s="245"/>
      <c r="D834" s="26"/>
      <c r="E834" s="26"/>
      <c r="F834" s="26"/>
      <c r="G834" s="26"/>
      <c r="H834" s="5"/>
    </row>
    <row r="835" spans="3:8" ht="14.25" customHeight="1">
      <c r="C835" s="245"/>
      <c r="D835" s="26"/>
      <c r="E835" s="26"/>
      <c r="F835" s="26"/>
      <c r="G835" s="26"/>
      <c r="H835" s="5"/>
    </row>
    <row r="836" spans="3:8" ht="14.25" customHeight="1">
      <c r="C836" s="245"/>
      <c r="D836" s="26"/>
      <c r="E836" s="26"/>
      <c r="F836" s="26"/>
      <c r="G836" s="26"/>
      <c r="H836" s="5"/>
    </row>
    <row r="837" spans="3:8" ht="14.25" customHeight="1">
      <c r="C837" s="245"/>
      <c r="D837" s="26"/>
      <c r="E837" s="26"/>
      <c r="F837" s="26"/>
      <c r="G837" s="26"/>
      <c r="H837" s="5"/>
    </row>
    <row r="838" spans="3:8" ht="14.25" customHeight="1">
      <c r="C838" s="245"/>
      <c r="D838" s="26"/>
      <c r="E838" s="26"/>
      <c r="F838" s="26"/>
      <c r="G838" s="26"/>
      <c r="H838" s="5"/>
    </row>
    <row r="839" spans="3:8" ht="14.25" customHeight="1">
      <c r="C839" s="245"/>
      <c r="D839" s="26"/>
      <c r="E839" s="26"/>
      <c r="F839" s="26"/>
      <c r="G839" s="26"/>
      <c r="H839" s="5"/>
    </row>
    <row r="840" spans="3:8" ht="14.25" customHeight="1">
      <c r="C840" s="245"/>
      <c r="D840" s="26"/>
      <c r="E840" s="26"/>
      <c r="F840" s="26"/>
      <c r="G840" s="26"/>
      <c r="H840" s="5"/>
    </row>
    <row r="841" spans="3:8" ht="14.25" customHeight="1">
      <c r="C841" s="245"/>
      <c r="D841" s="26"/>
      <c r="E841" s="26"/>
      <c r="F841" s="26"/>
      <c r="G841" s="26"/>
      <c r="H841" s="5"/>
    </row>
    <row r="842" spans="3:8" ht="14.25" customHeight="1">
      <c r="C842" s="245"/>
      <c r="D842" s="26"/>
      <c r="E842" s="26"/>
      <c r="F842" s="26"/>
      <c r="G842" s="26"/>
      <c r="H842" s="5"/>
    </row>
    <row r="843" spans="3:8" ht="14.25" customHeight="1">
      <c r="C843" s="245"/>
      <c r="D843" s="26"/>
      <c r="E843" s="26"/>
      <c r="F843" s="26"/>
      <c r="G843" s="26"/>
      <c r="H843" s="5"/>
    </row>
    <row r="844" spans="3:8" ht="14.25" customHeight="1">
      <c r="C844" s="245"/>
      <c r="D844" s="26"/>
      <c r="E844" s="26"/>
      <c r="F844" s="26"/>
      <c r="G844" s="26"/>
      <c r="H844" s="5"/>
    </row>
    <row r="845" spans="3:8" ht="14.25" customHeight="1">
      <c r="C845" s="245"/>
      <c r="D845" s="26"/>
      <c r="E845" s="26"/>
      <c r="F845" s="26"/>
      <c r="G845" s="26"/>
      <c r="H845" s="5"/>
    </row>
    <row r="846" spans="3:8" ht="14.25" customHeight="1">
      <c r="C846" s="245"/>
      <c r="D846" s="26"/>
      <c r="E846" s="26"/>
      <c r="F846" s="26"/>
      <c r="G846" s="26"/>
      <c r="H846" s="5"/>
    </row>
    <row r="847" spans="3:8" ht="14.25" customHeight="1">
      <c r="C847" s="245"/>
      <c r="D847" s="26"/>
      <c r="E847" s="26"/>
      <c r="F847" s="26"/>
      <c r="G847" s="26"/>
      <c r="H847" s="5"/>
    </row>
    <row r="848" spans="3:8" ht="14.25" customHeight="1">
      <c r="C848" s="245"/>
      <c r="D848" s="26"/>
      <c r="E848" s="26"/>
      <c r="F848" s="26"/>
      <c r="G848" s="26"/>
      <c r="H848" s="5"/>
    </row>
    <row r="849" spans="3:35" ht="14.25" customHeight="1">
      <c r="C849" s="245"/>
      <c r="D849" s="26"/>
      <c r="E849" s="26"/>
      <c r="F849" s="26"/>
      <c r="G849" s="26"/>
      <c r="H849" s="5"/>
    </row>
    <row r="850" spans="3:35" ht="14.25" customHeight="1">
      <c r="C850" s="245"/>
      <c r="D850" s="26"/>
      <c r="E850" s="26"/>
      <c r="F850" s="26"/>
      <c r="G850" s="26"/>
      <c r="H850" s="5"/>
    </row>
    <row r="851" spans="3:35" ht="14.25" customHeight="1">
      <c r="C851" s="245"/>
      <c r="D851" s="26"/>
      <c r="E851" s="26"/>
      <c r="F851" s="26"/>
      <c r="G851" s="26"/>
      <c r="H851" s="5"/>
    </row>
    <row r="852" spans="3:35" ht="14.25" customHeight="1">
      <c r="C852" s="245"/>
      <c r="D852" s="26"/>
      <c r="E852" s="26"/>
      <c r="F852" s="26"/>
      <c r="G852" s="26"/>
      <c r="H852" s="5"/>
    </row>
    <row r="853" spans="3:35" ht="14.25" customHeight="1">
      <c r="C853" s="245"/>
      <c r="D853" s="26"/>
      <c r="E853" s="26"/>
      <c r="F853" s="26"/>
      <c r="G853" s="26"/>
      <c r="H853" s="5"/>
    </row>
    <row r="854" spans="3:35" ht="14.25" customHeight="1">
      <c r="C854" s="245"/>
      <c r="D854" s="26"/>
      <c r="E854" s="26"/>
      <c r="F854" s="26"/>
      <c r="G854" s="26"/>
      <c r="H854" s="5"/>
    </row>
    <row r="855" spans="3:35" ht="14.25" customHeight="1">
      <c r="C855" s="245"/>
      <c r="D855" s="26"/>
      <c r="E855" s="26"/>
      <c r="F855" s="26"/>
      <c r="G855" s="26"/>
      <c r="H855" s="5"/>
    </row>
    <row r="856" spans="3:35" ht="14.25" customHeight="1">
      <c r="C856" s="245"/>
      <c r="D856" s="26"/>
      <c r="E856" s="26"/>
      <c r="F856" s="26"/>
      <c r="G856" s="26"/>
      <c r="H856" s="5"/>
    </row>
    <row r="857" spans="3:35" ht="14.25" customHeight="1">
      <c r="C857" s="245"/>
      <c r="D857" s="26"/>
      <c r="E857" s="26"/>
      <c r="F857" s="26"/>
      <c r="G857" s="26"/>
      <c r="H857" s="5"/>
    </row>
    <row r="858" spans="3:35" ht="14.25" customHeight="1">
      <c r="C858" s="245"/>
      <c r="D858" s="26"/>
      <c r="E858" s="26"/>
      <c r="F858" s="26"/>
      <c r="G858" s="26"/>
      <c r="H858" s="5"/>
    </row>
    <row r="859" spans="3:35" ht="14.25" customHeight="1">
      <c r="C859" s="245"/>
      <c r="D859" s="26"/>
      <c r="E859" s="26"/>
      <c r="F859" s="26"/>
      <c r="G859" s="26"/>
      <c r="H859" s="5"/>
    </row>
    <row r="860" spans="3:35" ht="14.25" customHeight="1">
      <c r="C860" s="245"/>
      <c r="D860" s="26"/>
      <c r="E860" s="26"/>
      <c r="F860" s="26"/>
      <c r="G860" s="26"/>
      <c r="H860" s="5"/>
    </row>
    <row r="861" spans="3:35" ht="14.25" customHeight="1">
      <c r="C861" s="245"/>
      <c r="D861" s="26"/>
      <c r="E861" s="26"/>
      <c r="F861" s="26"/>
      <c r="G861" s="26"/>
      <c r="H861" s="5"/>
      <c r="AH861" s="289">
        <f>AC861/100*12+AC861</f>
        <v>0</v>
      </c>
      <c r="AI861" s="289" t="e">
        <f>AH861/AC861-1</f>
        <v>#DIV/0!</v>
      </c>
    </row>
    <row r="862" spans="3:35" ht="14.25" customHeight="1">
      <c r="C862" s="245"/>
      <c r="D862" s="26"/>
      <c r="E862" s="26"/>
      <c r="F862" s="26"/>
      <c r="G862" s="26"/>
      <c r="H862" s="5"/>
    </row>
    <row r="863" spans="3:35" ht="14.25" customHeight="1">
      <c r="C863" s="245"/>
      <c r="D863" s="26"/>
      <c r="E863" s="26"/>
      <c r="F863" s="26"/>
      <c r="G863" s="26"/>
      <c r="H863" s="5"/>
    </row>
    <row r="864" spans="3:35" ht="14.25" customHeight="1">
      <c r="C864" s="245"/>
      <c r="D864" s="26"/>
      <c r="E864" s="26"/>
      <c r="F864" s="26"/>
      <c r="G864" s="26"/>
      <c r="H864" s="5"/>
    </row>
    <row r="865" spans="1:46" ht="14.25" customHeight="1">
      <c r="C865" s="245"/>
      <c r="D865" s="26"/>
      <c r="E865" s="26"/>
      <c r="F865" s="26"/>
      <c r="G865" s="26"/>
      <c r="H865" s="5"/>
    </row>
    <row r="866" spans="1:46" ht="14.25" customHeight="1">
      <c r="C866" s="245"/>
      <c r="D866" s="26"/>
      <c r="E866" s="26"/>
      <c r="F866" s="26"/>
      <c r="G866" s="26"/>
      <c r="H866" s="5"/>
    </row>
    <row r="867" spans="1:46" s="8" customFormat="1">
      <c r="B867" s="494" t="str">
        <f>TITLE!C20</f>
        <v>Полотна збірні: ЛІСА</v>
      </c>
      <c r="C867" s="494"/>
      <c r="D867" s="118"/>
      <c r="E867" s="118"/>
      <c r="F867" s="118"/>
      <c r="G867" s="118"/>
      <c r="H867" s="496"/>
      <c r="I867" s="496"/>
      <c r="J867" s="121"/>
      <c r="K867" s="121"/>
      <c r="L867" s="121"/>
      <c r="M867" s="121"/>
      <c r="N867" s="121"/>
      <c r="O867" s="121"/>
      <c r="P867" s="121"/>
      <c r="Q867" s="121"/>
      <c r="R867" s="121"/>
      <c r="S867" s="121"/>
      <c r="T867" s="517" t="str">
        <f>IF($C$1="ENG",CONCATENATE("up to: ",B794),CONCATENATE("вгору до: ",B794))</f>
        <v>вгору до: Полотна збірні: НІКА</v>
      </c>
      <c r="U867" s="517"/>
      <c r="V867" s="517"/>
      <c r="W867" s="517"/>
      <c r="AN867" s="280"/>
      <c r="AO867" s="280"/>
      <c r="AP867" s="280"/>
      <c r="AQ867" s="280"/>
      <c r="AR867" s="280"/>
      <c r="AS867" s="280"/>
      <c r="AT867" s="280"/>
    </row>
    <row r="868" spans="1:46" s="8" customFormat="1" ht="5.0999999999999996" customHeight="1">
      <c r="B868" s="117"/>
      <c r="C868" s="420"/>
      <c r="D868" s="9"/>
      <c r="E868" s="9"/>
      <c r="F868" s="9"/>
      <c r="G868" s="9"/>
      <c r="H868" s="120"/>
      <c r="I868" s="120"/>
      <c r="T868" s="115"/>
      <c r="U868" s="115"/>
      <c r="V868" s="115"/>
      <c r="W868" s="115"/>
      <c r="AN868" s="280"/>
      <c r="AO868" s="280"/>
      <c r="AP868" s="280"/>
      <c r="AQ868" s="280"/>
      <c r="AR868" s="280"/>
      <c r="AS868" s="280"/>
      <c r="AT868" s="280"/>
    </row>
    <row r="869" spans="1:46" s="8" customFormat="1" ht="12.75" customHeight="1">
      <c r="B869" s="509" t="str">
        <f>IF($C$1="ENG","model","модель")</f>
        <v>модель</v>
      </c>
      <c r="C869" s="122" t="str">
        <f>IF($C$1="ENG","cover:","покриття:")</f>
        <v>покриття:</v>
      </c>
      <c r="D869" s="498" t="str">
        <f>IF($C$1="ENG","Verto-CELL","Verto-CELL")</f>
        <v>Verto-CELL</v>
      </c>
      <c r="E869" s="500"/>
      <c r="F869" s="498" t="str">
        <f>IF($C$1="ENG","UNI-MAT","UNI-MAT")</f>
        <v>UNI-MAT</v>
      </c>
      <c r="G869" s="500"/>
      <c r="H869" s="498" t="str">
        <f>IF($C$1="ENG","RESIST","RESIST")</f>
        <v>RESIST</v>
      </c>
      <c r="I869" s="500"/>
      <c r="J869" s="498" t="str">
        <f>IF($C$1="ENG","Verto LINE-3D","Verto LINE-3D")</f>
        <v>Verto LINE-3D</v>
      </c>
      <c r="K869" s="500"/>
      <c r="L869" s="498" t="str">
        <f>IF($C$1="ENG","ECO Shpon","ЕКО Шпон")</f>
        <v>ЕКО Шпон</v>
      </c>
      <c r="M869" s="500"/>
      <c r="P869" s="1"/>
      <c r="Q869" s="1"/>
      <c r="T869" s="115"/>
      <c r="U869" s="115"/>
      <c r="V869" s="115"/>
      <c r="W869" s="115"/>
      <c r="AN869" s="280"/>
      <c r="AO869" s="280"/>
      <c r="AP869" s="280"/>
      <c r="AQ869" s="280"/>
      <c r="AR869" s="280"/>
      <c r="AS869" s="280"/>
      <c r="AT869" s="280"/>
    </row>
    <row r="870" spans="1:46" s="8" customFormat="1" ht="26.25" customHeight="1">
      <c r="B870" s="510"/>
      <c r="C870" s="123" t="str">
        <f>IF($C$1="ENG","filling:","заповнення:")</f>
        <v>заповнення:</v>
      </c>
      <c r="D870" s="505" t="str">
        <f>IF($C$1="ENG","softwood","клеєний сосновий брус")</f>
        <v>клеєний сосновий брус</v>
      </c>
      <c r="E870" s="506"/>
      <c r="F870" s="505" t="str">
        <f>IF($C$1="ENG","softwood","клеєний сосновий брус")</f>
        <v>клеєний сосновий брус</v>
      </c>
      <c r="G870" s="506"/>
      <c r="H870" s="505" t="str">
        <f>IF($C$1="ENG","softwood","клеєний сосновий брус")</f>
        <v>клеєний сосновий брус</v>
      </c>
      <c r="I870" s="506"/>
      <c r="J870" s="505" t="str">
        <f>IF($C$1="ENG","softwood","клеєний сосновий брус")</f>
        <v>клеєний сосновий брус</v>
      </c>
      <c r="K870" s="506"/>
      <c r="L870" s="505" t="str">
        <f>IF($C$1="ENG","softwood","клеєний сосновий брус")</f>
        <v>клеєний сосновий брус</v>
      </c>
      <c r="M870" s="506"/>
      <c r="P870" s="1"/>
      <c r="Q870" s="1"/>
      <c r="T870" s="115"/>
      <c r="U870" s="115"/>
      <c r="V870" s="115"/>
      <c r="W870" s="115"/>
      <c r="AD870" s="383">
        <f>AD872/AC872-1</f>
        <v>0.10321489001692052</v>
      </c>
      <c r="AE870" s="383">
        <f>AE872/AD872-1</f>
        <v>2.914110429447847E-2</v>
      </c>
      <c r="AF870" s="383">
        <f>AF872/AE872-1</f>
        <v>7.6005961251862875E-2</v>
      </c>
      <c r="AG870" s="383">
        <f>AG872/AF872-1</f>
        <v>4.8476454293628901E-2</v>
      </c>
      <c r="AN870" s="280"/>
      <c r="AO870" s="280"/>
      <c r="AP870" s="280"/>
      <c r="AQ870" s="280"/>
      <c r="AR870" s="280"/>
      <c r="AS870" s="280"/>
      <c r="AT870" s="280"/>
    </row>
    <row r="871" spans="1:46" ht="12.75" customHeight="1">
      <c r="A871" s="8"/>
      <c r="B871" s="511"/>
      <c r="C871" s="124" t="str">
        <f>IF($C$1="ENG","glazing:","скління:")</f>
        <v>скління:</v>
      </c>
      <c r="D871" s="489" t="str">
        <f>IF($C$1="ENG","Satin","Сатин")</f>
        <v>Сатин</v>
      </c>
      <c r="E871" s="492"/>
      <c r="F871" s="489" t="str">
        <f>IF($C$1="ENG","Satin","Сатин")</f>
        <v>Сатин</v>
      </c>
      <c r="G871" s="492"/>
      <c r="H871" s="489" t="str">
        <f>IF($C$1="ENG","Satin","Сатин")</f>
        <v>Сатин</v>
      </c>
      <c r="I871" s="492"/>
      <c r="J871" s="489" t="str">
        <f>IF($C$1="ENG","Satin","Сатин")</f>
        <v>Сатин</v>
      </c>
      <c r="K871" s="492"/>
      <c r="L871" s="489" t="str">
        <f>IF($C$1="ENG","Satin","Сатин")</f>
        <v>Сатин</v>
      </c>
      <c r="M871" s="492"/>
    </row>
    <row r="872" spans="1:46" ht="35.1" customHeight="1">
      <c r="A872" s="8"/>
      <c r="B872" s="16" t="s">
        <v>28</v>
      </c>
      <c r="C872" s="17"/>
      <c r="D872" s="18">
        <f>IF(AC872="","",(1-$W$2)*(AC872/1.2))</f>
        <v>4925</v>
      </c>
      <c r="E872" s="66">
        <f>IF($W$5=0.2,D872*1.2,D872)/$W$4</f>
        <v>5910</v>
      </c>
      <c r="F872" s="18">
        <f>IF(AD872="","",(1-$W$2)*(AD872/1.2))</f>
        <v>5433.3333333333339</v>
      </c>
      <c r="G872" s="66">
        <f>IF($W$5=0.2,F872*1.2,F872)/$W$4</f>
        <v>6520.0000000000009</v>
      </c>
      <c r="H872" s="18">
        <f>IF(AE872="","",(1-$W$2)*(AE872/1.2))</f>
        <v>5591.666666666667</v>
      </c>
      <c r="I872" s="66">
        <f>IF($W$5=0.2,H872*1.2,H872)/$W$4</f>
        <v>6710</v>
      </c>
      <c r="J872" s="18">
        <f>IF(AF872="","",(1-$W$2)*(AF872/1.2))</f>
        <v>6016.666666666667</v>
      </c>
      <c r="K872" s="66">
        <f>IF($W$5=0.2,J872*1.2,J872)/$W$4</f>
        <v>7220</v>
      </c>
      <c r="L872" s="18">
        <f>IF(AG872="","",(1-$W$2)*(AG872/1.2))</f>
        <v>6308.3333333333339</v>
      </c>
      <c r="M872" s="66">
        <f>IF($W$5=0.2,L872*1.2,L872)/$W$4</f>
        <v>7570</v>
      </c>
      <c r="N872" s="104"/>
      <c r="R872" s="104"/>
      <c r="T872" s="104"/>
      <c r="U872" s="20"/>
      <c r="V872" s="104"/>
      <c r="W872" s="20"/>
      <c r="X872" s="104"/>
      <c r="Y872" s="104"/>
      <c r="Z872" s="104"/>
      <c r="AA872" s="104"/>
      <c r="AB872" s="104"/>
      <c r="AC872" s="332">
        <v>5910</v>
      </c>
      <c r="AD872" s="391">
        <v>6520</v>
      </c>
      <c r="AE872" s="332">
        <v>6710</v>
      </c>
      <c r="AF872" s="332">
        <v>7220</v>
      </c>
      <c r="AG872" s="332">
        <v>7570</v>
      </c>
      <c r="AH872" s="289">
        <v>5910</v>
      </c>
      <c r="AI872" s="398">
        <f>AH872/AC872-1</f>
        <v>0</v>
      </c>
      <c r="AJ872" s="289">
        <v>6520</v>
      </c>
      <c r="AK872" s="289">
        <f>AJ872/AD872-1</f>
        <v>0</v>
      </c>
      <c r="AL872" s="289">
        <v>6710</v>
      </c>
      <c r="AM872" s="289">
        <f>AL872/AE872-1</f>
        <v>0</v>
      </c>
      <c r="AN872" s="289">
        <v>7220</v>
      </c>
      <c r="AO872" s="289">
        <f>AN872/AF872-1</f>
        <v>0</v>
      </c>
      <c r="AP872" s="289">
        <v>7570</v>
      </c>
      <c r="AQ872" s="289">
        <f>AP872/AG872-1</f>
        <v>0</v>
      </c>
    </row>
    <row r="873" spans="1:46" ht="35.1" customHeight="1">
      <c r="A873" s="8"/>
      <c r="B873" s="23" t="s">
        <v>47</v>
      </c>
      <c r="C873" s="24"/>
      <c r="D873" s="25">
        <f>IF(AC873="","",(1-$W$2)*(AC873/1.2))</f>
        <v>4925</v>
      </c>
      <c r="E873" s="69">
        <f>IF($W$5=0.2,D873*1.2,D873)/$W$4</f>
        <v>5910</v>
      </c>
      <c r="F873" s="25">
        <f>IF(AD873="","",(1-$W$2)*(AD873/1.2))</f>
        <v>5433.3333333333339</v>
      </c>
      <c r="G873" s="69">
        <f>IF($W$5=0.2,F873*1.2,F873)/$W$4</f>
        <v>6520.0000000000009</v>
      </c>
      <c r="H873" s="25">
        <f>IF(AE873="","",(1-$W$2)*(AE873/1.2))</f>
        <v>5591.666666666667</v>
      </c>
      <c r="I873" s="69">
        <f>IF($W$5=0.2,H873*1.2,H873)/$W$4</f>
        <v>6710</v>
      </c>
      <c r="J873" s="25">
        <f>IF(AF873="","",(1-$W$2)*(AF873/1.2))</f>
        <v>6016.666666666667</v>
      </c>
      <c r="K873" s="69">
        <f>IF($W$5=0.2,J873*1.2,J873)/$W$4</f>
        <v>7220</v>
      </c>
      <c r="L873" s="25">
        <f>IF(AG873="","",(1-$W$2)*(AG873/1.2))</f>
        <v>6308.3333333333339</v>
      </c>
      <c r="M873" s="69">
        <f>IF($W$5=0.2,L873*1.2,L873)/$W$4</f>
        <v>7570</v>
      </c>
      <c r="N873" s="104"/>
      <c r="R873" s="104"/>
      <c r="T873" s="104"/>
      <c r="U873" s="20"/>
      <c r="V873" s="104"/>
      <c r="W873" s="20"/>
      <c r="X873" s="104"/>
      <c r="Y873" s="104"/>
      <c r="Z873" s="104"/>
      <c r="AA873" s="104"/>
      <c r="AB873" s="104"/>
      <c r="AC873" s="332">
        <v>5910</v>
      </c>
      <c r="AD873" s="391">
        <v>6520</v>
      </c>
      <c r="AE873" s="332">
        <v>6710</v>
      </c>
      <c r="AF873" s="332">
        <v>7220</v>
      </c>
      <c r="AG873" s="332">
        <v>7570</v>
      </c>
      <c r="AH873" s="289">
        <v>5910</v>
      </c>
      <c r="AI873" s="398">
        <f>AH873/AC873-1</f>
        <v>0</v>
      </c>
      <c r="AJ873" s="289">
        <v>6520</v>
      </c>
      <c r="AK873" s="289">
        <f>AJ873/AD873-1</f>
        <v>0</v>
      </c>
      <c r="AL873" s="289">
        <v>6710</v>
      </c>
      <c r="AM873" s="289">
        <f>AL873/AE873-1</f>
        <v>0</v>
      </c>
      <c r="AN873" s="289">
        <v>7220</v>
      </c>
      <c r="AO873" s="289">
        <f>AN873/AF873-1</f>
        <v>0</v>
      </c>
      <c r="AP873" s="289">
        <v>7570</v>
      </c>
      <c r="AQ873" s="289">
        <f>AP873/AG873-1</f>
        <v>0</v>
      </c>
    </row>
    <row r="874" spans="1:46">
      <c r="C874" s="245"/>
      <c r="D874" s="26"/>
      <c r="E874" s="57"/>
      <c r="F874" s="26"/>
      <c r="G874" s="57"/>
      <c r="H874" s="10"/>
      <c r="I874" s="8"/>
      <c r="J874" s="8"/>
      <c r="K874" s="8"/>
    </row>
    <row r="875" spans="1:46">
      <c r="B875" s="212" t="str">
        <f>IF($C$1="ENG","For additonal charge:","Послуги за додаткову плату:")</f>
        <v>Послуги за додаткову плату:</v>
      </c>
      <c r="C875" s="421"/>
      <c r="D875" s="213"/>
      <c r="E875" s="214"/>
      <c r="F875" s="26"/>
      <c r="G875" s="57"/>
      <c r="H875" s="10"/>
      <c r="I875" s="8"/>
      <c r="J875" s="8"/>
      <c r="K875" s="8"/>
    </row>
    <row r="876" spans="1:46" ht="5.0999999999999996" customHeight="1">
      <c r="B876" s="27"/>
      <c r="C876" s="245"/>
      <c r="D876" s="26"/>
      <c r="E876" s="57"/>
      <c r="F876" s="26"/>
      <c r="G876" s="57"/>
      <c r="H876" s="10"/>
      <c r="I876" s="8"/>
      <c r="J876" s="8"/>
      <c r="K876" s="8"/>
    </row>
    <row r="877" spans="1:46">
      <c r="B877" s="514" t="str">
        <f>IF($C$1="ENG","door leaf with width 100","полотно розміром 100")</f>
        <v>полотно розміром 100</v>
      </c>
      <c r="C877" s="515"/>
      <c r="D877" s="410">
        <f t="shared" ref="D877:D889" si="117">IF(AC877="","",(1-$W$2)*(AC877/1.2))</f>
        <v>600</v>
      </c>
      <c r="E877" s="92">
        <f t="shared" ref="E877:E888" si="118">IF($W$5=0.2,D877*1.2,D877)/$W$4</f>
        <v>720</v>
      </c>
      <c r="F877" s="26"/>
      <c r="G877" s="26"/>
      <c r="H877" s="10"/>
      <c r="I877" s="8"/>
      <c r="J877" s="8"/>
      <c r="K877" s="8"/>
      <c r="AC877" s="298">
        <v>720</v>
      </c>
      <c r="AD877" s="298">
        <v>720</v>
      </c>
      <c r="AE877" s="289"/>
      <c r="AF877" s="289"/>
      <c r="AG877" s="289"/>
      <c r="AH877" s="289"/>
      <c r="AI877" s="289"/>
      <c r="AJ877" s="289"/>
      <c r="AK877" s="289"/>
      <c r="AL877" s="289"/>
    </row>
    <row r="878" spans="1:46">
      <c r="B878" s="514" t="str">
        <f>IF($C$1="ENG","Ventilation cut","вентиляційний підріз")</f>
        <v>вентиляційний підріз</v>
      </c>
      <c r="C878" s="515"/>
      <c r="D878" s="405">
        <f t="shared" si="117"/>
        <v>141.66666666666669</v>
      </c>
      <c r="E878" s="66">
        <f t="shared" si="118"/>
        <v>170.00000000000003</v>
      </c>
      <c r="F878" s="26"/>
      <c r="G878" s="26"/>
      <c r="I878" s="59"/>
      <c r="J878" s="28"/>
      <c r="AC878" s="298">
        <v>170</v>
      </c>
      <c r="AD878" s="298">
        <v>170</v>
      </c>
      <c r="AE878" s="289"/>
      <c r="AF878" s="289"/>
      <c r="AG878" s="289"/>
      <c r="AH878" s="289"/>
      <c r="AI878" s="289"/>
      <c r="AJ878" s="289"/>
      <c r="AK878" s="289"/>
      <c r="AL878" s="289"/>
    </row>
    <row r="879" spans="1:46">
      <c r="B879" s="501" t="str">
        <f>IF($C$1="ENG","glazing Graphite / Bronze","скло Графіт / Бронза")</f>
        <v>скло Графіт / Бронза</v>
      </c>
      <c r="C879" s="502"/>
      <c r="D879" s="407">
        <f t="shared" si="117"/>
        <v>458.33333333333337</v>
      </c>
      <c r="E879" s="93">
        <f t="shared" si="118"/>
        <v>550</v>
      </c>
      <c r="F879" s="26"/>
      <c r="G879" s="26"/>
      <c r="H879" s="5"/>
      <c r="AC879" s="298">
        <v>550</v>
      </c>
      <c r="AD879" s="298">
        <v>550</v>
      </c>
      <c r="AE879" s="289"/>
      <c r="AF879" s="289"/>
      <c r="AG879" s="289"/>
      <c r="AH879" s="289"/>
      <c r="AI879" s="289"/>
      <c r="AJ879" s="289"/>
      <c r="AK879" s="289"/>
      <c r="AL879" s="289"/>
    </row>
    <row r="880" spans="1:46">
      <c r="B880" s="501" t="str">
        <f>IF($C$1="ENG","glazing Lacobel black ","скло Lacobel чорне")</f>
        <v>скло Lacobel чорне</v>
      </c>
      <c r="C880" s="502"/>
      <c r="D880" s="407">
        <f t="shared" si="117"/>
        <v>458.33333333333337</v>
      </c>
      <c r="E880" s="93">
        <f>IF($W$5=0.2,D880*1.2,D880)/$W$4</f>
        <v>550</v>
      </c>
      <c r="F880" s="26"/>
      <c r="G880" s="26"/>
      <c r="H880" s="5"/>
      <c r="AC880" s="298">
        <v>550</v>
      </c>
      <c r="AD880" s="298">
        <v>550</v>
      </c>
      <c r="AE880" s="289"/>
      <c r="AF880" s="289"/>
      <c r="AG880" s="289"/>
      <c r="AH880" s="289"/>
      <c r="AI880" s="289"/>
      <c r="AJ880" s="289"/>
      <c r="AK880" s="289"/>
      <c r="AL880" s="289"/>
    </row>
    <row r="881" spans="2:38">
      <c r="B881" s="501" t="str">
        <f>IF($C$1="ENG","door lock Soft","замок Soft")</f>
        <v>замок Soft</v>
      </c>
      <c r="C881" s="502"/>
      <c r="D881" s="407">
        <f t="shared" si="117"/>
        <v>458.33333333333337</v>
      </c>
      <c r="E881" s="93">
        <f t="shared" si="118"/>
        <v>550</v>
      </c>
      <c r="F881" s="26"/>
      <c r="G881" s="26"/>
      <c r="H881" s="5"/>
      <c r="AC881" s="298">
        <v>550</v>
      </c>
      <c r="AD881" s="298">
        <v>550</v>
      </c>
      <c r="AE881" s="289"/>
      <c r="AF881" s="289"/>
      <c r="AG881" s="289"/>
      <c r="AH881" s="289"/>
      <c r="AI881" s="289"/>
      <c r="AJ881" s="289"/>
      <c r="AK881" s="289"/>
      <c r="AL881" s="289"/>
    </row>
    <row r="882" spans="2:38">
      <c r="B882" s="501" t="str">
        <f>IF($C$1="ENG","door lock Soft black","замок Soft чорн.")</f>
        <v>замок Soft чорн.</v>
      </c>
      <c r="C882" s="502"/>
      <c r="D882" s="407">
        <f t="shared" ref="D882" si="119">IF(AC882="","",(1-$W$2)*(AC882/1.2))</f>
        <v>566.66666666666674</v>
      </c>
      <c r="E882" s="93">
        <f t="shared" ref="E882" si="120">IF($W$5=0.2,D882*1.2,D882)/$W$4</f>
        <v>680.00000000000011</v>
      </c>
      <c r="F882" s="26"/>
      <c r="G882" s="26"/>
      <c r="H882" s="5"/>
      <c r="AC882" s="298">
        <v>680</v>
      </c>
      <c r="AD882" s="298"/>
      <c r="AE882" s="289"/>
      <c r="AF882" s="289"/>
      <c r="AG882" s="289"/>
      <c r="AH882" s="289"/>
      <c r="AI882" s="289"/>
      <c r="AJ882" s="289"/>
      <c r="AK882" s="289"/>
      <c r="AL882" s="289"/>
    </row>
    <row r="883" spans="2:38">
      <c r="B883" s="501" t="str">
        <f>IF($C$1="ENG","door lock Magnet","замок Magnet")</f>
        <v>замок Magnet</v>
      </c>
      <c r="C883" s="502"/>
      <c r="D883" s="407">
        <f t="shared" si="117"/>
        <v>666.66666666666674</v>
      </c>
      <c r="E883" s="93">
        <f t="shared" si="118"/>
        <v>800.00000000000011</v>
      </c>
      <c r="F883" s="26"/>
      <c r="G883" s="26"/>
      <c r="H883" s="5"/>
      <c r="AC883" s="298">
        <v>800</v>
      </c>
      <c r="AD883" s="298">
        <v>800</v>
      </c>
      <c r="AE883" s="289"/>
      <c r="AF883" s="289"/>
      <c r="AG883" s="289"/>
      <c r="AH883" s="289"/>
      <c r="AI883" s="289"/>
      <c r="AJ883" s="289"/>
      <c r="AK883" s="289"/>
      <c r="AL883" s="289"/>
    </row>
    <row r="884" spans="2:38">
      <c r="B884" s="501" t="s">
        <v>76</v>
      </c>
      <c r="C884" s="502"/>
      <c r="D884" s="407">
        <f t="shared" ref="D884" si="121">IF(AC884="","",(1-$W$2)*(AC884/1.2))</f>
        <v>833.33333333333337</v>
      </c>
      <c r="E884" s="93">
        <f t="shared" ref="E884" si="122">IF($W$5=0.2,D884*1.2,D884)/$W$4</f>
        <v>1000</v>
      </c>
      <c r="F884" s="26"/>
      <c r="G884" s="26"/>
      <c r="H884" s="5"/>
      <c r="AC884" s="298">
        <v>1000</v>
      </c>
      <c r="AD884" s="298"/>
      <c r="AE884" s="289"/>
      <c r="AF884" s="289"/>
      <c r="AG884" s="289"/>
      <c r="AH884" s="289"/>
      <c r="AI884" s="289"/>
      <c r="AJ884" s="289"/>
      <c r="AK884" s="289"/>
      <c r="AL884" s="289"/>
    </row>
    <row r="885" spans="2:38">
      <c r="B885" s="501" t="str">
        <f>IF($C$1="ENG","door handle-lock (for sliding doors)","ручка-замок (для дверей купе)")</f>
        <v>ручка-замок (для дверей купе)</v>
      </c>
      <c r="C885" s="502"/>
      <c r="D885" s="405">
        <f t="shared" si="117"/>
        <v>466.66666666666669</v>
      </c>
      <c r="E885" s="93">
        <f t="shared" si="118"/>
        <v>560</v>
      </c>
      <c r="F885" s="26"/>
      <c r="G885" s="26"/>
      <c r="I885" s="11"/>
      <c r="J885" s="11"/>
      <c r="K885" s="19"/>
      <c r="AC885" s="298">
        <v>560</v>
      </c>
      <c r="AD885" s="298">
        <v>560</v>
      </c>
      <c r="AE885" s="289"/>
      <c r="AF885" s="289"/>
      <c r="AG885" s="289"/>
      <c r="AH885" s="289"/>
      <c r="AI885" s="289"/>
      <c r="AJ885" s="289"/>
      <c r="AK885" s="289"/>
      <c r="AL885" s="289"/>
    </row>
    <row r="886" spans="2:38">
      <c r="B886" s="501" t="str">
        <f>IF($C$1="ENG","cylinder incert","циліндр несиметричний")</f>
        <v>циліндр несиметричний</v>
      </c>
      <c r="C886" s="502"/>
      <c r="D886" s="405">
        <f t="shared" si="117"/>
        <v>325</v>
      </c>
      <c r="E886" s="93">
        <f t="shared" si="118"/>
        <v>390</v>
      </c>
      <c r="F886" s="26"/>
      <c r="G886" s="26"/>
      <c r="AC886" s="298">
        <v>390</v>
      </c>
      <c r="AD886" s="298">
        <v>390</v>
      </c>
      <c r="AE886" s="289"/>
      <c r="AF886" s="289"/>
      <c r="AG886" s="289"/>
      <c r="AH886" s="289"/>
      <c r="AI886" s="289"/>
      <c r="AJ886" s="289"/>
      <c r="AK886" s="289"/>
      <c r="AL886" s="289"/>
    </row>
    <row r="887" spans="2:38">
      <c r="B887" s="501" t="str">
        <f>IF($C$1="ENG","door hindge Prestige (1 unit)","завіса Prestige (1 шт)")</f>
        <v>завіса Prestige (1 шт)</v>
      </c>
      <c r="C887" s="502"/>
      <c r="D887" s="408">
        <f t="shared" si="117"/>
        <v>216.66666666666669</v>
      </c>
      <c r="E887" s="93">
        <f t="shared" si="118"/>
        <v>260</v>
      </c>
      <c r="F887" s="26"/>
      <c r="G887" s="26"/>
      <c r="AC887" s="298">
        <v>260</v>
      </c>
      <c r="AD887" s="298">
        <v>260</v>
      </c>
      <c r="AE887" s="289"/>
      <c r="AF887" s="289"/>
      <c r="AG887" s="289"/>
      <c r="AH887" s="289"/>
      <c r="AI887" s="289"/>
      <c r="AJ887" s="289"/>
      <c r="AK887" s="289"/>
      <c r="AL887" s="289"/>
    </row>
    <row r="888" spans="2:38">
      <c r="B888" s="501" t="str">
        <f>IF($C$1="ENG","door hinge caps (1 set)","накладка на завіси (1 к-т)")</f>
        <v>накладка на завіси (1 к-т)</v>
      </c>
      <c r="C888" s="502"/>
      <c r="D888" s="408">
        <f t="shared" si="117"/>
        <v>66.666666666666671</v>
      </c>
      <c r="E888" s="93">
        <f t="shared" si="118"/>
        <v>80</v>
      </c>
      <c r="F888" s="26"/>
      <c r="G888" s="26"/>
      <c r="AC888" s="298">
        <v>80</v>
      </c>
      <c r="AD888" s="298">
        <v>80</v>
      </c>
      <c r="AE888" s="289"/>
      <c r="AF888" s="289"/>
      <c r="AG888" s="289"/>
      <c r="AH888" s="289"/>
      <c r="AI888" s="289"/>
      <c r="AJ888" s="289"/>
      <c r="AK888" s="289"/>
      <c r="AL888" s="289"/>
    </row>
    <row r="889" spans="2:38">
      <c r="B889" s="501" t="str">
        <f>IF($C$1="ENG","door handle","дверна ручка")</f>
        <v>дверна ручка</v>
      </c>
      <c r="C889" s="502"/>
      <c r="D889" s="409" t="str">
        <f t="shared" si="117"/>
        <v/>
      </c>
      <c r="E889" s="247" t="str">
        <f>IF($C$1="ENG","see Handles Price","див. Таблицю Ручки")</f>
        <v>див. Таблицю Ручки</v>
      </c>
      <c r="F889" s="26"/>
      <c r="G889" s="26"/>
      <c r="AC889" s="289"/>
      <c r="AD889" s="289"/>
      <c r="AE889" s="289"/>
      <c r="AF889" s="289"/>
      <c r="AG889" s="289"/>
      <c r="AH889" s="289"/>
      <c r="AI889" s="289"/>
      <c r="AJ889" s="289"/>
      <c r="AK889" s="289"/>
      <c r="AL889" s="289"/>
    </row>
    <row r="890" spans="2:38" ht="14.25" customHeight="1">
      <c r="C890" s="245"/>
      <c r="D890" s="26"/>
      <c r="E890" s="26"/>
      <c r="F890" s="26"/>
      <c r="G890" s="26"/>
      <c r="H890" s="5"/>
      <c r="T890" s="503" t="str">
        <f>IF($C$1="ENG",CONCATENATE("down to: ",B940),CONCATENATE("вниз до: ",B940))</f>
        <v>вниз до: Полотна збірні: ЛАДА-КОНЦЕПТ</v>
      </c>
      <c r="U890" s="503"/>
      <c r="V890" s="503"/>
      <c r="W890" s="503"/>
    </row>
    <row r="891" spans="2:38" ht="14.25" customHeight="1">
      <c r="C891" s="245"/>
      <c r="D891" s="26"/>
      <c r="E891" s="26"/>
      <c r="F891" s="26"/>
      <c r="G891" s="26"/>
      <c r="H891" s="5"/>
    </row>
    <row r="892" spans="2:38" ht="14.25" customHeight="1">
      <c r="C892" s="245"/>
      <c r="D892" s="26"/>
      <c r="E892" s="26"/>
      <c r="F892" s="26"/>
      <c r="G892" s="26"/>
      <c r="H892" s="5"/>
    </row>
    <row r="893" spans="2:38" ht="14.25" customHeight="1">
      <c r="C893" s="245"/>
      <c r="D893" s="26"/>
      <c r="E893" s="26"/>
      <c r="F893" s="26"/>
      <c r="G893" s="26"/>
      <c r="H893" s="5"/>
    </row>
    <row r="894" spans="2:38" ht="14.25" customHeight="1">
      <c r="C894" s="245"/>
      <c r="D894" s="26"/>
      <c r="E894" s="26"/>
      <c r="F894" s="26"/>
      <c r="G894" s="26"/>
      <c r="H894" s="5"/>
    </row>
    <row r="895" spans="2:38" ht="14.25" customHeight="1">
      <c r="C895" s="245"/>
      <c r="D895" s="26"/>
      <c r="E895" s="26"/>
      <c r="F895" s="26"/>
      <c r="G895" s="26"/>
      <c r="H895" s="5"/>
    </row>
    <row r="896" spans="2:38" ht="14.25" customHeight="1">
      <c r="C896" s="245"/>
      <c r="D896" s="26"/>
      <c r="E896" s="26"/>
      <c r="F896" s="26"/>
      <c r="G896" s="26"/>
      <c r="H896" s="5"/>
    </row>
    <row r="897" spans="3:8" ht="14.25" customHeight="1">
      <c r="C897" s="245"/>
      <c r="D897" s="26"/>
      <c r="E897" s="26"/>
      <c r="F897" s="26"/>
      <c r="G897" s="26"/>
      <c r="H897" s="5"/>
    </row>
    <row r="898" spans="3:8" ht="14.25" customHeight="1">
      <c r="C898" s="245"/>
      <c r="D898" s="26"/>
      <c r="E898" s="26"/>
      <c r="F898" s="26"/>
      <c r="G898" s="26"/>
      <c r="H898" s="5"/>
    </row>
    <row r="899" spans="3:8" ht="14.25" customHeight="1">
      <c r="C899" s="245"/>
      <c r="D899" s="26"/>
      <c r="E899" s="26"/>
      <c r="F899" s="26"/>
      <c r="G899" s="26"/>
      <c r="H899" s="5"/>
    </row>
    <row r="900" spans="3:8" ht="14.25" customHeight="1">
      <c r="C900" s="245"/>
      <c r="D900" s="26"/>
      <c r="E900" s="26"/>
      <c r="F900" s="26"/>
      <c r="G900" s="26"/>
      <c r="H900" s="5"/>
    </row>
    <row r="901" spans="3:8" ht="14.25" customHeight="1">
      <c r="C901" s="245"/>
      <c r="D901" s="26"/>
      <c r="E901" s="26"/>
      <c r="F901" s="26"/>
      <c r="G901" s="26"/>
      <c r="H901" s="5"/>
    </row>
    <row r="902" spans="3:8" ht="14.25" customHeight="1">
      <c r="C902" s="245"/>
      <c r="D902" s="26"/>
      <c r="E902" s="26"/>
      <c r="F902" s="26"/>
      <c r="G902" s="26"/>
      <c r="H902" s="5"/>
    </row>
    <row r="903" spans="3:8" ht="14.25" customHeight="1">
      <c r="C903" s="245"/>
      <c r="D903" s="26"/>
      <c r="E903" s="26"/>
      <c r="F903" s="26"/>
      <c r="G903" s="26"/>
      <c r="H903" s="5"/>
    </row>
    <row r="904" spans="3:8" ht="14.25" customHeight="1">
      <c r="C904" s="245"/>
      <c r="D904" s="26"/>
      <c r="E904" s="26"/>
      <c r="F904" s="26"/>
      <c r="G904" s="26"/>
      <c r="H904" s="5"/>
    </row>
    <row r="905" spans="3:8" ht="14.25" customHeight="1">
      <c r="C905" s="245"/>
      <c r="D905" s="26"/>
      <c r="E905" s="26"/>
      <c r="F905" s="26"/>
      <c r="G905" s="26"/>
      <c r="H905" s="5"/>
    </row>
    <row r="906" spans="3:8" ht="14.25" customHeight="1">
      <c r="C906" s="245"/>
      <c r="D906" s="26"/>
      <c r="E906" s="26"/>
      <c r="F906" s="26"/>
      <c r="G906" s="26"/>
      <c r="H906" s="5"/>
    </row>
    <row r="907" spans="3:8" ht="14.25" customHeight="1">
      <c r="C907" s="245"/>
      <c r="D907" s="26"/>
      <c r="E907" s="26"/>
      <c r="F907" s="26"/>
      <c r="G907" s="26"/>
      <c r="H907" s="5"/>
    </row>
    <row r="908" spans="3:8" ht="14.25" customHeight="1">
      <c r="C908" s="245"/>
      <c r="D908" s="26"/>
      <c r="E908" s="26"/>
      <c r="F908" s="26"/>
      <c r="G908" s="26"/>
      <c r="H908" s="5"/>
    </row>
    <row r="909" spans="3:8" ht="14.25" customHeight="1">
      <c r="C909" s="245"/>
      <c r="D909" s="26"/>
      <c r="E909" s="26"/>
      <c r="F909" s="26"/>
      <c r="G909" s="26"/>
      <c r="H909" s="5"/>
    </row>
    <row r="910" spans="3:8" ht="14.25" customHeight="1">
      <c r="C910" s="245"/>
      <c r="D910" s="26"/>
      <c r="E910" s="26"/>
      <c r="F910" s="26"/>
      <c r="G910" s="26"/>
      <c r="H910" s="5"/>
    </row>
    <row r="911" spans="3:8" ht="14.25" customHeight="1">
      <c r="C911" s="245"/>
      <c r="D911" s="26"/>
      <c r="E911" s="26"/>
      <c r="F911" s="26"/>
      <c r="G911" s="26"/>
      <c r="H911" s="5"/>
    </row>
    <row r="912" spans="3:8" ht="14.25" customHeight="1">
      <c r="C912" s="245"/>
      <c r="D912" s="26"/>
      <c r="E912" s="26"/>
      <c r="F912" s="26"/>
      <c r="G912" s="26"/>
      <c r="H912" s="5"/>
    </row>
    <row r="913" spans="3:8" ht="14.25" customHeight="1">
      <c r="C913" s="245"/>
      <c r="D913" s="26"/>
      <c r="E913" s="26"/>
      <c r="F913" s="26"/>
      <c r="G913" s="26"/>
      <c r="H913" s="5"/>
    </row>
    <row r="914" spans="3:8" ht="14.25" customHeight="1">
      <c r="C914" s="245"/>
      <c r="D914" s="26"/>
      <c r="E914" s="26"/>
      <c r="F914" s="26"/>
      <c r="G914" s="26"/>
      <c r="H914" s="5"/>
    </row>
    <row r="915" spans="3:8" ht="14.25" customHeight="1">
      <c r="C915" s="245"/>
      <c r="D915" s="26"/>
      <c r="E915" s="26"/>
      <c r="F915" s="26"/>
      <c r="G915" s="26"/>
      <c r="H915" s="5"/>
    </row>
    <row r="916" spans="3:8" ht="14.25" customHeight="1">
      <c r="C916" s="245"/>
      <c r="D916" s="26"/>
      <c r="E916" s="26"/>
      <c r="F916" s="26"/>
      <c r="G916" s="26"/>
      <c r="H916" s="5"/>
    </row>
    <row r="917" spans="3:8" ht="14.25" customHeight="1">
      <c r="C917" s="245"/>
      <c r="D917" s="26"/>
      <c r="E917" s="26"/>
      <c r="F917" s="26"/>
      <c r="G917" s="26"/>
      <c r="H917" s="5"/>
    </row>
    <row r="918" spans="3:8" ht="14.25" customHeight="1">
      <c r="C918" s="245"/>
      <c r="D918" s="26"/>
      <c r="E918" s="26"/>
      <c r="F918" s="26"/>
      <c r="G918" s="26"/>
      <c r="H918" s="5"/>
    </row>
    <row r="919" spans="3:8" ht="14.25" customHeight="1">
      <c r="C919" s="245"/>
      <c r="D919" s="26"/>
      <c r="E919" s="26"/>
      <c r="F919" s="26"/>
      <c r="G919" s="26"/>
      <c r="H919" s="5"/>
    </row>
    <row r="920" spans="3:8" ht="14.25" customHeight="1">
      <c r="C920" s="245"/>
      <c r="D920" s="26"/>
      <c r="E920" s="26"/>
      <c r="F920" s="26"/>
      <c r="G920" s="26"/>
      <c r="H920" s="5"/>
    </row>
    <row r="921" spans="3:8" ht="14.25" customHeight="1">
      <c r="C921" s="245"/>
      <c r="D921" s="26"/>
      <c r="E921" s="26"/>
      <c r="F921" s="26"/>
      <c r="G921" s="26"/>
      <c r="H921" s="5"/>
    </row>
    <row r="922" spans="3:8" ht="14.25" customHeight="1">
      <c r="C922" s="245"/>
      <c r="D922" s="26"/>
      <c r="E922" s="26"/>
      <c r="F922" s="26"/>
      <c r="G922" s="26"/>
      <c r="H922" s="5"/>
    </row>
    <row r="923" spans="3:8" ht="14.25" customHeight="1">
      <c r="C923" s="245"/>
      <c r="D923" s="26"/>
      <c r="E923" s="26"/>
      <c r="F923" s="26"/>
      <c r="G923" s="26"/>
      <c r="H923" s="5"/>
    </row>
    <row r="924" spans="3:8" ht="14.25" customHeight="1">
      <c r="C924" s="245"/>
      <c r="D924" s="26"/>
      <c r="E924" s="26"/>
      <c r="F924" s="26"/>
      <c r="G924" s="26"/>
      <c r="H924" s="5"/>
    </row>
    <row r="925" spans="3:8" ht="14.25" customHeight="1">
      <c r="C925" s="245"/>
      <c r="D925" s="26"/>
      <c r="E925" s="26"/>
      <c r="F925" s="26"/>
      <c r="G925" s="26"/>
      <c r="H925" s="5"/>
    </row>
    <row r="926" spans="3:8" ht="14.25" customHeight="1">
      <c r="C926" s="245"/>
      <c r="D926" s="26"/>
      <c r="E926" s="26"/>
      <c r="F926" s="26"/>
      <c r="G926" s="26"/>
      <c r="H926" s="5"/>
    </row>
    <row r="927" spans="3:8" ht="14.25" customHeight="1">
      <c r="C927" s="245"/>
      <c r="D927" s="26"/>
      <c r="E927" s="26"/>
      <c r="F927" s="26"/>
      <c r="G927" s="26"/>
      <c r="H927" s="5"/>
    </row>
    <row r="928" spans="3:8" ht="14.25" customHeight="1">
      <c r="C928" s="245"/>
      <c r="D928" s="26"/>
      <c r="E928" s="26"/>
      <c r="F928" s="26"/>
      <c r="G928" s="26"/>
      <c r="H928" s="5"/>
    </row>
    <row r="929" spans="1:46" ht="14.25" customHeight="1">
      <c r="C929" s="245"/>
      <c r="D929" s="26"/>
      <c r="E929" s="26"/>
      <c r="F929" s="26"/>
      <c r="G929" s="26"/>
      <c r="H929" s="5"/>
    </row>
    <row r="930" spans="1:46" ht="14.25" customHeight="1">
      <c r="C930" s="245"/>
      <c r="D930" s="26"/>
      <c r="E930" s="26"/>
      <c r="F930" s="26"/>
      <c r="G930" s="26"/>
      <c r="H930" s="5"/>
    </row>
    <row r="931" spans="1:46" ht="14.25" customHeight="1">
      <c r="C931" s="245"/>
      <c r="D931" s="26"/>
      <c r="E931" s="26"/>
      <c r="F931" s="26"/>
      <c r="G931" s="26"/>
      <c r="H931" s="5"/>
    </row>
    <row r="932" spans="1:46" ht="14.25" customHeight="1">
      <c r="C932" s="245"/>
      <c r="D932" s="26"/>
      <c r="E932" s="26"/>
      <c r="F932" s="26"/>
      <c r="G932" s="26"/>
      <c r="H932" s="5"/>
    </row>
    <row r="933" spans="1:46" ht="14.25" customHeight="1">
      <c r="C933" s="245"/>
      <c r="D933" s="26"/>
      <c r="E933" s="26"/>
      <c r="F933" s="26"/>
      <c r="G933" s="26"/>
      <c r="H933" s="5"/>
    </row>
    <row r="934" spans="1:46" ht="14.25" customHeight="1">
      <c r="C934" s="245"/>
      <c r="D934" s="26"/>
      <c r="E934" s="26"/>
      <c r="F934" s="26"/>
      <c r="G934" s="26"/>
      <c r="H934" s="5"/>
    </row>
    <row r="935" spans="1:46" ht="14.25" customHeight="1">
      <c r="C935" s="245"/>
      <c r="D935" s="26"/>
      <c r="E935" s="26"/>
      <c r="F935" s="26"/>
      <c r="G935" s="26"/>
      <c r="H935" s="5"/>
    </row>
    <row r="936" spans="1:46" ht="14.25" customHeight="1">
      <c r="C936" s="245"/>
      <c r="D936" s="26"/>
      <c r="E936" s="26"/>
      <c r="F936" s="26"/>
      <c r="G936" s="26"/>
      <c r="H936" s="5"/>
    </row>
    <row r="937" spans="1:46" ht="14.25" customHeight="1">
      <c r="C937" s="245"/>
      <c r="D937" s="26"/>
      <c r="E937" s="26"/>
      <c r="F937" s="26"/>
      <c r="G937" s="26"/>
      <c r="H937" s="5"/>
    </row>
    <row r="938" spans="1:46" ht="14.25" customHeight="1">
      <c r="C938" s="245"/>
      <c r="D938" s="26"/>
      <c r="E938" s="26"/>
      <c r="F938" s="26"/>
      <c r="G938" s="26"/>
      <c r="H938" s="5"/>
    </row>
    <row r="939" spans="1:46" ht="14.25" customHeight="1">
      <c r="C939" s="245"/>
      <c r="D939" s="26"/>
      <c r="E939" s="26"/>
      <c r="F939" s="26"/>
      <c r="G939" s="26"/>
      <c r="H939" s="5"/>
    </row>
    <row r="940" spans="1:46" s="8" customFormat="1" ht="12.75" customHeight="1">
      <c r="B940" s="494" t="str">
        <f>TITLE!$C$21</f>
        <v>Полотна збірні: ЛАДА-КОНЦЕПТ</v>
      </c>
      <c r="C940" s="494"/>
      <c r="D940" s="118"/>
      <c r="E940" s="118"/>
      <c r="F940" s="118"/>
      <c r="G940" s="118"/>
      <c r="H940" s="496"/>
      <c r="I940" s="496"/>
      <c r="J940" s="121"/>
      <c r="K940" s="121"/>
      <c r="L940" s="121"/>
      <c r="M940" s="121"/>
      <c r="N940" s="121"/>
      <c r="O940" s="121"/>
      <c r="P940" s="121"/>
      <c r="Q940" s="121"/>
      <c r="R940" s="121"/>
      <c r="S940" s="121"/>
      <c r="T940" s="517" t="str">
        <f>IF($C$1="ENG",CONCATENATE("up to: ",B867),CONCATENATE("вгору до: ",B867))</f>
        <v>вгору до: Полотна збірні: ЛІСА</v>
      </c>
      <c r="U940" s="517"/>
      <c r="V940" s="517"/>
      <c r="W940" s="517"/>
      <c r="AN940" s="280"/>
      <c r="AO940" s="280"/>
      <c r="AP940" s="280"/>
      <c r="AQ940" s="280"/>
      <c r="AR940" s="280"/>
      <c r="AS940" s="280"/>
      <c r="AT940" s="280"/>
    </row>
    <row r="941" spans="1:46" s="8" customFormat="1" ht="5.0999999999999996" customHeight="1">
      <c r="B941" s="117"/>
      <c r="C941" s="420"/>
      <c r="D941" s="9"/>
      <c r="E941" s="9"/>
      <c r="F941" s="9"/>
      <c r="G941" s="9"/>
      <c r="H941" s="120"/>
      <c r="I941" s="120"/>
      <c r="T941" s="115"/>
      <c r="U941" s="115"/>
      <c r="V941" s="115"/>
      <c r="W941" s="115"/>
      <c r="AN941" s="280"/>
      <c r="AO941" s="280"/>
      <c r="AP941" s="280"/>
      <c r="AQ941" s="280"/>
      <c r="AR941" s="280"/>
      <c r="AS941" s="280"/>
      <c r="AT941" s="280"/>
    </row>
    <row r="942" spans="1:46" s="8" customFormat="1" ht="12.75" customHeight="1">
      <c r="B942" s="509" t="str">
        <f>IF($C$1="ENG","model","модель")</f>
        <v>модель</v>
      </c>
      <c r="C942" s="122" t="str">
        <f>IF($C$1="ENG","cover:","покриття:")</f>
        <v>покриття:</v>
      </c>
      <c r="D942" s="498" t="str">
        <f>IF($C$1="ENG","Verto-CELL","Verto-CELL")</f>
        <v>Verto-CELL</v>
      </c>
      <c r="E942" s="500"/>
      <c r="F942" s="498" t="str">
        <f>IF($C$1="ENG","UNI-MAT","UNI-MAT")</f>
        <v>UNI-MAT</v>
      </c>
      <c r="G942" s="500"/>
      <c r="H942" s="498" t="str">
        <f>IF($C$1="ENG","RESIST","RESIST")</f>
        <v>RESIST</v>
      </c>
      <c r="I942" s="500"/>
      <c r="J942" s="498" t="str">
        <f>IF($C$1="ENG","Verto LINE-3D","Verto LINE-3D")</f>
        <v>Verto LINE-3D</v>
      </c>
      <c r="K942" s="500"/>
      <c r="L942" s="498" t="str">
        <f>IF($C$1="ENG","ECO Shpon","ЕКО Шпон")</f>
        <v>ЕКО Шпон</v>
      </c>
      <c r="M942" s="500"/>
      <c r="P942" s="84"/>
      <c r="Q942" s="84"/>
      <c r="T942" s="115"/>
      <c r="U942" s="115"/>
      <c r="V942" s="115"/>
      <c r="W942" s="115"/>
      <c r="AN942" s="280"/>
      <c r="AO942" s="280"/>
      <c r="AP942" s="280"/>
      <c r="AQ942" s="280"/>
      <c r="AR942" s="280"/>
      <c r="AS942" s="280"/>
      <c r="AT942" s="280"/>
    </row>
    <row r="943" spans="1:46" s="8" customFormat="1" ht="27.75" customHeight="1">
      <c r="B943" s="510"/>
      <c r="C943" s="123" t="str">
        <f>IF($C$1="ENG","filling:","заповнення:")</f>
        <v>заповнення:</v>
      </c>
      <c r="D943" s="505" t="str">
        <f>IF($C$1="ENG","softwood","клеєний сосновий брус")</f>
        <v>клеєний сосновий брус</v>
      </c>
      <c r="E943" s="506"/>
      <c r="F943" s="505" t="str">
        <f>IF($C$1="ENG","softwood","клеєний сосновий брус")</f>
        <v>клеєний сосновий брус</v>
      </c>
      <c r="G943" s="506"/>
      <c r="H943" s="505" t="str">
        <f>IF($C$1="ENG","softwood","клеєний сосновий брус")</f>
        <v>клеєний сосновий брус</v>
      </c>
      <c r="I943" s="506"/>
      <c r="J943" s="505" t="str">
        <f>IF($C$1="ENG","softwood","клеєний сосновий брус")</f>
        <v>клеєний сосновий брус</v>
      </c>
      <c r="K943" s="506"/>
      <c r="L943" s="505" t="str">
        <f>IF($C$1="ENG","softwood","клеєний сосновий брус")</f>
        <v>клеєний сосновий брус</v>
      </c>
      <c r="M943" s="506"/>
      <c r="P943" s="84"/>
      <c r="Q943" s="84"/>
      <c r="T943" s="115"/>
      <c r="U943" s="115"/>
      <c r="V943" s="115"/>
      <c r="W943" s="115"/>
      <c r="AD943" s="383">
        <f>AD945/AC945-1</f>
        <v>0.10894308943089426</v>
      </c>
      <c r="AE943" s="383">
        <f>AE945/AD945-1</f>
        <v>3.0791788856304958E-2</v>
      </c>
      <c r="AF943" s="383">
        <f>AF945/AE945-1</f>
        <v>9.1038406827880447E-2</v>
      </c>
      <c r="AG943" s="383">
        <f>AG945/AF945-1</f>
        <v>4.8239895697522739E-2</v>
      </c>
      <c r="AN943" s="280"/>
      <c r="AO943" s="280"/>
      <c r="AP943" s="280"/>
      <c r="AQ943" s="280"/>
      <c r="AR943" s="280"/>
      <c r="AS943" s="280"/>
      <c r="AT943" s="280"/>
    </row>
    <row r="944" spans="1:46" ht="12.75" customHeight="1">
      <c r="A944" s="8"/>
      <c r="B944" s="511"/>
      <c r="C944" s="124" t="str">
        <f>IF($C$1="ENG","glazing:","скління:")</f>
        <v>скління:</v>
      </c>
      <c r="D944" s="489" t="str">
        <f>IF($C$1="ENG","Satin","Сатин")</f>
        <v>Сатин</v>
      </c>
      <c r="E944" s="492"/>
      <c r="F944" s="489" t="str">
        <f>IF($C$1="ENG","Satin","Сатин")</f>
        <v>Сатин</v>
      </c>
      <c r="G944" s="492"/>
      <c r="H944" s="489" t="str">
        <f>IF($C$1="ENG","Satin","Сатин")</f>
        <v>Сатин</v>
      </c>
      <c r="I944" s="492"/>
      <c r="J944" s="489" t="str">
        <f>IF($C$1="ENG","Satin","Сатин")</f>
        <v>Сатин</v>
      </c>
      <c r="K944" s="492"/>
      <c r="L944" s="489" t="str">
        <f>IF($C$1="ENG","Satin","Сатин")</f>
        <v>Сатин</v>
      </c>
      <c r="M944" s="492"/>
      <c r="N944" s="11"/>
      <c r="O944" s="11"/>
      <c r="P944" s="84"/>
      <c r="Q944" s="84"/>
      <c r="R944" s="11"/>
      <c r="S944" s="11"/>
      <c r="T944" s="11"/>
    </row>
    <row r="945" spans="1:43" ht="35.1" customHeight="1">
      <c r="A945" s="8"/>
      <c r="B945" s="16" t="s">
        <v>28</v>
      </c>
      <c r="C945" s="17"/>
      <c r="D945" s="18">
        <f t="shared" ref="D945:D950" si="123">IF(AC945="","",(1-$W$2)*(AC945/1.2))</f>
        <v>5125</v>
      </c>
      <c r="E945" s="66">
        <f t="shared" ref="E945:E950" si="124">IF($W$5=0.2,D945*1.2,D945)/$W$4</f>
        <v>6150</v>
      </c>
      <c r="F945" s="18">
        <f t="shared" ref="F945:F950" si="125">IF(AD945="","",(1-$W$2)*(AD945/1.2))</f>
        <v>5683.3333333333339</v>
      </c>
      <c r="G945" s="66">
        <f t="shared" ref="G945:G950" si="126">IF($W$5=0.2,F945*1.2,F945)/$W$4</f>
        <v>6820.0000000000009</v>
      </c>
      <c r="H945" s="18">
        <f t="shared" ref="H945:H950" si="127">IF(AE945="","",(1-$W$2)*(AE945/1.2))</f>
        <v>5858.3333333333339</v>
      </c>
      <c r="I945" s="66">
        <f t="shared" ref="I945:I950" si="128">IF($W$5=0.2,H945*1.2,H945)/$W$4</f>
        <v>7030.0000000000009</v>
      </c>
      <c r="J945" s="18">
        <f t="shared" ref="J945:J950" si="129">IF(AF945="","",(1-$W$2)*(AF945/1.2))</f>
        <v>6391.666666666667</v>
      </c>
      <c r="K945" s="66">
        <f t="shared" ref="K945:K950" si="130">IF($W$5=0.2,J945*1.2,J945)/$W$4</f>
        <v>7670</v>
      </c>
      <c r="L945" s="18">
        <f t="shared" ref="L945:L950" si="131">IF(AG945="","",(1-$W$2)*(AG945/1.2))</f>
        <v>6700</v>
      </c>
      <c r="M945" s="66">
        <f t="shared" ref="M945:M950" si="132">IF($W$5=0.2,L945*1.2,L945)/$W$4</f>
        <v>8040</v>
      </c>
      <c r="N945" s="290"/>
      <c r="O945" s="8"/>
      <c r="P945" s="84"/>
      <c r="Q945" s="84"/>
      <c r="R945" s="290"/>
      <c r="S945" s="8"/>
      <c r="T945" s="290"/>
      <c r="U945" s="84"/>
      <c r="V945" s="290"/>
      <c r="W945" s="84"/>
      <c r="X945" s="22"/>
      <c r="Y945" s="22"/>
      <c r="Z945" s="22"/>
      <c r="AA945" s="22"/>
      <c r="AB945" s="22"/>
      <c r="AC945" s="332">
        <v>6150</v>
      </c>
      <c r="AD945" s="391">
        <v>6820</v>
      </c>
      <c r="AE945" s="332">
        <v>7030</v>
      </c>
      <c r="AF945" s="332">
        <v>7670</v>
      </c>
      <c r="AG945" s="332">
        <v>8040</v>
      </c>
      <c r="AH945" s="289">
        <v>6150</v>
      </c>
      <c r="AI945" s="289">
        <f>AH945/AC945-1</f>
        <v>0</v>
      </c>
      <c r="AJ945" s="289">
        <v>6820</v>
      </c>
      <c r="AK945" s="289">
        <f>AJ945/AD945-1</f>
        <v>0</v>
      </c>
      <c r="AL945" s="289">
        <v>7030</v>
      </c>
      <c r="AM945" s="289">
        <f>AL945/AE945-1</f>
        <v>0</v>
      </c>
      <c r="AN945" s="289">
        <v>7670</v>
      </c>
      <c r="AO945" s="289">
        <f>AN945/AF945-1</f>
        <v>0</v>
      </c>
      <c r="AP945" s="289">
        <v>8040</v>
      </c>
      <c r="AQ945" s="289">
        <f>AP945/AG945-1</f>
        <v>0</v>
      </c>
    </row>
    <row r="946" spans="1:43" ht="35.1" customHeight="1">
      <c r="A946" s="8"/>
      <c r="B946" s="16" t="s">
        <v>22</v>
      </c>
      <c r="C946" s="17"/>
      <c r="D946" s="18">
        <f t="shared" si="123"/>
        <v>5308.3333333333339</v>
      </c>
      <c r="E946" s="66">
        <f t="shared" si="124"/>
        <v>6370.0000000000009</v>
      </c>
      <c r="F946" s="18">
        <f t="shared" si="125"/>
        <v>5900</v>
      </c>
      <c r="G946" s="66">
        <f t="shared" si="126"/>
        <v>7080</v>
      </c>
      <c r="H946" s="18">
        <f t="shared" si="127"/>
        <v>6083.3333333333339</v>
      </c>
      <c r="I946" s="66">
        <f t="shared" si="128"/>
        <v>7300.0000000000009</v>
      </c>
      <c r="J946" s="18">
        <f t="shared" si="129"/>
        <v>6516.666666666667</v>
      </c>
      <c r="K946" s="66">
        <f t="shared" si="130"/>
        <v>7820</v>
      </c>
      <c r="L946" s="18">
        <f t="shared" si="131"/>
        <v>6808.3333333333339</v>
      </c>
      <c r="M946" s="66">
        <f t="shared" si="132"/>
        <v>8170</v>
      </c>
      <c r="N946" s="290"/>
      <c r="O946" s="8"/>
      <c r="P946" s="84"/>
      <c r="Q946" s="84"/>
      <c r="R946" s="290"/>
      <c r="S946" s="8"/>
      <c r="T946" s="290"/>
      <c r="U946" s="84"/>
      <c r="V946" s="290"/>
      <c r="W946" s="84"/>
      <c r="X946" s="22"/>
      <c r="Y946" s="22"/>
      <c r="Z946" s="22"/>
      <c r="AA946" s="22"/>
      <c r="AB946" s="22"/>
      <c r="AC946" s="332">
        <v>6370</v>
      </c>
      <c r="AD946" s="391">
        <v>7080</v>
      </c>
      <c r="AE946" s="332">
        <v>7300</v>
      </c>
      <c r="AF946" s="332">
        <v>7820</v>
      </c>
      <c r="AG946" s="332">
        <v>8170</v>
      </c>
      <c r="AH946" s="289">
        <v>6370</v>
      </c>
      <c r="AI946" s="289">
        <f t="shared" ref="AI946:AI950" si="133">AH946/AC946-1</f>
        <v>0</v>
      </c>
      <c r="AJ946" s="289">
        <v>7080</v>
      </c>
      <c r="AK946" s="289">
        <f t="shared" ref="AK946:AK950" si="134">AJ946/AD946-1</f>
        <v>0</v>
      </c>
      <c r="AL946" s="289">
        <v>7300</v>
      </c>
      <c r="AM946" s="289">
        <f t="shared" ref="AM946:AM950" si="135">AL946/AE946-1</f>
        <v>0</v>
      </c>
      <c r="AN946" s="289">
        <v>7820</v>
      </c>
      <c r="AO946" s="289">
        <f t="shared" ref="AO946:AO950" si="136">AN946/AF946-1</f>
        <v>0</v>
      </c>
      <c r="AP946" s="289">
        <v>8170</v>
      </c>
      <c r="AQ946" s="289">
        <f t="shared" ref="AQ946:AQ950" si="137">AP946/AG946-1</f>
        <v>0</v>
      </c>
    </row>
    <row r="947" spans="1:43" ht="35.1" customHeight="1">
      <c r="A947" s="8"/>
      <c r="B947" s="16" t="s">
        <v>23</v>
      </c>
      <c r="C947" s="17"/>
      <c r="D947" s="18">
        <f t="shared" si="123"/>
        <v>5600</v>
      </c>
      <c r="E947" s="66">
        <f t="shared" si="124"/>
        <v>6720</v>
      </c>
      <c r="F947" s="18">
        <f t="shared" si="125"/>
        <v>6216.666666666667</v>
      </c>
      <c r="G947" s="66">
        <f t="shared" si="126"/>
        <v>7460</v>
      </c>
      <c r="H947" s="18">
        <f t="shared" si="127"/>
        <v>6400</v>
      </c>
      <c r="I947" s="66">
        <f t="shared" si="128"/>
        <v>7680</v>
      </c>
      <c r="J947" s="18">
        <f t="shared" si="129"/>
        <v>7125</v>
      </c>
      <c r="K947" s="66">
        <f t="shared" si="130"/>
        <v>8550</v>
      </c>
      <c r="L947" s="18">
        <f t="shared" si="131"/>
        <v>7175</v>
      </c>
      <c r="M947" s="66">
        <f t="shared" si="132"/>
        <v>8610</v>
      </c>
      <c r="N947" s="290"/>
      <c r="O947" s="8"/>
      <c r="P947" s="84"/>
      <c r="Q947" s="84"/>
      <c r="R947" s="290"/>
      <c r="S947" s="8"/>
      <c r="T947" s="290"/>
      <c r="U947" s="84"/>
      <c r="V947" s="290"/>
      <c r="W947" s="84"/>
      <c r="X947" s="22"/>
      <c r="Y947" s="22"/>
      <c r="Z947" s="22"/>
      <c r="AA947" s="22"/>
      <c r="AB947" s="22"/>
      <c r="AC947" s="332">
        <v>6720</v>
      </c>
      <c r="AD947" s="391">
        <v>7460</v>
      </c>
      <c r="AE947" s="332">
        <v>7680</v>
      </c>
      <c r="AF947" s="332">
        <v>8550</v>
      </c>
      <c r="AG947" s="332">
        <v>8610</v>
      </c>
      <c r="AH947" s="289">
        <v>6720</v>
      </c>
      <c r="AI947" s="289">
        <f t="shared" si="133"/>
        <v>0</v>
      </c>
      <c r="AJ947" s="289">
        <v>7460</v>
      </c>
      <c r="AK947" s="289">
        <f t="shared" si="134"/>
        <v>0</v>
      </c>
      <c r="AL947" s="289">
        <v>7680</v>
      </c>
      <c r="AM947" s="289">
        <f t="shared" si="135"/>
        <v>0</v>
      </c>
      <c r="AN947" s="289">
        <v>8550</v>
      </c>
      <c r="AO947" s="289">
        <f t="shared" si="136"/>
        <v>0</v>
      </c>
      <c r="AP947" s="289">
        <v>8610</v>
      </c>
      <c r="AQ947" s="289">
        <f t="shared" si="137"/>
        <v>0</v>
      </c>
    </row>
    <row r="948" spans="1:43" ht="35.1" customHeight="1">
      <c r="A948" s="8"/>
      <c r="B948" s="16" t="s">
        <v>8</v>
      </c>
      <c r="C948" s="17"/>
      <c r="D948" s="18">
        <f t="shared" si="123"/>
        <v>5308.3333333333339</v>
      </c>
      <c r="E948" s="66">
        <f t="shared" si="124"/>
        <v>6370.0000000000009</v>
      </c>
      <c r="F948" s="18">
        <f t="shared" si="125"/>
        <v>5900</v>
      </c>
      <c r="G948" s="66">
        <f t="shared" si="126"/>
        <v>7080</v>
      </c>
      <c r="H948" s="18">
        <f t="shared" si="127"/>
        <v>6083.3333333333339</v>
      </c>
      <c r="I948" s="66">
        <f t="shared" si="128"/>
        <v>7300.0000000000009</v>
      </c>
      <c r="J948" s="18">
        <f t="shared" si="129"/>
        <v>6516.666666666667</v>
      </c>
      <c r="K948" s="66">
        <f t="shared" si="130"/>
        <v>7820</v>
      </c>
      <c r="L948" s="18">
        <f t="shared" si="131"/>
        <v>6808.3333333333339</v>
      </c>
      <c r="M948" s="66">
        <f t="shared" si="132"/>
        <v>8170</v>
      </c>
      <c r="N948" s="290"/>
      <c r="O948" s="84"/>
      <c r="P948" s="84"/>
      <c r="Q948" s="84"/>
      <c r="R948" s="290"/>
      <c r="S948" s="84"/>
      <c r="T948" s="290"/>
      <c r="U948" s="84"/>
      <c r="V948" s="290"/>
      <c r="W948" s="84"/>
      <c r="X948" s="22"/>
      <c r="Y948" s="22"/>
      <c r="Z948" s="22"/>
      <c r="AA948" s="22"/>
      <c r="AB948" s="22"/>
      <c r="AC948" s="332">
        <v>6370</v>
      </c>
      <c r="AD948" s="391">
        <v>7080</v>
      </c>
      <c r="AE948" s="332">
        <v>7300</v>
      </c>
      <c r="AF948" s="332">
        <v>7820</v>
      </c>
      <c r="AG948" s="332">
        <v>8170</v>
      </c>
      <c r="AH948" s="289">
        <v>6370</v>
      </c>
      <c r="AI948" s="289">
        <f t="shared" si="133"/>
        <v>0</v>
      </c>
      <c r="AJ948" s="289">
        <v>7080</v>
      </c>
      <c r="AK948" s="289">
        <f t="shared" si="134"/>
        <v>0</v>
      </c>
      <c r="AL948" s="289">
        <v>7300</v>
      </c>
      <c r="AM948" s="289">
        <f t="shared" si="135"/>
        <v>0</v>
      </c>
      <c r="AN948" s="289">
        <v>7820</v>
      </c>
      <c r="AO948" s="289">
        <f t="shared" si="136"/>
        <v>0</v>
      </c>
      <c r="AP948" s="289">
        <v>8170</v>
      </c>
      <c r="AQ948" s="289">
        <f t="shared" si="137"/>
        <v>0</v>
      </c>
    </row>
    <row r="949" spans="1:43" ht="35.1" customHeight="1">
      <c r="A949" s="8"/>
      <c r="B949" s="16" t="s">
        <v>9</v>
      </c>
      <c r="C949" s="17"/>
      <c r="D949" s="18">
        <f t="shared" si="123"/>
        <v>5050</v>
      </c>
      <c r="E949" s="66">
        <f t="shared" si="124"/>
        <v>6060</v>
      </c>
      <c r="F949" s="18">
        <f t="shared" si="125"/>
        <v>5600</v>
      </c>
      <c r="G949" s="66">
        <f t="shared" si="126"/>
        <v>6720</v>
      </c>
      <c r="H949" s="18">
        <f t="shared" si="127"/>
        <v>5775</v>
      </c>
      <c r="I949" s="66">
        <f t="shared" si="128"/>
        <v>6930</v>
      </c>
      <c r="J949" s="18">
        <f t="shared" si="129"/>
        <v>6233.3333333333339</v>
      </c>
      <c r="K949" s="66">
        <f t="shared" si="130"/>
        <v>7480</v>
      </c>
      <c r="L949" s="18">
        <f t="shared" si="131"/>
        <v>6525</v>
      </c>
      <c r="M949" s="66">
        <f t="shared" si="132"/>
        <v>7830</v>
      </c>
      <c r="N949" s="290"/>
      <c r="O949" s="8"/>
      <c r="P949" s="84"/>
      <c r="Q949" s="84"/>
      <c r="R949" s="290"/>
      <c r="S949" s="8"/>
      <c r="T949" s="290"/>
      <c r="U949" s="84"/>
      <c r="V949" s="290"/>
      <c r="W949" s="84"/>
      <c r="X949" s="22"/>
      <c r="Y949" s="22"/>
      <c r="Z949" s="22"/>
      <c r="AA949" s="22"/>
      <c r="AB949" s="22"/>
      <c r="AC949" s="332">
        <v>6060</v>
      </c>
      <c r="AD949" s="391">
        <v>6720</v>
      </c>
      <c r="AE949" s="332">
        <v>6930</v>
      </c>
      <c r="AF949" s="332">
        <v>7480</v>
      </c>
      <c r="AG949" s="332">
        <v>7830</v>
      </c>
      <c r="AH949" s="289">
        <v>6060</v>
      </c>
      <c r="AI949" s="289">
        <f t="shared" si="133"/>
        <v>0</v>
      </c>
      <c r="AJ949" s="289">
        <v>6720</v>
      </c>
      <c r="AK949" s="289">
        <f t="shared" si="134"/>
        <v>0</v>
      </c>
      <c r="AL949" s="289">
        <v>6930</v>
      </c>
      <c r="AM949" s="289">
        <f t="shared" si="135"/>
        <v>0</v>
      </c>
      <c r="AN949" s="289">
        <v>7480</v>
      </c>
      <c r="AO949" s="289">
        <f t="shared" si="136"/>
        <v>0</v>
      </c>
      <c r="AP949" s="289">
        <v>7830</v>
      </c>
      <c r="AQ949" s="289">
        <f t="shared" si="137"/>
        <v>0</v>
      </c>
    </row>
    <row r="950" spans="1:43" ht="35.1" customHeight="1">
      <c r="A950" s="8"/>
      <c r="B950" s="23" t="s">
        <v>10</v>
      </c>
      <c r="C950" s="24"/>
      <c r="D950" s="25">
        <f t="shared" si="123"/>
        <v>4783.3333333333339</v>
      </c>
      <c r="E950" s="69">
        <f t="shared" si="124"/>
        <v>5740.0000000000009</v>
      </c>
      <c r="F950" s="25">
        <f t="shared" si="125"/>
        <v>5300</v>
      </c>
      <c r="G950" s="69">
        <f t="shared" si="126"/>
        <v>6360</v>
      </c>
      <c r="H950" s="25">
        <f t="shared" si="127"/>
        <v>5483.3333333333339</v>
      </c>
      <c r="I950" s="69">
        <f t="shared" si="128"/>
        <v>6580.0000000000009</v>
      </c>
      <c r="J950" s="25">
        <f t="shared" si="129"/>
        <v>5858.3333333333339</v>
      </c>
      <c r="K950" s="69">
        <f t="shared" si="130"/>
        <v>7030.0000000000009</v>
      </c>
      <c r="L950" s="25">
        <f t="shared" si="131"/>
        <v>6100</v>
      </c>
      <c r="M950" s="69">
        <f t="shared" si="132"/>
        <v>7320</v>
      </c>
      <c r="N950" s="290"/>
      <c r="O950" s="8"/>
      <c r="P950" s="84"/>
      <c r="Q950" s="84"/>
      <c r="R950" s="290"/>
      <c r="S950" s="8"/>
      <c r="T950" s="290"/>
      <c r="U950" s="84"/>
      <c r="V950" s="290"/>
      <c r="W950" s="84"/>
      <c r="X950" s="22"/>
      <c r="Y950" s="22"/>
      <c r="Z950" s="22"/>
      <c r="AA950" s="22"/>
      <c r="AB950" s="22"/>
      <c r="AC950" s="332">
        <v>5740</v>
      </c>
      <c r="AD950" s="391">
        <v>6360</v>
      </c>
      <c r="AE950" s="332">
        <v>6580</v>
      </c>
      <c r="AF950" s="332">
        <v>7030</v>
      </c>
      <c r="AG950" s="332">
        <v>7320</v>
      </c>
      <c r="AH950" s="289">
        <v>5740</v>
      </c>
      <c r="AI950" s="289">
        <f t="shared" si="133"/>
        <v>0</v>
      </c>
      <c r="AJ950" s="289">
        <v>6360</v>
      </c>
      <c r="AK950" s="289">
        <f t="shared" si="134"/>
        <v>0</v>
      </c>
      <c r="AL950" s="289">
        <v>6580</v>
      </c>
      <c r="AM950" s="289">
        <f t="shared" si="135"/>
        <v>0</v>
      </c>
      <c r="AN950" s="289">
        <v>7030</v>
      </c>
      <c r="AO950" s="289">
        <f t="shared" si="136"/>
        <v>0</v>
      </c>
      <c r="AP950" s="289">
        <v>7320</v>
      </c>
      <c r="AQ950" s="289">
        <f t="shared" si="137"/>
        <v>0</v>
      </c>
    </row>
    <row r="951" spans="1:43">
      <c r="C951" s="245"/>
      <c r="D951" s="26"/>
      <c r="E951" s="57"/>
      <c r="F951" s="26"/>
      <c r="G951" s="57"/>
      <c r="H951" s="10"/>
      <c r="I951" s="8"/>
      <c r="J951" s="8"/>
      <c r="K951" s="8"/>
      <c r="L951" s="8"/>
      <c r="P951" s="84"/>
      <c r="Q951" s="84"/>
      <c r="W951" s="20"/>
      <c r="X951" s="22"/>
      <c r="Y951" s="22"/>
      <c r="Z951" s="22"/>
      <c r="AA951" s="22"/>
      <c r="AB951" s="22"/>
    </row>
    <row r="952" spans="1:43">
      <c r="B952" s="212" t="str">
        <f>IF($C$1="ENG","For additonal charge:","Послуги за додаткову плату:")</f>
        <v>Послуги за додаткову плату:</v>
      </c>
      <c r="C952" s="421"/>
      <c r="D952" s="213"/>
      <c r="E952" s="214"/>
      <c r="F952" s="26"/>
      <c r="G952" s="57"/>
      <c r="H952" s="10"/>
      <c r="I952" s="8"/>
      <c r="J952" s="8"/>
      <c r="K952" s="8"/>
    </row>
    <row r="953" spans="1:43" ht="5.0999999999999996" customHeight="1">
      <c r="B953" s="27"/>
      <c r="C953" s="245"/>
      <c r="D953" s="26"/>
      <c r="E953" s="57"/>
      <c r="F953" s="26"/>
      <c r="G953" s="26"/>
      <c r="H953" s="10"/>
      <c r="I953" s="8"/>
      <c r="J953" s="8"/>
      <c r="K953" s="8"/>
    </row>
    <row r="954" spans="1:43">
      <c r="B954" s="514" t="str">
        <f>IF($C$1="ENG","door leaf with width 100","полотно розміром 100")</f>
        <v>полотно розміром 100</v>
      </c>
      <c r="C954" s="515"/>
      <c r="D954" s="410">
        <f t="shared" ref="D954:D967" si="138">IF(AC954="","",(1-$W$2)*(AC954/1.2))</f>
        <v>600</v>
      </c>
      <c r="E954" s="92">
        <f t="shared" ref="E954:E966" si="139">IF($W$5=0.2,D954*1.2,D954)/$W$4</f>
        <v>720</v>
      </c>
      <c r="F954" s="26"/>
      <c r="G954" s="26"/>
      <c r="H954" s="10"/>
      <c r="I954" s="8"/>
      <c r="J954" s="8"/>
      <c r="K954" s="8"/>
      <c r="AC954" s="298">
        <v>720</v>
      </c>
      <c r="AD954" s="289">
        <v>720</v>
      </c>
      <c r="AE954" s="289">
        <f>AD954/AC954-1</f>
        <v>0</v>
      </c>
      <c r="AF954" s="289"/>
      <c r="AG954" s="289"/>
      <c r="AH954" s="289"/>
      <c r="AI954" s="289"/>
      <c r="AJ954" s="289"/>
      <c r="AK954" s="289"/>
      <c r="AL954" s="289"/>
    </row>
    <row r="955" spans="1:43">
      <c r="B955" s="501" t="str">
        <f>IF($C$1="ENG","Ventilation sleeves (1 row)","вентиляційні віддушини (1ряд)")</f>
        <v>вентиляційні віддушини (1ряд)</v>
      </c>
      <c r="C955" s="502"/>
      <c r="D955" s="405">
        <f t="shared" si="138"/>
        <v>208.33333333333334</v>
      </c>
      <c r="E955" s="93">
        <f t="shared" si="139"/>
        <v>250</v>
      </c>
      <c r="F955" s="26"/>
      <c r="G955" s="26"/>
      <c r="I955" s="11"/>
      <c r="J955" s="11"/>
      <c r="K955" s="11"/>
      <c r="AC955" s="298">
        <v>250</v>
      </c>
      <c r="AD955" s="289">
        <v>250</v>
      </c>
      <c r="AE955" s="289">
        <f t="shared" ref="AE955:AE966" si="140">AD955/AC955-1</f>
        <v>0</v>
      </c>
      <c r="AF955" s="289"/>
      <c r="AG955" s="289"/>
      <c r="AH955" s="289"/>
      <c r="AI955" s="289"/>
      <c r="AJ955" s="289"/>
      <c r="AK955" s="289"/>
      <c r="AL955" s="289"/>
    </row>
    <row r="956" spans="1:43">
      <c r="B956" s="514" t="str">
        <f>IF($C$1="ENG","Ventilation cut","вентиляційний підріз")</f>
        <v>вентиляційний підріз</v>
      </c>
      <c r="C956" s="515"/>
      <c r="D956" s="405">
        <f t="shared" si="138"/>
        <v>141.66666666666669</v>
      </c>
      <c r="E956" s="66">
        <f t="shared" si="139"/>
        <v>170.00000000000003</v>
      </c>
      <c r="F956" s="26"/>
      <c r="G956" s="26"/>
      <c r="I956" s="59"/>
      <c r="J956" s="28"/>
      <c r="AC956" s="298">
        <v>170</v>
      </c>
      <c r="AD956" s="289">
        <v>170</v>
      </c>
      <c r="AE956" s="289">
        <f t="shared" si="140"/>
        <v>0</v>
      </c>
      <c r="AF956" s="289"/>
      <c r="AG956" s="289"/>
      <c r="AH956" s="289"/>
      <c r="AI956" s="289"/>
      <c r="AJ956" s="289"/>
      <c r="AK956" s="289"/>
      <c r="AL956" s="289"/>
    </row>
    <row r="957" spans="1:43">
      <c r="B957" s="501" t="str">
        <f>IF($C$1="ENG","glazing Graphite / Bronze","скло Графіт / Бронза")</f>
        <v>скло Графіт / Бронза</v>
      </c>
      <c r="C957" s="502"/>
      <c r="D957" s="407">
        <f t="shared" si="138"/>
        <v>458.33333333333337</v>
      </c>
      <c r="E957" s="93">
        <f t="shared" si="139"/>
        <v>550</v>
      </c>
      <c r="F957" s="26"/>
      <c r="G957" s="26"/>
      <c r="H957" s="5"/>
      <c r="AC957" s="298">
        <v>550</v>
      </c>
      <c r="AD957" s="289">
        <v>550</v>
      </c>
      <c r="AE957" s="289">
        <f t="shared" si="140"/>
        <v>0</v>
      </c>
      <c r="AF957" s="289"/>
      <c r="AG957" s="289"/>
      <c r="AH957" s="289"/>
      <c r="AI957" s="289"/>
      <c r="AJ957" s="289"/>
      <c r="AK957" s="289"/>
      <c r="AL957" s="289"/>
    </row>
    <row r="958" spans="1:43">
      <c r="B958" s="501" t="str">
        <f>IF($C$1="ENG","glazing Lacobel black ","скло Lacobel чорне")</f>
        <v>скло Lacobel чорне</v>
      </c>
      <c r="C958" s="502"/>
      <c r="D958" s="407">
        <f t="shared" si="138"/>
        <v>458.33333333333337</v>
      </c>
      <c r="E958" s="93">
        <f>IF($W$5=0.2,D958*1.2,D958)/$W$4</f>
        <v>550</v>
      </c>
      <c r="F958" s="26"/>
      <c r="G958" s="26"/>
      <c r="H958" s="5"/>
      <c r="AC958" s="298">
        <v>550</v>
      </c>
      <c r="AD958" s="298">
        <v>550</v>
      </c>
      <c r="AE958" s="289"/>
      <c r="AF958" s="289"/>
      <c r="AG958" s="289"/>
      <c r="AH958" s="289"/>
      <c r="AI958" s="289"/>
      <c r="AJ958" s="289"/>
      <c r="AK958" s="289"/>
      <c r="AL958" s="289"/>
    </row>
    <row r="959" spans="1:43">
      <c r="B959" s="501" t="str">
        <f>IF($C$1="ENG","door lock Soft","замок Soft")</f>
        <v>замок Soft</v>
      </c>
      <c r="C959" s="502"/>
      <c r="D959" s="407">
        <f t="shared" si="138"/>
        <v>458.33333333333337</v>
      </c>
      <c r="E959" s="93">
        <f t="shared" si="139"/>
        <v>550</v>
      </c>
      <c r="F959" s="26"/>
      <c r="G959" s="26"/>
      <c r="H959" s="5"/>
      <c r="AC959" s="298">
        <v>550</v>
      </c>
      <c r="AD959" s="289">
        <v>550</v>
      </c>
      <c r="AE959" s="289">
        <f t="shared" si="140"/>
        <v>0</v>
      </c>
      <c r="AF959" s="289"/>
      <c r="AG959" s="289"/>
      <c r="AH959" s="289"/>
      <c r="AI959" s="289"/>
      <c r="AJ959" s="289"/>
      <c r="AK959" s="289"/>
      <c r="AL959" s="289"/>
    </row>
    <row r="960" spans="1:43">
      <c r="B960" s="501" t="str">
        <f>IF($C$1="ENG","door lock Soft black","замок Soft чорн.")</f>
        <v>замок Soft чорн.</v>
      </c>
      <c r="C960" s="502"/>
      <c r="D960" s="407">
        <f t="shared" ref="D960" si="141">IF(AC960="","",(1-$W$2)*(AC960/1.2))</f>
        <v>566.66666666666674</v>
      </c>
      <c r="E960" s="93">
        <f t="shared" ref="E960" si="142">IF($W$5=0.2,D960*1.2,D960)/$W$4</f>
        <v>680.00000000000011</v>
      </c>
      <c r="F960" s="26"/>
      <c r="G960" s="26"/>
      <c r="H960" s="5"/>
      <c r="AC960" s="298">
        <v>680</v>
      </c>
      <c r="AD960" s="289"/>
      <c r="AE960" s="289"/>
      <c r="AF960" s="289"/>
      <c r="AG960" s="289"/>
      <c r="AH960" s="289"/>
      <c r="AI960" s="289"/>
      <c r="AJ960" s="289"/>
      <c r="AK960" s="289"/>
      <c r="AL960" s="289"/>
    </row>
    <row r="961" spans="2:38">
      <c r="B961" s="501" t="str">
        <f>IF($C$1="ENG","door lock Magnet","замок Magnet")</f>
        <v>замок Magnet</v>
      </c>
      <c r="C961" s="502"/>
      <c r="D961" s="407">
        <f t="shared" si="138"/>
        <v>666.66666666666674</v>
      </c>
      <c r="E961" s="93">
        <f t="shared" si="139"/>
        <v>800.00000000000011</v>
      </c>
      <c r="F961" s="26"/>
      <c r="G961" s="26"/>
      <c r="H961" s="5"/>
      <c r="AC961" s="298">
        <v>800</v>
      </c>
      <c r="AD961" s="289">
        <v>800</v>
      </c>
      <c r="AE961" s="289">
        <f t="shared" si="140"/>
        <v>0</v>
      </c>
      <c r="AF961" s="289"/>
      <c r="AG961" s="289"/>
      <c r="AH961" s="289"/>
      <c r="AI961" s="289"/>
      <c r="AJ961" s="289"/>
      <c r="AK961" s="289"/>
      <c r="AL961" s="289"/>
    </row>
    <row r="962" spans="2:38">
      <c r="B962" s="501" t="s">
        <v>76</v>
      </c>
      <c r="C962" s="502"/>
      <c r="D962" s="407">
        <f t="shared" ref="D962" si="143">IF(AC962="","",(1-$W$2)*(AC962/1.2))</f>
        <v>833.33333333333337</v>
      </c>
      <c r="E962" s="93">
        <f t="shared" ref="E962" si="144">IF($W$5=0.2,D962*1.2,D962)/$W$4</f>
        <v>1000</v>
      </c>
      <c r="F962" s="26"/>
      <c r="G962" s="26"/>
      <c r="H962" s="5"/>
      <c r="AC962" s="298">
        <v>1000</v>
      </c>
      <c r="AD962" s="289"/>
      <c r="AE962" s="289"/>
      <c r="AF962" s="289"/>
      <c r="AG962" s="289"/>
      <c r="AH962" s="289"/>
      <c r="AI962" s="289"/>
      <c r="AJ962" s="289"/>
      <c r="AK962" s="289"/>
      <c r="AL962" s="289"/>
    </row>
    <row r="963" spans="2:38">
      <c r="B963" s="501" t="str">
        <f>IF($C$1="ENG","door handle-lock (for sliding doors)","ручка-замок (для дверей купе)")</f>
        <v>ручка-замок (для дверей купе)</v>
      </c>
      <c r="C963" s="502"/>
      <c r="D963" s="405">
        <f t="shared" si="138"/>
        <v>466.66666666666669</v>
      </c>
      <c r="E963" s="93">
        <f t="shared" si="139"/>
        <v>560</v>
      </c>
      <c r="F963" s="26"/>
      <c r="G963" s="26"/>
      <c r="I963" s="11"/>
      <c r="J963" s="11"/>
      <c r="K963" s="19"/>
      <c r="AC963" s="298">
        <v>560</v>
      </c>
      <c r="AD963" s="289">
        <v>560</v>
      </c>
      <c r="AE963" s="289">
        <f t="shared" si="140"/>
        <v>0</v>
      </c>
      <c r="AF963" s="289"/>
      <c r="AG963" s="289"/>
      <c r="AH963" s="289"/>
      <c r="AI963" s="289"/>
      <c r="AJ963" s="289"/>
      <c r="AK963" s="289"/>
      <c r="AL963" s="289"/>
    </row>
    <row r="964" spans="2:38">
      <c r="B964" s="501" t="str">
        <f>IF($C$1="ENG","cylinder incert","циліндр несиметричний")</f>
        <v>циліндр несиметричний</v>
      </c>
      <c r="C964" s="502"/>
      <c r="D964" s="405">
        <f t="shared" si="138"/>
        <v>316.66666666666669</v>
      </c>
      <c r="E964" s="93">
        <f t="shared" si="139"/>
        <v>380</v>
      </c>
      <c r="F964" s="26"/>
      <c r="G964" s="26"/>
      <c r="AC964" s="298">
        <v>380</v>
      </c>
      <c r="AD964" s="289">
        <v>380</v>
      </c>
      <c r="AE964" s="289">
        <f t="shared" si="140"/>
        <v>0</v>
      </c>
      <c r="AF964" s="289"/>
      <c r="AG964" s="289"/>
      <c r="AH964" s="289"/>
      <c r="AI964" s="289"/>
      <c r="AJ964" s="289"/>
      <c r="AK964" s="289"/>
      <c r="AL964" s="289"/>
    </row>
    <row r="965" spans="2:38">
      <c r="B965" s="501" t="str">
        <f>IF($C$1="ENG","door hindge Prestige (1 unit)","завіса Prestige (1 шт)")</f>
        <v>завіса Prestige (1 шт)</v>
      </c>
      <c r="C965" s="502"/>
      <c r="D965" s="408">
        <f t="shared" si="138"/>
        <v>216.66666666666669</v>
      </c>
      <c r="E965" s="93">
        <f t="shared" si="139"/>
        <v>260</v>
      </c>
      <c r="F965" s="26"/>
      <c r="G965" s="26"/>
      <c r="AC965" s="298">
        <v>260</v>
      </c>
      <c r="AD965" s="289">
        <v>260</v>
      </c>
      <c r="AE965" s="289">
        <f t="shared" si="140"/>
        <v>0</v>
      </c>
      <c r="AF965" s="289"/>
      <c r="AG965" s="289"/>
      <c r="AH965" s="289"/>
      <c r="AI965" s="289"/>
      <c r="AJ965" s="289"/>
      <c r="AK965" s="289"/>
      <c r="AL965" s="289"/>
    </row>
    <row r="966" spans="2:38">
      <c r="B966" s="501" t="str">
        <f>IF($C$1="ENG","door hinge caps (1 set)","накладка на завіси (1 к-т)")</f>
        <v>накладка на завіси (1 к-т)</v>
      </c>
      <c r="C966" s="502"/>
      <c r="D966" s="408">
        <f t="shared" si="138"/>
        <v>66.666666666666671</v>
      </c>
      <c r="E966" s="93">
        <f t="shared" si="139"/>
        <v>80</v>
      </c>
      <c r="F966" s="26"/>
      <c r="G966" s="26"/>
      <c r="AC966" s="298">
        <v>80</v>
      </c>
      <c r="AD966" s="289">
        <v>80</v>
      </c>
      <c r="AE966" s="289">
        <f t="shared" si="140"/>
        <v>0</v>
      </c>
      <c r="AF966" s="289"/>
      <c r="AG966" s="289"/>
      <c r="AH966" s="289"/>
      <c r="AI966" s="289"/>
      <c r="AJ966" s="289"/>
      <c r="AK966" s="289"/>
      <c r="AL966" s="289"/>
    </row>
    <row r="967" spans="2:38">
      <c r="B967" s="501" t="str">
        <f>IF($C$1="ENG","door handle","дверна ручка")</f>
        <v>дверна ручка</v>
      </c>
      <c r="C967" s="502"/>
      <c r="D967" s="409" t="str">
        <f t="shared" si="138"/>
        <v/>
      </c>
      <c r="E967" s="247" t="str">
        <f>IF($C$1="ENG","see Handles Price","див. Таблицю Ручки")</f>
        <v>див. Таблицю Ручки</v>
      </c>
      <c r="F967" s="26"/>
      <c r="G967" s="26"/>
      <c r="AC967" s="289"/>
      <c r="AD967" s="289"/>
      <c r="AE967" s="289"/>
      <c r="AF967" s="289"/>
      <c r="AG967" s="289"/>
      <c r="AH967" s="289"/>
      <c r="AI967" s="289"/>
      <c r="AJ967" s="289"/>
      <c r="AK967" s="289"/>
      <c r="AL967" s="289"/>
    </row>
    <row r="968" spans="2:38" ht="14.25" customHeight="1">
      <c r="C968" s="245"/>
      <c r="D968" s="26"/>
      <c r="E968" s="26"/>
      <c r="F968" s="26"/>
      <c r="G968" s="26"/>
      <c r="H968" s="5"/>
      <c r="T968" s="503" t="str">
        <f>IF($C$1="ENG",CONCATENATE("down to: ",B1018),CONCATENATE("вниз до: ",B1018))</f>
        <v>вниз до: Полотна збірні: ЛАДА-НОВА</v>
      </c>
      <c r="U968" s="503"/>
      <c r="V968" s="503"/>
      <c r="W968" s="503"/>
    </row>
    <row r="969" spans="2:38" ht="14.25" customHeight="1">
      <c r="C969" s="245"/>
      <c r="D969" s="26"/>
      <c r="E969" s="26"/>
      <c r="F969" s="26"/>
      <c r="G969" s="26"/>
      <c r="H969" s="5"/>
    </row>
    <row r="970" spans="2:38" ht="14.25" customHeight="1">
      <c r="C970" s="245"/>
      <c r="D970" s="26"/>
      <c r="E970" s="26"/>
      <c r="F970" s="26"/>
      <c r="G970" s="26"/>
      <c r="H970" s="5"/>
    </row>
    <row r="971" spans="2:38" ht="14.25" customHeight="1">
      <c r="C971" s="245"/>
      <c r="D971" s="26"/>
      <c r="E971" s="26"/>
      <c r="F971" s="26"/>
      <c r="G971" s="26"/>
      <c r="H971" s="5"/>
    </row>
    <row r="972" spans="2:38" ht="14.25" customHeight="1">
      <c r="C972" s="245"/>
      <c r="D972" s="26"/>
      <c r="E972" s="26"/>
      <c r="F972" s="26"/>
      <c r="G972" s="26"/>
      <c r="H972" s="5"/>
    </row>
    <row r="973" spans="2:38" ht="14.25" customHeight="1">
      <c r="C973" s="245"/>
      <c r="D973" s="26"/>
      <c r="E973" s="26"/>
      <c r="F973" s="26"/>
      <c r="G973" s="26"/>
      <c r="H973" s="5"/>
    </row>
    <row r="974" spans="2:38" ht="14.25" customHeight="1">
      <c r="C974" s="245"/>
      <c r="D974" s="26"/>
      <c r="E974" s="26"/>
      <c r="F974" s="26"/>
      <c r="G974" s="26"/>
      <c r="H974" s="5"/>
    </row>
    <row r="975" spans="2:38" ht="14.25" customHeight="1">
      <c r="C975" s="245"/>
      <c r="D975" s="26"/>
      <c r="E975" s="26"/>
      <c r="F975" s="26"/>
      <c r="G975" s="26"/>
      <c r="H975" s="5"/>
    </row>
    <row r="976" spans="2:38" ht="14.25" customHeight="1">
      <c r="C976" s="245"/>
      <c r="D976" s="26"/>
      <c r="E976" s="26"/>
      <c r="F976" s="26"/>
      <c r="G976" s="26"/>
      <c r="H976" s="5"/>
    </row>
    <row r="977" spans="3:8" ht="14.25" customHeight="1">
      <c r="C977" s="245"/>
      <c r="D977" s="26"/>
      <c r="E977" s="26"/>
      <c r="F977" s="26"/>
      <c r="G977" s="26"/>
      <c r="H977" s="5"/>
    </row>
    <row r="978" spans="3:8" ht="14.25" customHeight="1">
      <c r="C978" s="245"/>
      <c r="D978" s="26"/>
      <c r="E978" s="26"/>
      <c r="F978" s="26"/>
      <c r="G978" s="26"/>
      <c r="H978" s="5"/>
    </row>
    <row r="979" spans="3:8" ht="14.25" customHeight="1">
      <c r="C979" s="245"/>
      <c r="D979" s="26"/>
      <c r="E979" s="26"/>
      <c r="F979" s="26"/>
      <c r="G979" s="26"/>
      <c r="H979" s="5"/>
    </row>
    <row r="980" spans="3:8" ht="14.25" customHeight="1">
      <c r="C980" s="245"/>
      <c r="D980" s="26"/>
      <c r="E980" s="26"/>
      <c r="F980" s="26"/>
      <c r="G980" s="26"/>
      <c r="H980" s="5"/>
    </row>
    <row r="981" spans="3:8" ht="14.25" customHeight="1">
      <c r="C981" s="245"/>
      <c r="D981" s="26"/>
      <c r="E981" s="26"/>
      <c r="F981" s="26"/>
      <c r="G981" s="26"/>
      <c r="H981" s="5"/>
    </row>
    <row r="982" spans="3:8" ht="14.25" customHeight="1">
      <c r="C982" s="245"/>
      <c r="D982" s="26"/>
      <c r="E982" s="26"/>
      <c r="F982" s="26"/>
      <c r="G982" s="26"/>
      <c r="H982" s="5"/>
    </row>
    <row r="983" spans="3:8" ht="14.25" customHeight="1">
      <c r="C983" s="245"/>
      <c r="D983" s="26"/>
      <c r="E983" s="26"/>
      <c r="F983" s="26"/>
      <c r="G983" s="26"/>
      <c r="H983" s="5"/>
    </row>
    <row r="984" spans="3:8" ht="14.25" customHeight="1">
      <c r="C984" s="245"/>
      <c r="D984" s="26"/>
      <c r="E984" s="26"/>
      <c r="F984" s="26"/>
      <c r="G984" s="26"/>
      <c r="H984" s="5"/>
    </row>
    <row r="985" spans="3:8" ht="14.25" customHeight="1">
      <c r="C985" s="245"/>
      <c r="D985" s="26"/>
      <c r="E985" s="26"/>
      <c r="F985" s="26"/>
      <c r="G985" s="26"/>
      <c r="H985" s="5"/>
    </row>
    <row r="986" spans="3:8" ht="14.25" customHeight="1">
      <c r="C986" s="245"/>
      <c r="D986" s="26"/>
      <c r="E986" s="26"/>
      <c r="F986" s="26"/>
      <c r="G986" s="26"/>
      <c r="H986" s="5"/>
    </row>
    <row r="987" spans="3:8" ht="14.25" customHeight="1">
      <c r="C987" s="245"/>
      <c r="D987" s="26"/>
      <c r="E987" s="26"/>
      <c r="F987" s="26"/>
      <c r="G987" s="26"/>
      <c r="H987" s="5"/>
    </row>
    <row r="988" spans="3:8" ht="14.25" customHeight="1">
      <c r="C988" s="245"/>
      <c r="D988" s="26"/>
      <c r="E988" s="26"/>
      <c r="F988" s="26"/>
      <c r="G988" s="26"/>
      <c r="H988" s="5"/>
    </row>
    <row r="989" spans="3:8" ht="14.25" customHeight="1">
      <c r="C989" s="245"/>
      <c r="D989" s="26"/>
      <c r="E989" s="26"/>
      <c r="F989" s="26"/>
      <c r="G989" s="26"/>
      <c r="H989" s="5"/>
    </row>
    <row r="990" spans="3:8" ht="14.25" customHeight="1">
      <c r="C990" s="245"/>
      <c r="D990" s="26"/>
      <c r="E990" s="26"/>
      <c r="F990" s="26"/>
      <c r="G990" s="26"/>
      <c r="H990" s="5"/>
    </row>
    <row r="991" spans="3:8" ht="14.25" customHeight="1">
      <c r="C991" s="245"/>
      <c r="D991" s="26"/>
      <c r="E991" s="26"/>
      <c r="F991" s="26"/>
      <c r="G991" s="26"/>
      <c r="H991" s="5"/>
    </row>
    <row r="992" spans="3:8" ht="14.25" customHeight="1">
      <c r="C992" s="245"/>
      <c r="D992" s="26"/>
      <c r="E992" s="26"/>
      <c r="F992" s="26"/>
      <c r="G992" s="26"/>
      <c r="H992" s="5"/>
    </row>
    <row r="993" spans="3:8" ht="14.25" customHeight="1">
      <c r="C993" s="245"/>
      <c r="D993" s="26"/>
      <c r="E993" s="26"/>
      <c r="F993" s="26"/>
      <c r="G993" s="26"/>
      <c r="H993" s="5"/>
    </row>
    <row r="994" spans="3:8" ht="14.25" customHeight="1">
      <c r="C994" s="245"/>
      <c r="D994" s="26"/>
      <c r="E994" s="26"/>
      <c r="F994" s="26"/>
      <c r="G994" s="26"/>
      <c r="H994" s="5"/>
    </row>
    <row r="995" spans="3:8" ht="14.25" customHeight="1">
      <c r="C995" s="245"/>
      <c r="D995" s="26"/>
      <c r="E995" s="26"/>
      <c r="F995" s="26"/>
      <c r="G995" s="26"/>
      <c r="H995" s="5"/>
    </row>
    <row r="996" spans="3:8" ht="14.25" customHeight="1">
      <c r="C996" s="245"/>
      <c r="D996" s="26"/>
      <c r="E996" s="26"/>
      <c r="F996" s="26"/>
      <c r="G996" s="26"/>
      <c r="H996" s="5"/>
    </row>
    <row r="997" spans="3:8" ht="14.25" customHeight="1">
      <c r="C997" s="245"/>
      <c r="D997" s="26"/>
      <c r="E997" s="26"/>
      <c r="F997" s="26"/>
      <c r="G997" s="26"/>
      <c r="H997" s="5"/>
    </row>
    <row r="998" spans="3:8" ht="14.25" customHeight="1">
      <c r="C998" s="245"/>
      <c r="D998" s="26"/>
      <c r="E998" s="26"/>
      <c r="F998" s="26"/>
      <c r="G998" s="26"/>
      <c r="H998" s="5"/>
    </row>
    <row r="999" spans="3:8" ht="14.25" customHeight="1">
      <c r="C999" s="245"/>
      <c r="D999" s="26"/>
      <c r="E999" s="26"/>
      <c r="F999" s="26"/>
      <c r="G999" s="26"/>
      <c r="H999" s="5"/>
    </row>
    <row r="1000" spans="3:8" ht="14.25" customHeight="1">
      <c r="C1000" s="245"/>
      <c r="D1000" s="26"/>
      <c r="E1000" s="26"/>
      <c r="F1000" s="26"/>
      <c r="G1000" s="26"/>
      <c r="H1000" s="5"/>
    </row>
    <row r="1001" spans="3:8" ht="14.25" customHeight="1">
      <c r="C1001" s="245"/>
      <c r="D1001" s="26"/>
      <c r="E1001" s="26"/>
      <c r="F1001" s="26"/>
      <c r="G1001" s="26"/>
      <c r="H1001" s="5"/>
    </row>
    <row r="1002" spans="3:8" ht="14.25" customHeight="1">
      <c r="C1002" s="245"/>
      <c r="D1002" s="26"/>
      <c r="E1002" s="26"/>
      <c r="F1002" s="26"/>
      <c r="G1002" s="26"/>
      <c r="H1002" s="5"/>
    </row>
    <row r="1003" spans="3:8" ht="14.25" customHeight="1">
      <c r="C1003" s="245"/>
      <c r="D1003" s="26"/>
      <c r="E1003" s="26"/>
      <c r="F1003" s="26"/>
      <c r="G1003" s="26"/>
      <c r="H1003" s="5"/>
    </row>
    <row r="1004" spans="3:8" ht="14.25" customHeight="1">
      <c r="C1004" s="245"/>
      <c r="D1004" s="26"/>
      <c r="E1004" s="26"/>
      <c r="F1004" s="26"/>
      <c r="G1004" s="26"/>
      <c r="H1004" s="5"/>
    </row>
    <row r="1005" spans="3:8" ht="14.25" customHeight="1">
      <c r="C1005" s="245"/>
      <c r="D1005" s="26"/>
      <c r="E1005" s="26"/>
      <c r="F1005" s="26"/>
      <c r="G1005" s="26"/>
      <c r="H1005" s="5"/>
    </row>
    <row r="1006" spans="3:8" ht="14.25" customHeight="1">
      <c r="C1006" s="245"/>
      <c r="D1006" s="26"/>
      <c r="E1006" s="26"/>
      <c r="F1006" s="26"/>
      <c r="G1006" s="26"/>
      <c r="H1006" s="5"/>
    </row>
    <row r="1007" spans="3:8" ht="14.25" customHeight="1">
      <c r="C1007" s="245"/>
      <c r="D1007" s="26"/>
      <c r="E1007" s="26"/>
      <c r="F1007" s="26"/>
      <c r="G1007" s="26"/>
      <c r="H1007" s="5"/>
    </row>
    <row r="1008" spans="3:8" ht="14.25" customHeight="1">
      <c r="C1008" s="245"/>
      <c r="D1008" s="26"/>
      <c r="E1008" s="26"/>
      <c r="F1008" s="26"/>
      <c r="G1008" s="26"/>
      <c r="H1008" s="5"/>
    </row>
    <row r="1009" spans="1:46" ht="14.25" customHeight="1">
      <c r="C1009" s="245"/>
      <c r="D1009" s="26"/>
      <c r="E1009" s="26"/>
      <c r="F1009" s="26"/>
      <c r="G1009" s="26"/>
      <c r="H1009" s="5"/>
    </row>
    <row r="1010" spans="1:46" ht="14.25" customHeight="1">
      <c r="C1010" s="245"/>
      <c r="D1010" s="26"/>
      <c r="E1010" s="26"/>
      <c r="F1010" s="26"/>
      <c r="G1010" s="26"/>
      <c r="H1010" s="5"/>
    </row>
    <row r="1011" spans="1:46" ht="14.25" customHeight="1">
      <c r="C1011" s="245"/>
      <c r="D1011" s="26"/>
      <c r="E1011" s="26"/>
      <c r="F1011" s="26"/>
      <c r="G1011" s="26"/>
      <c r="H1011" s="5"/>
    </row>
    <row r="1012" spans="1:46" ht="14.25" customHeight="1">
      <c r="C1012" s="245"/>
      <c r="D1012" s="26"/>
      <c r="E1012" s="26"/>
      <c r="F1012" s="26"/>
      <c r="G1012" s="26"/>
      <c r="H1012" s="5"/>
    </row>
    <row r="1013" spans="1:46" ht="14.25" customHeight="1">
      <c r="C1013" s="245"/>
      <c r="D1013" s="26"/>
      <c r="E1013" s="26"/>
      <c r="F1013" s="26"/>
      <c r="G1013" s="26"/>
      <c r="H1013" s="5"/>
    </row>
    <row r="1014" spans="1:46" ht="14.25" customHeight="1">
      <c r="C1014" s="245"/>
      <c r="D1014" s="26"/>
      <c r="E1014" s="26"/>
      <c r="F1014" s="26"/>
      <c r="G1014" s="26"/>
      <c r="H1014" s="5"/>
    </row>
    <row r="1015" spans="1:46" ht="14.25" customHeight="1">
      <c r="C1015" s="245"/>
      <c r="D1015" s="26"/>
      <c r="E1015" s="26"/>
      <c r="F1015" s="26"/>
      <c r="G1015" s="26"/>
      <c r="H1015" s="5"/>
    </row>
    <row r="1016" spans="1:46" ht="14.25" customHeight="1">
      <c r="C1016" s="245"/>
      <c r="D1016" s="26"/>
      <c r="E1016" s="26"/>
      <c r="F1016" s="26"/>
      <c r="G1016" s="26"/>
      <c r="H1016" s="5"/>
    </row>
    <row r="1017" spans="1:46" ht="14.25" customHeight="1">
      <c r="C1017" s="245"/>
      <c r="D1017" s="26"/>
      <c r="E1017" s="26"/>
      <c r="F1017" s="26"/>
      <c r="G1017" s="26"/>
      <c r="H1017" s="5"/>
    </row>
    <row r="1018" spans="1:46" s="8" customFormat="1">
      <c r="B1018" s="494" t="str">
        <f>TITLE!$C$22</f>
        <v>Полотна збірні: ЛАДА-НОВА</v>
      </c>
      <c r="C1018" s="494"/>
      <c r="D1018" s="118"/>
      <c r="E1018" s="118"/>
      <c r="F1018" s="118"/>
      <c r="G1018" s="118"/>
      <c r="H1018" s="496"/>
      <c r="I1018" s="496"/>
      <c r="J1018" s="121"/>
      <c r="K1018" s="121"/>
      <c r="L1018" s="121"/>
      <c r="M1018" s="121"/>
      <c r="N1018" s="121"/>
      <c r="O1018" s="121"/>
      <c r="P1018" s="121"/>
      <c r="Q1018" s="121"/>
      <c r="R1018" s="121"/>
      <c r="S1018" s="121"/>
      <c r="T1018" s="517" t="str">
        <f>IF($C$1="ENG",CONCATENATE("up to: ",B940),CONCATENATE("вгору до: ",B940))</f>
        <v>вгору до: Полотна збірні: ЛАДА-КОНЦЕПТ</v>
      </c>
      <c r="U1018" s="517"/>
      <c r="V1018" s="517"/>
      <c r="W1018" s="517"/>
      <c r="AE1018" s="289">
        <f>Z1018/100*12+Z1018</f>
        <v>0</v>
      </c>
      <c r="AF1018" s="289" t="e">
        <f>AE1018/Z1018-1</f>
        <v>#DIV/0!</v>
      </c>
      <c r="AN1018" s="280"/>
      <c r="AO1018" s="280"/>
      <c r="AP1018" s="280"/>
      <c r="AQ1018" s="280"/>
      <c r="AR1018" s="280"/>
      <c r="AS1018" s="280"/>
      <c r="AT1018" s="280"/>
    </row>
    <row r="1019" spans="1:46" s="8" customFormat="1" ht="5.0999999999999996" customHeight="1">
      <c r="B1019" s="117"/>
      <c r="C1019" s="420"/>
      <c r="D1019" s="9"/>
      <c r="E1019" s="9"/>
      <c r="F1019" s="9"/>
      <c r="G1019" s="9"/>
      <c r="H1019" s="120"/>
      <c r="I1019" s="120"/>
      <c r="J1019" s="1"/>
      <c r="K1019" s="1"/>
      <c r="T1019" s="115"/>
      <c r="U1019" s="115"/>
      <c r="V1019" s="115"/>
      <c r="W1019" s="115"/>
      <c r="AN1019" s="280"/>
      <c r="AO1019" s="280"/>
      <c r="AP1019" s="280"/>
      <c r="AQ1019" s="280"/>
      <c r="AR1019" s="280"/>
      <c r="AS1019" s="280"/>
      <c r="AT1019" s="280"/>
    </row>
    <row r="1020" spans="1:46" s="8" customFormat="1" ht="12.75" customHeight="1">
      <c r="B1020" s="509" t="str">
        <f>IF($C$1="ENG","model","модель")</f>
        <v>модель</v>
      </c>
      <c r="C1020" s="122" t="str">
        <f>IF($C$1="ENG","cover:","покриття:")</f>
        <v>покриття:</v>
      </c>
      <c r="D1020" s="498" t="str">
        <f>IF($C$1="ENG","Verto-CELL","Verto-CELL")</f>
        <v>Verto-CELL</v>
      </c>
      <c r="E1020" s="500"/>
      <c r="F1020" s="498" t="str">
        <f>IF($C$1="ENG","UNI-MAT","UNI-MAT")</f>
        <v>UNI-MAT</v>
      </c>
      <c r="G1020" s="500"/>
      <c r="H1020" s="498" t="str">
        <f>IF($C$1="ENG","RESIST","RESIST")</f>
        <v>RESIST</v>
      </c>
      <c r="I1020" s="500"/>
      <c r="J1020" s="498" t="str">
        <f>IF($C$1="ENG","Verto LINE-3D","Verto LINE-3D")</f>
        <v>Verto LINE-3D</v>
      </c>
      <c r="K1020" s="500"/>
      <c r="L1020" s="498" t="str">
        <f>IF($C$1="ENG","ECO Shpon","ЕКО Шпон")</f>
        <v>ЕКО Шпон</v>
      </c>
      <c r="M1020" s="500"/>
      <c r="P1020" s="104"/>
      <c r="Q1020" s="104"/>
      <c r="T1020" s="115"/>
      <c r="U1020" s="115"/>
      <c r="V1020" s="115"/>
      <c r="W1020" s="115"/>
      <c r="AN1020" s="280"/>
      <c r="AO1020" s="280"/>
      <c r="AP1020" s="280"/>
      <c r="AQ1020" s="280"/>
      <c r="AR1020" s="280"/>
      <c r="AS1020" s="280"/>
      <c r="AT1020" s="280"/>
    </row>
    <row r="1021" spans="1:46" s="8" customFormat="1" ht="27.75" customHeight="1">
      <c r="B1021" s="510"/>
      <c r="C1021" s="123" t="str">
        <f>IF($C$1="ENG","filling:","заповнення:")</f>
        <v>заповнення:</v>
      </c>
      <c r="D1021" s="505" t="str">
        <f>IF($C$1="ENG","softwood","клеєний сосновий брус")</f>
        <v>клеєний сосновий брус</v>
      </c>
      <c r="E1021" s="506"/>
      <c r="F1021" s="505" t="str">
        <f>IF($C$1="ENG","softwood","клеєний сосновий брус")</f>
        <v>клеєний сосновий брус</v>
      </c>
      <c r="G1021" s="506"/>
      <c r="H1021" s="505" t="str">
        <f>IF($C$1="ENG","softwood","клеєний сосновий брус")</f>
        <v>клеєний сосновий брус</v>
      </c>
      <c r="I1021" s="506"/>
      <c r="J1021" s="505" t="str">
        <f>IF($C$1="ENG","softwood","клеєний сосновий брус")</f>
        <v>клеєний сосновий брус</v>
      </c>
      <c r="K1021" s="506"/>
      <c r="L1021" s="505" t="str">
        <f>IF($C$1="ENG","softwood","клеєний сосновий брус")</f>
        <v>клеєний сосновий брус</v>
      </c>
      <c r="M1021" s="506"/>
      <c r="N1021" s="11"/>
      <c r="O1021" s="11"/>
      <c r="P1021" s="104"/>
      <c r="Q1021" s="104"/>
      <c r="R1021" s="11"/>
      <c r="S1021" s="11"/>
      <c r="T1021" s="11"/>
      <c r="U1021" s="115"/>
      <c r="V1021" s="115"/>
      <c r="W1021" s="115"/>
      <c r="AD1021" s="383">
        <f>AD1023/AC1023-1</f>
        <v>0.11081441922563418</v>
      </c>
      <c r="AE1021" s="383">
        <f>AE1023/AD1023-1</f>
        <v>3.9663461538461453E-2</v>
      </c>
      <c r="AF1021" s="383">
        <f>AF1023/AE1023-1</f>
        <v>9.0173410404624343E-2</v>
      </c>
      <c r="AG1021" s="383">
        <f>AG1023/AF1023-1</f>
        <v>4.9840933191940717E-2</v>
      </c>
      <c r="AN1021" s="280"/>
      <c r="AO1021" s="280"/>
      <c r="AP1021" s="280"/>
      <c r="AQ1021" s="280"/>
      <c r="AR1021" s="280"/>
      <c r="AS1021" s="280"/>
      <c r="AT1021" s="280"/>
    </row>
    <row r="1022" spans="1:46" ht="12.75" customHeight="1">
      <c r="A1022" s="8"/>
      <c r="B1022" s="511"/>
      <c r="C1022" s="124" t="str">
        <f>IF($C$1="ENG","glazing:","скління:")</f>
        <v>скління:</v>
      </c>
      <c r="D1022" s="489" t="str">
        <f>IF($C$1="ENG","Satin","Сатин")</f>
        <v>Сатин</v>
      </c>
      <c r="E1022" s="492"/>
      <c r="F1022" s="489" t="str">
        <f>IF($C$1="ENG","Satin","Сатин")</f>
        <v>Сатин</v>
      </c>
      <c r="G1022" s="492"/>
      <c r="H1022" s="489" t="str">
        <f>IF($C$1="ENG","Satin","Сатин")</f>
        <v>Сатин</v>
      </c>
      <c r="I1022" s="492"/>
      <c r="J1022" s="489" t="str">
        <f>IF($C$1="ENG","Satin","Сатин")</f>
        <v>Сатин</v>
      </c>
      <c r="K1022" s="492"/>
      <c r="L1022" s="489" t="str">
        <f>IF($C$1="ENG","Satin","Сатин")</f>
        <v>Сатин</v>
      </c>
      <c r="M1022" s="492"/>
      <c r="N1022" s="11"/>
      <c r="O1022" s="11"/>
      <c r="P1022" s="104"/>
      <c r="Q1022" s="104"/>
      <c r="R1022" s="11"/>
      <c r="S1022" s="11"/>
      <c r="T1022" s="11"/>
    </row>
    <row r="1023" spans="1:46" ht="35.1" customHeight="1">
      <c r="A1023" s="8"/>
      <c r="B1023" s="13" t="s">
        <v>13</v>
      </c>
      <c r="C1023" s="14"/>
      <c r="D1023" s="15">
        <f t="shared" ref="D1023:D1028" si="145">IF(AC1023="","",(1-$W$2)*(AC1023/1.2))</f>
        <v>6241.666666666667</v>
      </c>
      <c r="E1023" s="64">
        <f t="shared" ref="E1023:E1028" si="146">IF($W$5=0.2,D1023*1.2,D1023)/$W$4</f>
        <v>7490</v>
      </c>
      <c r="F1023" s="15">
        <f t="shared" ref="F1023:F1028" si="147">IF(AD1023="","",(1-$W$2)*(AD1023/1.2))</f>
        <v>6933.3333333333339</v>
      </c>
      <c r="G1023" s="64">
        <f t="shared" ref="G1023:G1028" si="148">IF($W$5=0.2,F1023*1.2,F1023)/$W$4</f>
        <v>8320</v>
      </c>
      <c r="H1023" s="15">
        <f t="shared" ref="H1023:H1028" si="149">IF(AE1023="","",(1-$W$2)*(AE1023/1.2))</f>
        <v>7208.3333333333339</v>
      </c>
      <c r="I1023" s="64">
        <f t="shared" ref="I1023:I1028" si="150">IF($W$5=0.2,H1023*1.2,H1023)/$W$4</f>
        <v>8650</v>
      </c>
      <c r="J1023" s="15">
        <f t="shared" ref="J1023:J1028" si="151">IF(AF1023="","",(1-$W$2)*(AF1023/1.2))</f>
        <v>7858.3333333333339</v>
      </c>
      <c r="K1023" s="64">
        <f t="shared" ref="K1023:K1028" si="152">IF($W$5=0.2,J1023*1.2,J1023)/$W$4</f>
        <v>9430</v>
      </c>
      <c r="L1023" s="15">
        <f t="shared" ref="L1023:L1028" si="153">IF(AG1023="","",(1-$W$2)*(AG1023/1.2))</f>
        <v>8250</v>
      </c>
      <c r="M1023" s="64">
        <f t="shared" ref="M1023:M1028" si="154">IF($W$5=0.2,L1023*1.2,L1023)/$W$4</f>
        <v>9900</v>
      </c>
      <c r="N1023" s="104"/>
      <c r="O1023" s="20"/>
      <c r="P1023" s="104"/>
      <c r="Q1023" s="104"/>
      <c r="R1023" s="104"/>
      <c r="S1023" s="20"/>
      <c r="T1023" s="104"/>
      <c r="U1023" s="20"/>
      <c r="V1023" s="104"/>
      <c r="W1023" s="20"/>
      <c r="X1023" s="22"/>
      <c r="Y1023" s="22"/>
      <c r="Z1023" s="22"/>
      <c r="AA1023" s="22"/>
      <c r="AB1023" s="22"/>
      <c r="AC1023" s="332">
        <v>7490</v>
      </c>
      <c r="AD1023" s="391">
        <v>8320</v>
      </c>
      <c r="AE1023" s="332">
        <v>8650</v>
      </c>
      <c r="AF1023" s="332">
        <v>9430</v>
      </c>
      <c r="AG1023" s="332">
        <v>9900</v>
      </c>
      <c r="AH1023" s="289">
        <v>7490</v>
      </c>
      <c r="AI1023" s="289">
        <f>AH1023/AC1023-1</f>
        <v>0</v>
      </c>
      <c r="AJ1023" s="289">
        <v>8320</v>
      </c>
      <c r="AK1023" s="289">
        <f>AJ1023/AD1023-1</f>
        <v>0</v>
      </c>
      <c r="AL1023" s="289">
        <v>8650</v>
      </c>
      <c r="AM1023" s="289">
        <f>AL1023/AE1023-1</f>
        <v>0</v>
      </c>
      <c r="AN1023" s="289">
        <v>9430</v>
      </c>
      <c r="AO1023" s="289">
        <f>AN1023/AF1023-1</f>
        <v>0</v>
      </c>
      <c r="AP1023" s="289">
        <v>9900</v>
      </c>
      <c r="AQ1023" s="289">
        <f>AP1023/AG1023-1</f>
        <v>0</v>
      </c>
    </row>
    <row r="1024" spans="1:46" ht="35.1" customHeight="1">
      <c r="A1024" s="8"/>
      <c r="B1024" s="16" t="s">
        <v>34</v>
      </c>
      <c r="C1024" s="17"/>
      <c r="D1024" s="18">
        <f t="shared" si="145"/>
        <v>4775</v>
      </c>
      <c r="E1024" s="66">
        <f t="shared" si="146"/>
        <v>5730</v>
      </c>
      <c r="F1024" s="18">
        <f t="shared" si="147"/>
        <v>5300</v>
      </c>
      <c r="G1024" s="66">
        <f>IF($W$5=0.2,F1024*1.2,F1024)/$W$4</f>
        <v>6360</v>
      </c>
      <c r="H1024" s="18">
        <f t="shared" si="149"/>
        <v>5600</v>
      </c>
      <c r="I1024" s="66">
        <f t="shared" si="150"/>
        <v>6720</v>
      </c>
      <c r="J1024" s="18">
        <f t="shared" si="151"/>
        <v>6008.3333333333339</v>
      </c>
      <c r="K1024" s="66">
        <f t="shared" si="152"/>
        <v>7210.0000000000009</v>
      </c>
      <c r="L1024" s="18">
        <f t="shared" si="153"/>
        <v>6283.3333333333339</v>
      </c>
      <c r="M1024" s="66">
        <f t="shared" si="154"/>
        <v>7540</v>
      </c>
      <c r="N1024" s="104"/>
      <c r="O1024" s="20"/>
      <c r="P1024" s="104"/>
      <c r="Q1024" s="104"/>
      <c r="R1024" s="104"/>
      <c r="S1024" s="20"/>
      <c r="T1024" s="104"/>
      <c r="U1024" s="20"/>
      <c r="V1024" s="104"/>
      <c r="W1024" s="20"/>
      <c r="X1024" s="22"/>
      <c r="Y1024" s="22"/>
      <c r="Z1024" s="22"/>
      <c r="AA1024" s="22"/>
      <c r="AB1024" s="22"/>
      <c r="AC1024" s="332">
        <v>5730</v>
      </c>
      <c r="AD1024" s="391">
        <v>6360</v>
      </c>
      <c r="AE1024" s="332">
        <v>6720</v>
      </c>
      <c r="AF1024" s="332">
        <v>7210</v>
      </c>
      <c r="AG1024" s="332">
        <v>7540</v>
      </c>
      <c r="AH1024" s="289">
        <v>5730</v>
      </c>
      <c r="AI1024" s="289">
        <f t="shared" ref="AI1024:AI1028" si="155">AH1024/AC1024-1</f>
        <v>0</v>
      </c>
      <c r="AJ1024" s="289">
        <v>6360</v>
      </c>
      <c r="AK1024" s="289">
        <f t="shared" ref="AK1024:AK1028" si="156">AJ1024/AD1024-1</f>
        <v>0</v>
      </c>
      <c r="AL1024" s="289">
        <v>6720</v>
      </c>
      <c r="AM1024" s="289">
        <f t="shared" ref="AM1024:AM1028" si="157">AL1024/AE1024-1</f>
        <v>0</v>
      </c>
      <c r="AN1024" s="289">
        <v>7210</v>
      </c>
      <c r="AO1024" s="289">
        <f t="shared" ref="AO1024:AO1028" si="158">AN1024/AF1024-1</f>
        <v>0</v>
      </c>
      <c r="AP1024" s="289">
        <v>7540</v>
      </c>
      <c r="AQ1024" s="289">
        <f t="shared" ref="AQ1024:AQ1028" si="159">AP1024/AG1024-1</f>
        <v>0</v>
      </c>
    </row>
    <row r="1025" spans="1:43" ht="35.1" customHeight="1">
      <c r="A1025" s="8"/>
      <c r="B1025" s="16" t="s">
        <v>35</v>
      </c>
      <c r="C1025" s="17"/>
      <c r="D1025" s="18">
        <f t="shared" si="145"/>
        <v>5541.666666666667</v>
      </c>
      <c r="E1025" s="66">
        <f t="shared" si="146"/>
        <v>6650</v>
      </c>
      <c r="F1025" s="18">
        <f t="shared" si="147"/>
        <v>6150</v>
      </c>
      <c r="G1025" s="66">
        <f t="shared" si="148"/>
        <v>7380</v>
      </c>
      <c r="H1025" s="18">
        <f t="shared" si="149"/>
        <v>6483.3333333333339</v>
      </c>
      <c r="I1025" s="66">
        <f t="shared" si="150"/>
        <v>7780</v>
      </c>
      <c r="J1025" s="18">
        <f t="shared" si="151"/>
        <v>7125</v>
      </c>
      <c r="K1025" s="66">
        <f t="shared" si="152"/>
        <v>8550</v>
      </c>
      <c r="L1025" s="18">
        <f t="shared" si="153"/>
        <v>7466.666666666667</v>
      </c>
      <c r="M1025" s="66">
        <f t="shared" si="154"/>
        <v>8960</v>
      </c>
      <c r="N1025" s="104"/>
      <c r="O1025" s="20"/>
      <c r="P1025" s="104"/>
      <c r="Q1025" s="104"/>
      <c r="R1025" s="104"/>
      <c r="S1025" s="20"/>
      <c r="T1025" s="104"/>
      <c r="U1025" s="20"/>
      <c r="V1025" s="104"/>
      <c r="W1025" s="20"/>
      <c r="X1025" s="22"/>
      <c r="Y1025" s="22"/>
      <c r="Z1025" s="22"/>
      <c r="AA1025" s="22"/>
      <c r="AB1025" s="22"/>
      <c r="AC1025" s="332">
        <v>6650</v>
      </c>
      <c r="AD1025" s="391">
        <v>7380</v>
      </c>
      <c r="AE1025" s="332">
        <v>7780</v>
      </c>
      <c r="AF1025" s="332">
        <v>8550</v>
      </c>
      <c r="AG1025" s="332">
        <v>8960</v>
      </c>
      <c r="AH1025" s="289">
        <v>6650</v>
      </c>
      <c r="AI1025" s="289">
        <f t="shared" si="155"/>
        <v>0</v>
      </c>
      <c r="AJ1025" s="289">
        <v>7380</v>
      </c>
      <c r="AK1025" s="289">
        <f t="shared" si="156"/>
        <v>0</v>
      </c>
      <c r="AL1025" s="289">
        <v>7780</v>
      </c>
      <c r="AM1025" s="289">
        <f t="shared" si="157"/>
        <v>0</v>
      </c>
      <c r="AN1025" s="289">
        <v>8550</v>
      </c>
      <c r="AO1025" s="289">
        <f t="shared" si="158"/>
        <v>0</v>
      </c>
      <c r="AP1025" s="289">
        <v>8960</v>
      </c>
      <c r="AQ1025" s="289">
        <f t="shared" si="159"/>
        <v>0</v>
      </c>
    </row>
    <row r="1026" spans="1:43" ht="35.1" customHeight="1">
      <c r="A1026" s="8"/>
      <c r="B1026" s="16" t="s">
        <v>7</v>
      </c>
      <c r="C1026" s="17"/>
      <c r="D1026" s="18">
        <f t="shared" si="145"/>
        <v>6075</v>
      </c>
      <c r="E1026" s="66">
        <f t="shared" si="146"/>
        <v>7290</v>
      </c>
      <c r="F1026" s="18">
        <f t="shared" si="147"/>
        <v>6750</v>
      </c>
      <c r="G1026" s="66">
        <f t="shared" si="148"/>
        <v>8100</v>
      </c>
      <c r="H1026" s="18">
        <f t="shared" si="149"/>
        <v>7183.3333333333339</v>
      </c>
      <c r="I1026" s="66">
        <f t="shared" si="150"/>
        <v>8620</v>
      </c>
      <c r="J1026" s="18">
        <f t="shared" si="151"/>
        <v>7908.3333333333339</v>
      </c>
      <c r="K1026" s="66">
        <f t="shared" si="152"/>
        <v>9490</v>
      </c>
      <c r="L1026" s="18">
        <f t="shared" si="153"/>
        <v>8366.6666666666679</v>
      </c>
      <c r="M1026" s="66">
        <f t="shared" si="154"/>
        <v>10040.000000000002</v>
      </c>
      <c r="N1026" s="104"/>
      <c r="O1026" s="20"/>
      <c r="P1026" s="104"/>
      <c r="Q1026" s="104"/>
      <c r="R1026" s="104"/>
      <c r="S1026" s="20"/>
      <c r="T1026" s="104"/>
      <c r="U1026" s="20"/>
      <c r="V1026" s="104"/>
      <c r="W1026" s="20"/>
      <c r="X1026" s="22"/>
      <c r="Y1026" s="22"/>
      <c r="Z1026" s="22"/>
      <c r="AA1026" s="22"/>
      <c r="AB1026" s="22"/>
      <c r="AC1026" s="332">
        <v>7290</v>
      </c>
      <c r="AD1026" s="391">
        <v>8100</v>
      </c>
      <c r="AE1026" s="332">
        <v>8620</v>
      </c>
      <c r="AF1026" s="332">
        <v>9490</v>
      </c>
      <c r="AG1026" s="332">
        <v>10040</v>
      </c>
      <c r="AH1026" s="289">
        <v>7290</v>
      </c>
      <c r="AI1026" s="289">
        <f t="shared" si="155"/>
        <v>0</v>
      </c>
      <c r="AJ1026" s="289">
        <v>8100</v>
      </c>
      <c r="AK1026" s="289">
        <f t="shared" si="156"/>
        <v>0</v>
      </c>
      <c r="AL1026" s="289">
        <v>8620</v>
      </c>
      <c r="AM1026" s="289">
        <f t="shared" si="157"/>
        <v>0</v>
      </c>
      <c r="AN1026" s="289">
        <v>9490</v>
      </c>
      <c r="AO1026" s="289">
        <f t="shared" si="158"/>
        <v>0</v>
      </c>
      <c r="AP1026" s="289">
        <v>10040</v>
      </c>
      <c r="AQ1026" s="289">
        <f t="shared" si="159"/>
        <v>0</v>
      </c>
    </row>
    <row r="1027" spans="1:43" ht="35.1" customHeight="1">
      <c r="A1027" s="8"/>
      <c r="B1027" s="16" t="s">
        <v>11</v>
      </c>
      <c r="C1027" s="17"/>
      <c r="D1027" s="18">
        <f t="shared" si="145"/>
        <v>5541.666666666667</v>
      </c>
      <c r="E1027" s="66">
        <f t="shared" si="146"/>
        <v>6650</v>
      </c>
      <c r="F1027" s="18">
        <f t="shared" si="147"/>
        <v>6150</v>
      </c>
      <c r="G1027" s="66">
        <f t="shared" si="148"/>
        <v>7380</v>
      </c>
      <c r="H1027" s="18">
        <f t="shared" si="149"/>
        <v>6500</v>
      </c>
      <c r="I1027" s="66">
        <f t="shared" si="150"/>
        <v>7800</v>
      </c>
      <c r="J1027" s="18">
        <f t="shared" si="151"/>
        <v>7125</v>
      </c>
      <c r="K1027" s="66">
        <f t="shared" si="152"/>
        <v>8550</v>
      </c>
      <c r="L1027" s="18">
        <f t="shared" si="153"/>
        <v>7466.666666666667</v>
      </c>
      <c r="M1027" s="66">
        <f t="shared" si="154"/>
        <v>8960</v>
      </c>
      <c r="N1027" s="104"/>
      <c r="O1027" s="20"/>
      <c r="P1027" s="104"/>
      <c r="Q1027" s="104"/>
      <c r="R1027" s="104"/>
      <c r="S1027" s="20"/>
      <c r="T1027" s="104"/>
      <c r="U1027" s="20"/>
      <c r="V1027" s="104"/>
      <c r="W1027" s="20"/>
      <c r="X1027" s="22"/>
      <c r="Y1027" s="22"/>
      <c r="Z1027" s="22"/>
      <c r="AA1027" s="22"/>
      <c r="AB1027" s="22"/>
      <c r="AC1027" s="332">
        <v>6650</v>
      </c>
      <c r="AD1027" s="391">
        <v>7380</v>
      </c>
      <c r="AE1027" s="332">
        <v>7800</v>
      </c>
      <c r="AF1027" s="332">
        <v>8550</v>
      </c>
      <c r="AG1027" s="332">
        <v>8960</v>
      </c>
      <c r="AH1027" s="289">
        <v>6650</v>
      </c>
      <c r="AI1027" s="289">
        <f t="shared" si="155"/>
        <v>0</v>
      </c>
      <c r="AJ1027" s="289">
        <v>7380</v>
      </c>
      <c r="AK1027" s="289">
        <f t="shared" si="156"/>
        <v>0</v>
      </c>
      <c r="AL1027" s="289">
        <v>7780</v>
      </c>
      <c r="AM1027" s="289">
        <f t="shared" si="157"/>
        <v>-2.564102564102555E-3</v>
      </c>
      <c r="AN1027" s="289">
        <v>8550</v>
      </c>
      <c r="AO1027" s="289">
        <f t="shared" si="158"/>
        <v>0</v>
      </c>
      <c r="AP1027" s="289">
        <v>8960</v>
      </c>
      <c r="AQ1027" s="289">
        <f t="shared" si="159"/>
        <v>0</v>
      </c>
    </row>
    <row r="1028" spans="1:43" ht="35.1" customHeight="1">
      <c r="A1028" s="8"/>
      <c r="B1028" s="23" t="s">
        <v>12</v>
      </c>
      <c r="C1028" s="24"/>
      <c r="D1028" s="25">
        <f t="shared" si="145"/>
        <v>5541.666666666667</v>
      </c>
      <c r="E1028" s="69">
        <f t="shared" si="146"/>
        <v>6650</v>
      </c>
      <c r="F1028" s="25">
        <f t="shared" si="147"/>
        <v>6150</v>
      </c>
      <c r="G1028" s="69">
        <f t="shared" si="148"/>
        <v>7380</v>
      </c>
      <c r="H1028" s="25">
        <f t="shared" si="149"/>
        <v>6500</v>
      </c>
      <c r="I1028" s="69">
        <f t="shared" si="150"/>
        <v>7800</v>
      </c>
      <c r="J1028" s="25">
        <f t="shared" si="151"/>
        <v>7125</v>
      </c>
      <c r="K1028" s="69">
        <f t="shared" si="152"/>
        <v>8550</v>
      </c>
      <c r="L1028" s="25">
        <f t="shared" si="153"/>
        <v>7466.666666666667</v>
      </c>
      <c r="M1028" s="69">
        <f t="shared" si="154"/>
        <v>8960</v>
      </c>
      <c r="N1028" s="104"/>
      <c r="O1028" s="20"/>
      <c r="P1028" s="104"/>
      <c r="Q1028" s="104"/>
      <c r="R1028" s="104"/>
      <c r="S1028" s="20"/>
      <c r="T1028" s="104"/>
      <c r="U1028" s="20"/>
      <c r="V1028" s="104"/>
      <c r="W1028" s="20"/>
      <c r="X1028" s="22"/>
      <c r="Y1028" s="22"/>
      <c r="Z1028" s="22"/>
      <c r="AA1028" s="22"/>
      <c r="AB1028" s="22"/>
      <c r="AC1028" s="332">
        <v>6650</v>
      </c>
      <c r="AD1028" s="391">
        <v>7380</v>
      </c>
      <c r="AE1028" s="332">
        <v>7800</v>
      </c>
      <c r="AF1028" s="332">
        <v>8550</v>
      </c>
      <c r="AG1028" s="332">
        <v>8960</v>
      </c>
      <c r="AH1028" s="289">
        <v>6650</v>
      </c>
      <c r="AI1028" s="289">
        <f t="shared" si="155"/>
        <v>0</v>
      </c>
      <c r="AJ1028" s="289">
        <v>7380</v>
      </c>
      <c r="AK1028" s="289">
        <f t="shared" si="156"/>
        <v>0</v>
      </c>
      <c r="AL1028" s="289">
        <v>7800</v>
      </c>
      <c r="AM1028" s="289">
        <f t="shared" si="157"/>
        <v>0</v>
      </c>
      <c r="AN1028" s="289">
        <v>8550</v>
      </c>
      <c r="AO1028" s="289">
        <f t="shared" si="158"/>
        <v>0</v>
      </c>
      <c r="AP1028" s="289">
        <v>8960</v>
      </c>
      <c r="AQ1028" s="289">
        <f t="shared" si="159"/>
        <v>0</v>
      </c>
    </row>
    <row r="1029" spans="1:43">
      <c r="C1029" s="245"/>
      <c r="D1029" s="26"/>
      <c r="E1029" s="57"/>
      <c r="F1029" s="26"/>
      <c r="G1029" s="57"/>
      <c r="H1029" s="5"/>
      <c r="P1029" s="104"/>
      <c r="Q1029" s="104"/>
      <c r="AN1029" s="310"/>
    </row>
    <row r="1030" spans="1:43">
      <c r="B1030" s="212" t="str">
        <f>IF($C$1="ENG","For additonal charge:","Послуги за додаткову плату:")</f>
        <v>Послуги за додаткову плату:</v>
      </c>
      <c r="C1030" s="421"/>
      <c r="D1030" s="213"/>
      <c r="E1030" s="214"/>
      <c r="F1030" s="26"/>
      <c r="G1030" s="57"/>
      <c r="H1030" s="10"/>
      <c r="I1030" s="8"/>
      <c r="J1030" s="8"/>
      <c r="K1030" s="8"/>
      <c r="P1030" s="104"/>
      <c r="Q1030" s="104"/>
    </row>
    <row r="1031" spans="1:43" ht="5.0999999999999996" customHeight="1">
      <c r="B1031" s="27"/>
      <c r="C1031" s="245"/>
      <c r="D1031" s="26"/>
      <c r="E1031" s="57"/>
      <c r="F1031" s="26"/>
      <c r="G1031" s="26"/>
      <c r="H1031" s="10"/>
      <c r="I1031" s="8"/>
      <c r="J1031" s="8"/>
      <c r="K1031" s="8"/>
    </row>
    <row r="1032" spans="1:43">
      <c r="B1032" s="514" t="str">
        <f>IF($C$1="ENG","door leaf with width 100","полотно розміром 100")</f>
        <v>полотно розміром 100</v>
      </c>
      <c r="C1032" s="515"/>
      <c r="D1032" s="410">
        <f t="shared" ref="D1032:D1045" si="160">IF(AC1032="","",(1-$W$2)*(AC1032/1.2))</f>
        <v>600</v>
      </c>
      <c r="E1032" s="92">
        <f t="shared" ref="E1032:E1044" si="161">IF($W$5=0.2,D1032*1.2,D1032)/$W$4</f>
        <v>720</v>
      </c>
      <c r="F1032" s="26"/>
      <c r="G1032" s="26"/>
      <c r="H1032" s="10"/>
      <c r="I1032" s="8"/>
      <c r="J1032" s="8"/>
      <c r="K1032" s="8"/>
      <c r="AC1032" s="289">
        <v>720</v>
      </c>
      <c r="AD1032" s="289">
        <v>720</v>
      </c>
      <c r="AE1032" s="289"/>
      <c r="AF1032" s="289"/>
      <c r="AG1032" s="289"/>
      <c r="AH1032" s="289"/>
      <c r="AI1032" s="289"/>
      <c r="AJ1032" s="289"/>
      <c r="AK1032" s="289"/>
      <c r="AL1032" s="289"/>
    </row>
    <row r="1033" spans="1:43">
      <c r="B1033" s="501" t="str">
        <f>IF($C$1="ENG","Ventilation sleeves (1 row)","вентиляційні віддушини (1ряд)")</f>
        <v>вентиляційні віддушини (1ряд)</v>
      </c>
      <c r="C1033" s="502"/>
      <c r="D1033" s="405">
        <f t="shared" si="160"/>
        <v>208.33333333333334</v>
      </c>
      <c r="E1033" s="93">
        <f t="shared" si="161"/>
        <v>250</v>
      </c>
      <c r="F1033" s="26"/>
      <c r="G1033" s="26"/>
      <c r="I1033" s="11"/>
      <c r="J1033" s="11"/>
      <c r="K1033" s="11"/>
      <c r="AC1033" s="289">
        <v>250</v>
      </c>
      <c r="AD1033" s="289">
        <v>250</v>
      </c>
      <c r="AE1033" s="289"/>
      <c r="AF1033" s="289"/>
      <c r="AG1033" s="289"/>
      <c r="AH1033" s="289"/>
      <c r="AI1033" s="289"/>
      <c r="AJ1033" s="289"/>
      <c r="AK1033" s="289"/>
      <c r="AL1033" s="289"/>
    </row>
    <row r="1034" spans="1:43">
      <c r="B1034" s="514" t="str">
        <f>IF($C$1="ENG","Ventilation cut","вентиляційний підріз")</f>
        <v>вентиляційний підріз</v>
      </c>
      <c r="C1034" s="515"/>
      <c r="D1034" s="405">
        <f t="shared" si="160"/>
        <v>141.66666666666669</v>
      </c>
      <c r="E1034" s="66">
        <f t="shared" si="161"/>
        <v>170.00000000000003</v>
      </c>
      <c r="F1034" s="26"/>
      <c r="G1034" s="26"/>
      <c r="I1034" s="59"/>
      <c r="J1034" s="28"/>
      <c r="AC1034" s="289">
        <v>170</v>
      </c>
      <c r="AD1034" s="289">
        <v>170</v>
      </c>
      <c r="AE1034" s="289"/>
      <c r="AF1034" s="289"/>
      <c r="AG1034" s="289"/>
      <c r="AH1034" s="289"/>
      <c r="AI1034" s="289"/>
      <c r="AJ1034" s="289"/>
      <c r="AK1034" s="289"/>
      <c r="AL1034" s="289"/>
    </row>
    <row r="1035" spans="1:43">
      <c r="B1035" s="501" t="str">
        <f>IF($C$1="ENG","glazing Graphite / Bronze","скло Графіт / Бронза")</f>
        <v>скло Графіт / Бронза</v>
      </c>
      <c r="C1035" s="502"/>
      <c r="D1035" s="407">
        <f t="shared" si="160"/>
        <v>458.33333333333337</v>
      </c>
      <c r="E1035" s="93">
        <f t="shared" si="161"/>
        <v>550</v>
      </c>
      <c r="F1035" s="26"/>
      <c r="G1035" s="26"/>
      <c r="H1035" s="5"/>
      <c r="AC1035" s="289">
        <v>550</v>
      </c>
      <c r="AD1035" s="289">
        <v>550</v>
      </c>
      <c r="AE1035" s="289"/>
      <c r="AF1035" s="289"/>
      <c r="AG1035" s="289"/>
      <c r="AH1035" s="289"/>
      <c r="AI1035" s="289"/>
      <c r="AJ1035" s="289"/>
      <c r="AK1035" s="289"/>
      <c r="AL1035" s="289"/>
    </row>
    <row r="1036" spans="1:43">
      <c r="B1036" s="501" t="str">
        <f>IF($C$1="ENG","glazing Lacobel black ","скло Lacobel чорне")</f>
        <v>скло Lacobel чорне</v>
      </c>
      <c r="C1036" s="502"/>
      <c r="D1036" s="407">
        <f t="shared" si="160"/>
        <v>458.33333333333337</v>
      </c>
      <c r="E1036" s="93">
        <f>IF($W$5=0.2,D1036*1.2,D1036)/$W$4</f>
        <v>550</v>
      </c>
      <c r="F1036" s="26"/>
      <c r="G1036" s="26"/>
      <c r="H1036" s="5"/>
      <c r="AC1036" s="298">
        <v>550</v>
      </c>
      <c r="AD1036" s="298">
        <v>550</v>
      </c>
      <c r="AE1036" s="289"/>
      <c r="AF1036" s="289"/>
      <c r="AG1036" s="289"/>
      <c r="AH1036" s="289"/>
      <c r="AI1036" s="289"/>
      <c r="AJ1036" s="289"/>
      <c r="AK1036" s="289"/>
      <c r="AL1036" s="289"/>
    </row>
    <row r="1037" spans="1:43">
      <c r="B1037" s="501" t="str">
        <f>IF($C$1="ENG","door lock Soft","замок Soft")</f>
        <v>замок Soft</v>
      </c>
      <c r="C1037" s="502"/>
      <c r="D1037" s="407">
        <f t="shared" si="160"/>
        <v>458.33333333333337</v>
      </c>
      <c r="E1037" s="93">
        <f t="shared" si="161"/>
        <v>550</v>
      </c>
      <c r="F1037" s="26"/>
      <c r="G1037" s="26"/>
      <c r="H1037" s="5"/>
      <c r="AC1037" s="289">
        <v>550</v>
      </c>
      <c r="AD1037" s="289">
        <v>550</v>
      </c>
      <c r="AE1037" s="289"/>
      <c r="AF1037" s="289"/>
      <c r="AG1037" s="289"/>
      <c r="AH1037" s="289"/>
      <c r="AI1037" s="289"/>
      <c r="AJ1037" s="289"/>
      <c r="AK1037" s="289"/>
      <c r="AL1037" s="289"/>
    </row>
    <row r="1038" spans="1:43">
      <c r="B1038" s="501" t="str">
        <f>IF($C$1="ENG","door lock Soft black","замок Soft чорн.")</f>
        <v>замок Soft чорн.</v>
      </c>
      <c r="C1038" s="502"/>
      <c r="D1038" s="407">
        <f t="shared" ref="D1038" si="162">IF(AC1038="","",(1-$W$2)*(AC1038/1.2))</f>
        <v>566.66666666666674</v>
      </c>
      <c r="E1038" s="93">
        <f t="shared" ref="E1038" si="163">IF($W$5=0.2,D1038*1.2,D1038)/$W$4</f>
        <v>680.00000000000011</v>
      </c>
      <c r="F1038" s="26"/>
      <c r="G1038" s="26"/>
      <c r="H1038" s="5"/>
      <c r="AC1038" s="289">
        <v>680</v>
      </c>
      <c r="AD1038" s="289"/>
      <c r="AE1038" s="289"/>
      <c r="AF1038" s="289"/>
      <c r="AG1038" s="289"/>
      <c r="AH1038" s="289"/>
      <c r="AI1038" s="289"/>
      <c r="AJ1038" s="289"/>
      <c r="AK1038" s="289"/>
      <c r="AL1038" s="289"/>
    </row>
    <row r="1039" spans="1:43">
      <c r="B1039" s="501" t="str">
        <f>IF($C$1="ENG","door lock Magnet","замок Magnet")</f>
        <v>замок Magnet</v>
      </c>
      <c r="C1039" s="502"/>
      <c r="D1039" s="407">
        <f t="shared" si="160"/>
        <v>666.66666666666674</v>
      </c>
      <c r="E1039" s="93">
        <f t="shared" si="161"/>
        <v>800.00000000000011</v>
      </c>
      <c r="F1039" s="26"/>
      <c r="G1039" s="26"/>
      <c r="H1039" s="5"/>
      <c r="AC1039" s="289">
        <v>800</v>
      </c>
      <c r="AD1039" s="289">
        <v>800</v>
      </c>
      <c r="AE1039" s="289"/>
      <c r="AF1039" s="289"/>
      <c r="AG1039" s="289"/>
      <c r="AH1039" s="289"/>
      <c r="AI1039" s="289"/>
      <c r="AJ1039" s="289"/>
      <c r="AK1039" s="289"/>
      <c r="AL1039" s="289"/>
    </row>
    <row r="1040" spans="1:43">
      <c r="B1040" s="501" t="s">
        <v>76</v>
      </c>
      <c r="C1040" s="501"/>
      <c r="D1040" s="407">
        <f t="shared" ref="D1040" si="164">IF(AC1040="","",(1-$W$2)*(AC1040/1.2))</f>
        <v>833.33333333333337</v>
      </c>
      <c r="E1040" s="93">
        <f t="shared" ref="E1040" si="165">IF($W$5=0.2,D1040*1.2,D1040)/$W$4</f>
        <v>1000</v>
      </c>
      <c r="F1040" s="26"/>
      <c r="G1040" s="26"/>
      <c r="H1040" s="5"/>
      <c r="AC1040" s="289">
        <v>1000</v>
      </c>
      <c r="AD1040" s="289"/>
      <c r="AE1040" s="289"/>
      <c r="AF1040" s="289"/>
      <c r="AG1040" s="289"/>
      <c r="AH1040" s="289"/>
      <c r="AI1040" s="289"/>
      <c r="AJ1040" s="289"/>
      <c r="AK1040" s="289"/>
      <c r="AL1040" s="289"/>
    </row>
    <row r="1041" spans="2:38">
      <c r="B1041" s="501" t="str">
        <f>IF($C$1="ENG","door handle-lock (for sliding doors)","ручка-замок (для дверей купе)")</f>
        <v>ручка-замок (для дверей купе)</v>
      </c>
      <c r="C1041" s="502"/>
      <c r="D1041" s="405">
        <f t="shared" si="160"/>
        <v>466.66666666666669</v>
      </c>
      <c r="E1041" s="93">
        <f t="shared" si="161"/>
        <v>560</v>
      </c>
      <c r="F1041" s="26"/>
      <c r="G1041" s="26"/>
      <c r="I1041" s="11"/>
      <c r="J1041" s="11"/>
      <c r="K1041" s="19"/>
      <c r="AC1041" s="289">
        <v>560</v>
      </c>
      <c r="AD1041" s="289">
        <v>560</v>
      </c>
      <c r="AE1041" s="289"/>
      <c r="AF1041" s="289"/>
      <c r="AG1041" s="289"/>
      <c r="AH1041" s="289"/>
      <c r="AI1041" s="289"/>
      <c r="AJ1041" s="289"/>
      <c r="AK1041" s="289"/>
      <c r="AL1041" s="289"/>
    </row>
    <row r="1042" spans="2:38">
      <c r="B1042" s="501" t="str">
        <f>IF($C$1="ENG","cylinder incert","циліндр несиметричний")</f>
        <v>циліндр несиметричний</v>
      </c>
      <c r="C1042" s="502"/>
      <c r="D1042" s="405">
        <f t="shared" si="160"/>
        <v>316.66666666666669</v>
      </c>
      <c r="E1042" s="93">
        <f t="shared" si="161"/>
        <v>380</v>
      </c>
      <c r="F1042" s="26"/>
      <c r="G1042" s="26"/>
      <c r="AC1042" s="289">
        <v>380</v>
      </c>
      <c r="AD1042" s="289">
        <v>380</v>
      </c>
      <c r="AE1042" s="289"/>
      <c r="AF1042" s="289"/>
      <c r="AG1042" s="289"/>
      <c r="AH1042" s="289"/>
      <c r="AI1042" s="289"/>
      <c r="AJ1042" s="289"/>
      <c r="AK1042" s="289"/>
      <c r="AL1042" s="289"/>
    </row>
    <row r="1043" spans="2:38">
      <c r="B1043" s="501" t="str">
        <f>IF($C$1="ENG","door hindge Prestige (1 unit)","завіса Prestige (1 шт)")</f>
        <v>завіса Prestige (1 шт)</v>
      </c>
      <c r="C1043" s="502"/>
      <c r="D1043" s="408">
        <f t="shared" si="160"/>
        <v>216.66666666666669</v>
      </c>
      <c r="E1043" s="93">
        <f t="shared" si="161"/>
        <v>260</v>
      </c>
      <c r="F1043" s="26"/>
      <c r="G1043" s="26"/>
      <c r="AC1043" s="289">
        <v>260</v>
      </c>
      <c r="AD1043" s="289">
        <v>260</v>
      </c>
      <c r="AE1043" s="289"/>
      <c r="AF1043" s="289"/>
      <c r="AG1043" s="289"/>
      <c r="AH1043" s="289"/>
      <c r="AI1043" s="289"/>
      <c r="AJ1043" s="289"/>
      <c r="AK1043" s="289"/>
      <c r="AL1043" s="289"/>
    </row>
    <row r="1044" spans="2:38">
      <c r="B1044" s="501" t="str">
        <f>IF($C$1="ENG","door hinge caps (1 set)","накладка на завіси (1 к-т)")</f>
        <v>накладка на завіси (1 к-т)</v>
      </c>
      <c r="C1044" s="502"/>
      <c r="D1044" s="408">
        <f t="shared" si="160"/>
        <v>66.666666666666671</v>
      </c>
      <c r="E1044" s="93">
        <f t="shared" si="161"/>
        <v>80</v>
      </c>
      <c r="F1044" s="26"/>
      <c r="G1044" s="26"/>
      <c r="AC1044" s="289">
        <v>80</v>
      </c>
      <c r="AD1044" s="289">
        <v>80</v>
      </c>
      <c r="AE1044" s="289"/>
      <c r="AF1044" s="289"/>
      <c r="AG1044" s="289"/>
      <c r="AH1044" s="289"/>
      <c r="AI1044" s="289"/>
      <c r="AJ1044" s="289"/>
      <c r="AK1044" s="289"/>
      <c r="AL1044" s="289"/>
    </row>
    <row r="1045" spans="2:38">
      <c r="B1045" s="501" t="str">
        <f>IF($C$1="ENG","door handle","дверна ручка")</f>
        <v>дверна ручка</v>
      </c>
      <c r="C1045" s="502"/>
      <c r="D1045" s="409" t="str">
        <f t="shared" si="160"/>
        <v/>
      </c>
      <c r="E1045" s="247" t="str">
        <f>IF($C$1="ENG","see Handles Price","див. Таблицю Ручки")</f>
        <v>див. Таблицю Ручки</v>
      </c>
      <c r="F1045" s="26"/>
      <c r="G1045" s="26"/>
      <c r="AC1045" s="289"/>
      <c r="AD1045" s="289"/>
      <c r="AE1045" s="289"/>
      <c r="AF1045" s="289"/>
      <c r="AG1045" s="289"/>
      <c r="AH1045" s="289"/>
      <c r="AI1045" s="289"/>
      <c r="AJ1045" s="289"/>
      <c r="AK1045" s="289"/>
      <c r="AL1045" s="289"/>
    </row>
    <row r="1046" spans="2:38" ht="14.25" customHeight="1">
      <c r="C1046" s="245"/>
      <c r="D1046" s="26"/>
      <c r="E1046" s="26"/>
      <c r="F1046" s="26"/>
      <c r="G1046" s="26"/>
      <c r="H1046" s="5"/>
      <c r="T1046" s="503" t="str">
        <f>IF($C$1="ENG",CONCATENATE("down to: ",B1096),CONCATENATE("вниз до: ",B1096))</f>
        <v>вниз до: Полотна збірні: МІРА</v>
      </c>
      <c r="U1046" s="503"/>
      <c r="V1046" s="503"/>
      <c r="W1046" s="503"/>
    </row>
    <row r="1047" spans="2:38" ht="14.25" customHeight="1">
      <c r="C1047" s="245"/>
      <c r="D1047" s="26"/>
      <c r="E1047" s="26"/>
      <c r="F1047" s="26"/>
      <c r="G1047" s="26"/>
      <c r="H1047" s="5"/>
      <c r="T1047" s="115"/>
      <c r="U1047" s="115"/>
      <c r="V1047" s="115"/>
      <c r="W1047" s="115"/>
    </row>
    <row r="1048" spans="2:38" ht="14.25" customHeight="1">
      <c r="C1048" s="245"/>
      <c r="D1048" s="26"/>
      <c r="E1048" s="26"/>
      <c r="F1048" s="26"/>
      <c r="G1048" s="26"/>
      <c r="H1048" s="5"/>
      <c r="T1048" s="115"/>
      <c r="U1048" s="115"/>
      <c r="V1048" s="115"/>
      <c r="W1048" s="115"/>
    </row>
    <row r="1049" spans="2:38" ht="14.25" customHeight="1">
      <c r="C1049" s="245"/>
      <c r="D1049" s="26"/>
      <c r="E1049" s="26"/>
      <c r="F1049" s="26"/>
      <c r="G1049" s="26"/>
      <c r="H1049" s="5"/>
      <c r="T1049" s="115"/>
      <c r="U1049" s="115"/>
      <c r="V1049" s="115"/>
      <c r="W1049" s="115"/>
    </row>
    <row r="1050" spans="2:38" ht="14.25" customHeight="1">
      <c r="C1050" s="245"/>
      <c r="D1050" s="26"/>
      <c r="E1050" s="26"/>
      <c r="F1050" s="26"/>
      <c r="G1050" s="26"/>
      <c r="H1050" s="5"/>
      <c r="T1050" s="115"/>
      <c r="U1050" s="115"/>
      <c r="V1050" s="115"/>
      <c r="W1050" s="115"/>
    </row>
    <row r="1051" spans="2:38" ht="14.25" customHeight="1">
      <c r="C1051" s="245"/>
      <c r="D1051" s="26"/>
      <c r="E1051" s="26"/>
      <c r="F1051" s="26"/>
      <c r="G1051" s="26"/>
      <c r="H1051" s="5"/>
      <c r="T1051" s="115"/>
      <c r="U1051" s="115"/>
      <c r="V1051" s="115"/>
      <c r="W1051" s="115"/>
    </row>
    <row r="1052" spans="2:38" ht="14.25" customHeight="1">
      <c r="C1052" s="245"/>
      <c r="D1052" s="26"/>
      <c r="E1052" s="26"/>
      <c r="F1052" s="26"/>
      <c r="G1052" s="26"/>
      <c r="H1052" s="5"/>
      <c r="T1052" s="115"/>
      <c r="U1052" s="115"/>
      <c r="V1052" s="115"/>
      <c r="W1052" s="115"/>
    </row>
    <row r="1053" spans="2:38" ht="14.25" customHeight="1">
      <c r="C1053" s="245"/>
      <c r="D1053" s="26"/>
      <c r="E1053" s="26"/>
      <c r="F1053" s="26"/>
      <c r="G1053" s="26"/>
      <c r="H1053" s="5"/>
      <c r="T1053" s="115"/>
      <c r="U1053" s="115"/>
      <c r="V1053" s="115"/>
      <c r="W1053" s="115"/>
    </row>
    <row r="1054" spans="2:38" ht="14.25" customHeight="1">
      <c r="C1054" s="245"/>
      <c r="D1054" s="26"/>
      <c r="E1054" s="26"/>
      <c r="F1054" s="26"/>
      <c r="G1054" s="26"/>
      <c r="H1054" s="5"/>
      <c r="T1054" s="115"/>
      <c r="U1054" s="115"/>
      <c r="V1054" s="115"/>
      <c r="W1054" s="115"/>
    </row>
    <row r="1055" spans="2:38" ht="14.25" customHeight="1">
      <c r="C1055" s="245"/>
      <c r="D1055" s="26"/>
      <c r="E1055" s="26"/>
      <c r="F1055" s="26"/>
      <c r="G1055" s="26"/>
      <c r="H1055" s="5"/>
      <c r="T1055" s="115"/>
      <c r="U1055" s="115"/>
      <c r="V1055" s="115"/>
      <c r="W1055" s="115"/>
    </row>
    <row r="1056" spans="2:38" ht="14.25" customHeight="1">
      <c r="C1056" s="245"/>
      <c r="D1056" s="26"/>
      <c r="E1056" s="26"/>
      <c r="F1056" s="26"/>
      <c r="G1056" s="26"/>
      <c r="H1056" s="5"/>
      <c r="T1056" s="115"/>
      <c r="U1056" s="115"/>
      <c r="V1056" s="115"/>
      <c r="W1056" s="115"/>
    </row>
    <row r="1057" spans="3:23" ht="14.25" customHeight="1">
      <c r="C1057" s="245"/>
      <c r="D1057" s="26"/>
      <c r="E1057" s="26"/>
      <c r="F1057" s="26"/>
      <c r="G1057" s="26"/>
      <c r="H1057" s="5"/>
      <c r="T1057" s="115"/>
      <c r="U1057" s="115"/>
      <c r="V1057" s="115"/>
      <c r="W1057" s="115"/>
    </row>
    <row r="1058" spans="3:23" ht="14.25" customHeight="1">
      <c r="C1058" s="245"/>
      <c r="D1058" s="26"/>
      <c r="E1058" s="26"/>
      <c r="F1058" s="26"/>
      <c r="G1058" s="26"/>
      <c r="H1058" s="5"/>
      <c r="T1058" s="115"/>
      <c r="U1058" s="115"/>
      <c r="V1058" s="115"/>
      <c r="W1058" s="115"/>
    </row>
    <row r="1059" spans="3:23" ht="14.25" customHeight="1">
      <c r="C1059" s="245"/>
      <c r="D1059" s="26"/>
      <c r="E1059" s="26"/>
      <c r="F1059" s="26"/>
      <c r="G1059" s="26"/>
      <c r="H1059" s="5"/>
      <c r="T1059" s="115"/>
      <c r="U1059" s="115"/>
      <c r="V1059" s="115"/>
      <c r="W1059" s="115"/>
    </row>
    <row r="1060" spans="3:23" ht="14.25" customHeight="1">
      <c r="C1060" s="245"/>
      <c r="D1060" s="26"/>
      <c r="E1060" s="26"/>
      <c r="F1060" s="26"/>
      <c r="G1060" s="26"/>
      <c r="H1060" s="5"/>
      <c r="T1060" s="115"/>
      <c r="U1060" s="115"/>
      <c r="V1060" s="115"/>
      <c r="W1060" s="115"/>
    </row>
    <row r="1061" spans="3:23" ht="14.25" customHeight="1">
      <c r="C1061" s="245"/>
      <c r="D1061" s="26"/>
      <c r="E1061" s="26"/>
      <c r="F1061" s="26"/>
      <c r="G1061" s="26"/>
      <c r="H1061" s="5"/>
      <c r="T1061" s="115"/>
      <c r="U1061" s="115"/>
      <c r="V1061" s="115"/>
      <c r="W1061" s="115"/>
    </row>
    <row r="1062" spans="3:23" ht="14.25" customHeight="1">
      <c r="C1062" s="245"/>
      <c r="D1062" s="26"/>
      <c r="E1062" s="26"/>
      <c r="F1062" s="26"/>
      <c r="G1062" s="26"/>
      <c r="H1062" s="5"/>
      <c r="T1062" s="115"/>
      <c r="U1062" s="115"/>
      <c r="V1062" s="115"/>
      <c r="W1062" s="115"/>
    </row>
    <row r="1063" spans="3:23" ht="14.25" customHeight="1">
      <c r="C1063" s="245"/>
      <c r="D1063" s="26"/>
      <c r="E1063" s="26"/>
      <c r="F1063" s="26"/>
      <c r="G1063" s="26"/>
      <c r="H1063" s="5"/>
      <c r="T1063" s="115"/>
      <c r="U1063" s="115"/>
      <c r="V1063" s="115"/>
      <c r="W1063" s="115"/>
    </row>
    <row r="1064" spans="3:23" ht="14.25" customHeight="1">
      <c r="C1064" s="245"/>
      <c r="D1064" s="26"/>
      <c r="E1064" s="26"/>
      <c r="F1064" s="26"/>
      <c r="G1064" s="26"/>
      <c r="H1064" s="5"/>
      <c r="T1064" s="115"/>
      <c r="U1064" s="115"/>
      <c r="V1064" s="115"/>
      <c r="W1064" s="115"/>
    </row>
    <row r="1065" spans="3:23" ht="14.25" customHeight="1">
      <c r="C1065" s="245"/>
      <c r="D1065" s="26"/>
      <c r="E1065" s="26"/>
      <c r="F1065" s="26"/>
      <c r="G1065" s="26"/>
      <c r="H1065" s="5"/>
      <c r="T1065" s="115"/>
      <c r="U1065" s="115"/>
      <c r="V1065" s="115"/>
      <c r="W1065" s="115"/>
    </row>
    <row r="1066" spans="3:23" ht="14.25" customHeight="1">
      <c r="C1066" s="245"/>
      <c r="D1066" s="26"/>
      <c r="E1066" s="26"/>
      <c r="F1066" s="26"/>
      <c r="G1066" s="26"/>
      <c r="H1066" s="5"/>
      <c r="T1066" s="115"/>
      <c r="U1066" s="115"/>
      <c r="V1066" s="115"/>
      <c r="W1066" s="115"/>
    </row>
    <row r="1067" spans="3:23" ht="14.25" customHeight="1">
      <c r="C1067" s="245"/>
      <c r="D1067" s="26"/>
      <c r="E1067" s="26"/>
      <c r="F1067" s="26"/>
      <c r="G1067" s="26"/>
      <c r="H1067" s="5"/>
      <c r="T1067" s="115"/>
      <c r="U1067" s="115"/>
      <c r="V1067" s="115"/>
      <c r="W1067" s="115"/>
    </row>
    <row r="1068" spans="3:23" ht="14.25" customHeight="1">
      <c r="C1068" s="245"/>
      <c r="D1068" s="26"/>
      <c r="E1068" s="26"/>
      <c r="F1068" s="26"/>
      <c r="G1068" s="26"/>
      <c r="H1068" s="5"/>
      <c r="T1068" s="115"/>
      <c r="U1068" s="115"/>
      <c r="V1068" s="115"/>
      <c r="W1068" s="115"/>
    </row>
    <row r="1069" spans="3:23" ht="14.25" customHeight="1">
      <c r="C1069" s="245"/>
      <c r="D1069" s="26"/>
      <c r="E1069" s="26"/>
      <c r="F1069" s="26"/>
      <c r="G1069" s="26"/>
      <c r="H1069" s="5"/>
      <c r="T1069" s="115"/>
      <c r="U1069" s="115"/>
      <c r="V1069" s="115"/>
      <c r="W1069" s="115"/>
    </row>
    <row r="1070" spans="3:23" ht="14.25" customHeight="1">
      <c r="C1070" s="245"/>
      <c r="D1070" s="26"/>
      <c r="E1070" s="26"/>
      <c r="F1070" s="26"/>
      <c r="G1070" s="26"/>
      <c r="H1070" s="5"/>
      <c r="T1070" s="115"/>
      <c r="U1070" s="115"/>
      <c r="V1070" s="115"/>
      <c r="W1070" s="115"/>
    </row>
    <row r="1071" spans="3:23" ht="14.25" customHeight="1">
      <c r="C1071" s="245"/>
      <c r="D1071" s="26"/>
      <c r="E1071" s="26"/>
      <c r="F1071" s="26"/>
      <c r="G1071" s="26"/>
      <c r="H1071" s="5"/>
      <c r="T1071" s="115"/>
      <c r="U1071" s="115"/>
      <c r="V1071" s="115"/>
      <c r="W1071" s="115"/>
    </row>
    <row r="1072" spans="3:23" ht="14.25" customHeight="1">
      <c r="C1072" s="245"/>
      <c r="D1072" s="26"/>
      <c r="E1072" s="26"/>
      <c r="F1072" s="26"/>
      <c r="G1072" s="26"/>
      <c r="H1072" s="5"/>
      <c r="T1072" s="115"/>
      <c r="U1072" s="115"/>
      <c r="V1072" s="115"/>
      <c r="W1072" s="115"/>
    </row>
    <row r="1073" spans="3:23" ht="14.25" customHeight="1">
      <c r="C1073" s="245"/>
      <c r="D1073" s="26"/>
      <c r="E1073" s="26"/>
      <c r="F1073" s="26"/>
      <c r="G1073" s="26"/>
      <c r="H1073" s="5"/>
      <c r="T1073" s="115"/>
      <c r="U1073" s="115"/>
      <c r="V1073" s="115"/>
      <c r="W1073" s="115"/>
    </row>
    <row r="1074" spans="3:23" ht="14.25" customHeight="1">
      <c r="C1074" s="245"/>
      <c r="D1074" s="26"/>
      <c r="E1074" s="26"/>
      <c r="F1074" s="26"/>
      <c r="G1074" s="26"/>
      <c r="H1074" s="5"/>
      <c r="T1074" s="115"/>
      <c r="U1074" s="115"/>
      <c r="V1074" s="115"/>
      <c r="W1074" s="115"/>
    </row>
    <row r="1075" spans="3:23" ht="14.25" customHeight="1">
      <c r="C1075" s="245"/>
      <c r="D1075" s="26"/>
      <c r="E1075" s="26"/>
      <c r="F1075" s="26"/>
      <c r="G1075" s="26"/>
      <c r="H1075" s="5"/>
      <c r="T1075" s="115"/>
      <c r="U1075" s="115"/>
      <c r="V1075" s="115"/>
      <c r="W1075" s="115"/>
    </row>
    <row r="1076" spans="3:23" ht="14.25" customHeight="1">
      <c r="C1076" s="245"/>
      <c r="D1076" s="26"/>
      <c r="E1076" s="26"/>
      <c r="F1076" s="26"/>
      <c r="G1076" s="26"/>
      <c r="H1076" s="5"/>
      <c r="T1076" s="115"/>
      <c r="U1076" s="115"/>
      <c r="V1076" s="115"/>
      <c r="W1076" s="115"/>
    </row>
    <row r="1077" spans="3:23" ht="14.25" customHeight="1">
      <c r="C1077" s="245"/>
      <c r="D1077" s="26"/>
      <c r="E1077" s="26"/>
      <c r="F1077" s="26"/>
      <c r="G1077" s="26"/>
      <c r="H1077" s="5"/>
      <c r="T1077" s="115"/>
      <c r="U1077" s="115"/>
      <c r="V1077" s="115"/>
      <c r="W1077" s="115"/>
    </row>
    <row r="1078" spans="3:23" ht="14.25" customHeight="1">
      <c r="C1078" s="245"/>
      <c r="D1078" s="26"/>
      <c r="E1078" s="26"/>
      <c r="F1078" s="26"/>
      <c r="G1078" s="26"/>
      <c r="H1078" s="5"/>
      <c r="T1078" s="115"/>
      <c r="U1078" s="115"/>
      <c r="V1078" s="115"/>
      <c r="W1078" s="115"/>
    </row>
    <row r="1079" spans="3:23" ht="14.25" customHeight="1">
      <c r="C1079" s="245"/>
      <c r="D1079" s="26"/>
      <c r="E1079" s="26"/>
      <c r="F1079" s="26"/>
      <c r="G1079" s="26"/>
      <c r="H1079" s="5"/>
      <c r="T1079" s="115"/>
      <c r="U1079" s="115"/>
      <c r="V1079" s="115"/>
      <c r="W1079" s="115"/>
    </row>
    <row r="1080" spans="3:23" ht="14.25" customHeight="1">
      <c r="C1080" s="245"/>
      <c r="D1080" s="26"/>
      <c r="E1080" s="26"/>
      <c r="F1080" s="26"/>
      <c r="G1080" s="26"/>
      <c r="H1080" s="5"/>
      <c r="T1080" s="115"/>
      <c r="U1080" s="115"/>
      <c r="V1080" s="115"/>
      <c r="W1080" s="115"/>
    </row>
    <row r="1081" spans="3:23" ht="14.25" customHeight="1">
      <c r="C1081" s="245"/>
      <c r="D1081" s="26"/>
      <c r="E1081" s="26"/>
      <c r="F1081" s="26"/>
      <c r="G1081" s="26"/>
      <c r="H1081" s="5"/>
      <c r="T1081" s="115"/>
      <c r="U1081" s="115"/>
      <c r="V1081" s="115"/>
      <c r="W1081" s="115"/>
    </row>
    <row r="1082" spans="3:23" ht="14.25" customHeight="1">
      <c r="C1082" s="245"/>
      <c r="D1082" s="26"/>
      <c r="E1082" s="26"/>
      <c r="F1082" s="26"/>
      <c r="G1082" s="26"/>
      <c r="H1082" s="5"/>
      <c r="T1082" s="115"/>
      <c r="U1082" s="115"/>
      <c r="V1082" s="115"/>
      <c r="W1082" s="115"/>
    </row>
    <row r="1083" spans="3:23" ht="14.25" customHeight="1">
      <c r="C1083" s="245"/>
      <c r="D1083" s="26"/>
      <c r="E1083" s="26"/>
      <c r="F1083" s="26"/>
      <c r="G1083" s="26"/>
      <c r="H1083" s="5"/>
      <c r="T1083" s="115"/>
      <c r="U1083" s="115"/>
      <c r="V1083" s="115"/>
      <c r="W1083" s="115"/>
    </row>
    <row r="1084" spans="3:23" ht="14.25" customHeight="1">
      <c r="C1084" s="245"/>
      <c r="D1084" s="26"/>
      <c r="E1084" s="26"/>
      <c r="F1084" s="26"/>
      <c r="G1084" s="26"/>
      <c r="H1084" s="5"/>
      <c r="T1084" s="115"/>
      <c r="U1084" s="115"/>
      <c r="V1084" s="115"/>
      <c r="W1084" s="115"/>
    </row>
    <row r="1085" spans="3:23" ht="14.25" customHeight="1">
      <c r="C1085" s="245"/>
      <c r="D1085" s="26"/>
      <c r="E1085" s="26"/>
      <c r="F1085" s="26"/>
      <c r="G1085" s="26"/>
      <c r="H1085" s="5"/>
      <c r="T1085" s="115"/>
      <c r="U1085" s="115"/>
      <c r="V1085" s="115"/>
      <c r="W1085" s="115"/>
    </row>
    <row r="1086" spans="3:23" ht="14.25" customHeight="1">
      <c r="C1086" s="245"/>
      <c r="D1086" s="26"/>
      <c r="E1086" s="26"/>
      <c r="F1086" s="26"/>
      <c r="G1086" s="26"/>
      <c r="H1086" s="5"/>
      <c r="T1086" s="115"/>
      <c r="U1086" s="115"/>
      <c r="V1086" s="115"/>
      <c r="W1086" s="115"/>
    </row>
    <row r="1087" spans="3:23" ht="14.25" customHeight="1">
      <c r="C1087" s="245"/>
      <c r="D1087" s="26"/>
      <c r="E1087" s="26"/>
      <c r="F1087" s="26"/>
      <c r="G1087" s="26"/>
      <c r="H1087" s="5"/>
      <c r="T1087" s="115"/>
      <c r="U1087" s="115"/>
      <c r="V1087" s="115"/>
      <c r="W1087" s="115"/>
    </row>
    <row r="1088" spans="3:23" ht="14.25" customHeight="1">
      <c r="C1088" s="245"/>
      <c r="D1088" s="26"/>
      <c r="E1088" s="26"/>
      <c r="F1088" s="26"/>
      <c r="G1088" s="26"/>
      <c r="H1088" s="5"/>
      <c r="T1088" s="115"/>
      <c r="U1088" s="115"/>
      <c r="V1088" s="115"/>
      <c r="W1088" s="115"/>
    </row>
    <row r="1089" spans="1:46" ht="14.25" customHeight="1">
      <c r="C1089" s="245"/>
      <c r="D1089" s="26"/>
      <c r="E1089" s="26"/>
      <c r="F1089" s="26"/>
      <c r="G1089" s="26"/>
      <c r="H1089" s="5"/>
      <c r="T1089" s="115"/>
      <c r="U1089" s="115"/>
      <c r="V1089" s="115"/>
      <c r="W1089" s="115"/>
    </row>
    <row r="1090" spans="1:46" ht="14.25" customHeight="1">
      <c r="C1090" s="245"/>
      <c r="D1090" s="26"/>
      <c r="E1090" s="26"/>
      <c r="F1090" s="26"/>
      <c r="G1090" s="26"/>
      <c r="H1090" s="5"/>
      <c r="T1090" s="115"/>
      <c r="U1090" s="115"/>
      <c r="V1090" s="115"/>
      <c r="W1090" s="115"/>
    </row>
    <row r="1091" spans="1:46" ht="14.25" customHeight="1">
      <c r="C1091" s="245"/>
      <c r="D1091" s="26"/>
      <c r="E1091" s="26"/>
      <c r="F1091" s="26"/>
      <c r="G1091" s="26"/>
      <c r="H1091" s="5"/>
      <c r="T1091" s="115"/>
      <c r="U1091" s="115"/>
      <c r="V1091" s="115"/>
      <c r="W1091" s="115"/>
    </row>
    <row r="1092" spans="1:46" ht="14.25" customHeight="1">
      <c r="C1092" s="245"/>
      <c r="D1092" s="26"/>
      <c r="E1092" s="26"/>
      <c r="F1092" s="26"/>
      <c r="G1092" s="26"/>
      <c r="H1092" s="5"/>
      <c r="T1092" s="115"/>
      <c r="U1092" s="115"/>
      <c r="V1092" s="115"/>
      <c r="W1092" s="115"/>
    </row>
    <row r="1093" spans="1:46" ht="14.25" customHeight="1">
      <c r="C1093" s="245"/>
      <c r="D1093" s="26"/>
      <c r="E1093" s="26"/>
      <c r="F1093" s="26"/>
      <c r="G1093" s="26"/>
      <c r="H1093" s="5"/>
      <c r="T1093" s="115"/>
      <c r="U1093" s="115"/>
      <c r="V1093" s="115"/>
      <c r="W1093" s="115"/>
    </row>
    <row r="1094" spans="1:46" ht="14.25" customHeight="1">
      <c r="C1094" s="245"/>
      <c r="D1094" s="26"/>
      <c r="E1094" s="26"/>
      <c r="F1094" s="26"/>
      <c r="G1094" s="26"/>
      <c r="H1094" s="5"/>
      <c r="T1094" s="115"/>
      <c r="U1094" s="115"/>
      <c r="V1094" s="115"/>
      <c r="W1094" s="115"/>
    </row>
    <row r="1095" spans="1:46" ht="14.25" customHeight="1">
      <c r="C1095" s="245"/>
      <c r="D1095" s="26"/>
      <c r="E1095" s="26"/>
      <c r="F1095" s="26"/>
      <c r="G1095" s="26"/>
      <c r="H1095" s="5"/>
      <c r="T1095" s="115"/>
      <c r="U1095" s="115"/>
      <c r="V1095" s="115"/>
      <c r="W1095" s="115"/>
      <c r="AF1095" s="289">
        <f>AA1095/100*12+AA1095</f>
        <v>0</v>
      </c>
      <c r="AG1095" s="289" t="e">
        <f>AF1095/AA1095-1</f>
        <v>#DIV/0!</v>
      </c>
    </row>
    <row r="1096" spans="1:46" s="8" customFormat="1">
      <c r="B1096" s="494" t="str">
        <f>TITLE!C23</f>
        <v>Полотна збірні: МІРА</v>
      </c>
      <c r="C1096" s="494"/>
      <c r="D1096" s="118"/>
      <c r="E1096" s="118"/>
      <c r="F1096" s="118"/>
      <c r="G1096" s="118"/>
      <c r="H1096" s="496"/>
      <c r="I1096" s="496"/>
      <c r="J1096" s="121"/>
      <c r="K1096" s="121"/>
      <c r="L1096" s="121"/>
      <c r="M1096" s="121"/>
      <c r="N1096" s="121"/>
      <c r="O1096" s="121"/>
      <c r="P1096" s="121"/>
      <c r="Q1096" s="121"/>
      <c r="R1096" s="121"/>
      <c r="S1096" s="121"/>
      <c r="T1096" s="517" t="str">
        <f>IF($C$1="ENG",CONCATENATE("up to: ",B1018),CONCATENATE("вгору до: ",B1018))</f>
        <v>вгору до: Полотна збірні: ЛАДА-НОВА</v>
      </c>
      <c r="U1096" s="517"/>
      <c r="V1096" s="517"/>
      <c r="W1096" s="517"/>
      <c r="AN1096" s="280"/>
      <c r="AO1096" s="280"/>
      <c r="AP1096" s="280"/>
      <c r="AQ1096" s="280"/>
      <c r="AR1096" s="280"/>
      <c r="AS1096" s="280"/>
      <c r="AT1096" s="280"/>
    </row>
    <row r="1097" spans="1:46" s="8" customFormat="1" ht="5.0999999999999996" customHeight="1">
      <c r="B1097" s="117"/>
      <c r="C1097" s="420"/>
      <c r="D1097" s="9"/>
      <c r="E1097" s="9"/>
      <c r="F1097" s="9"/>
      <c r="G1097" s="9"/>
      <c r="H1097" s="120"/>
      <c r="I1097" s="120"/>
      <c r="T1097" s="115"/>
      <c r="U1097" s="115"/>
      <c r="V1097" s="115"/>
      <c r="W1097" s="115"/>
      <c r="AN1097" s="280"/>
      <c r="AO1097" s="280"/>
      <c r="AP1097" s="280"/>
      <c r="AQ1097" s="280"/>
      <c r="AR1097" s="280"/>
      <c r="AS1097" s="280"/>
      <c r="AT1097" s="280"/>
    </row>
    <row r="1098" spans="1:46" s="8" customFormat="1" ht="12.75" customHeight="1">
      <c r="B1098" s="509" t="str">
        <f>IF($C$1="ENG","model","модель")</f>
        <v>модель</v>
      </c>
      <c r="C1098" s="122" t="str">
        <f>IF($C$1="ENG","cover:","покриття:")</f>
        <v>покриття:</v>
      </c>
      <c r="D1098" s="498" t="str">
        <f>IF($C$1="ENG","Verto-CELL","Verto-CELL")</f>
        <v>Verto-CELL</v>
      </c>
      <c r="E1098" s="500"/>
      <c r="F1098" s="498" t="str">
        <f>IF($C$1="ENG","UNI-MAT","UNI-MAT")</f>
        <v>UNI-MAT</v>
      </c>
      <c r="G1098" s="500"/>
      <c r="H1098" s="498" t="str">
        <f>IF($C$1="ENG","RESIST","RESIST")</f>
        <v>RESIST</v>
      </c>
      <c r="I1098" s="500"/>
      <c r="J1098" s="498" t="str">
        <f>IF($C$1="ENG","Verto LINE-3D","Verto LINE-3D")</f>
        <v>Verto LINE-3D</v>
      </c>
      <c r="K1098" s="500"/>
      <c r="L1098" s="498" t="str">
        <f>IF($C$1="ENG","ECO Shpon","ЕКО Шпон")</f>
        <v>ЕКО Шпон</v>
      </c>
      <c r="M1098" s="500"/>
      <c r="P1098" s="1"/>
      <c r="Q1098" s="1"/>
      <c r="T1098" s="115"/>
      <c r="U1098" s="115"/>
      <c r="V1098" s="115"/>
      <c r="W1098" s="115"/>
      <c r="AN1098" s="280"/>
      <c r="AO1098" s="280"/>
      <c r="AP1098" s="280"/>
      <c r="AQ1098" s="280"/>
      <c r="AR1098" s="280"/>
      <c r="AS1098" s="280"/>
      <c r="AT1098" s="280"/>
    </row>
    <row r="1099" spans="1:46" s="8" customFormat="1" ht="24" customHeight="1">
      <c r="B1099" s="510"/>
      <c r="C1099" s="123" t="str">
        <f>IF($C$1="ENG","filling:","заповнення:")</f>
        <v>заповнення:</v>
      </c>
      <c r="D1099" s="505" t="str">
        <f>IF($C$1="ENG","softwood","клеєний сосновий брус")</f>
        <v>клеєний сосновий брус</v>
      </c>
      <c r="E1099" s="506"/>
      <c r="F1099" s="505" t="str">
        <f>IF($C$1="ENG","softwood","клеєний сосновий брус")</f>
        <v>клеєний сосновий брус</v>
      </c>
      <c r="G1099" s="506"/>
      <c r="H1099" s="505" t="str">
        <f>IF($C$1="ENG","softwood","клеєний сосновий брус")</f>
        <v>клеєний сосновий брус</v>
      </c>
      <c r="I1099" s="506"/>
      <c r="J1099" s="505" t="str">
        <f>IF($C$1="ENG","softwood","клеєний сосновий брус")</f>
        <v>клеєний сосновий брус</v>
      </c>
      <c r="K1099" s="506"/>
      <c r="L1099" s="505" t="str">
        <f>IF($C$1="ENG","softwood","клеєний сосновий брус")</f>
        <v>клеєний сосновий брус</v>
      </c>
      <c r="M1099" s="506"/>
      <c r="P1099" s="1"/>
      <c r="Q1099" s="1"/>
      <c r="T1099" s="115"/>
      <c r="U1099" s="115"/>
      <c r="V1099" s="115"/>
      <c r="W1099" s="115"/>
      <c r="AD1099" s="383">
        <f>AD1101/AC1101-1</f>
        <v>0.13956834532374107</v>
      </c>
      <c r="AE1099" s="383">
        <f>AE1101/AD1101-1</f>
        <v>4.4191919191919116E-2</v>
      </c>
      <c r="AF1099" s="383">
        <f>AF1101/AE1101-1</f>
        <v>7.3760580411124543E-2</v>
      </c>
      <c r="AG1099" s="383">
        <f>AG1101/AF1101-1</f>
        <v>4.8423423423423317E-2</v>
      </c>
      <c r="AH1099" s="8">
        <v>6200</v>
      </c>
      <c r="AI1099" s="8">
        <v>7380</v>
      </c>
      <c r="AJ1099" s="8">
        <v>7930</v>
      </c>
      <c r="AK1099" s="8">
        <v>8310</v>
      </c>
      <c r="AN1099" s="280"/>
      <c r="AO1099" s="280"/>
      <c r="AP1099" s="280"/>
      <c r="AQ1099" s="280"/>
      <c r="AR1099" s="280"/>
      <c r="AS1099" s="280"/>
      <c r="AT1099" s="280"/>
    </row>
    <row r="1100" spans="1:46" ht="12.75" customHeight="1">
      <c r="A1100" s="8"/>
      <c r="B1100" s="511"/>
      <c r="C1100" s="124" t="str">
        <f>IF($C$1="ENG","glazing:","скління:")</f>
        <v>скління:</v>
      </c>
      <c r="D1100" s="489" t="str">
        <f>IF($C$1="ENG","Satin","Сатин")</f>
        <v>Сатин</v>
      </c>
      <c r="E1100" s="492"/>
      <c r="F1100" s="489" t="str">
        <f>IF($C$1="ENG","Satin","Сатин")</f>
        <v>Сатин</v>
      </c>
      <c r="G1100" s="492"/>
      <c r="H1100" s="489" t="str">
        <f>IF($C$1="ENG","Satin","Сатин")</f>
        <v>Сатин</v>
      </c>
      <c r="I1100" s="492"/>
      <c r="J1100" s="489" t="str">
        <f>IF($C$1="ENG","Satin","Сатин")</f>
        <v>Сатин</v>
      </c>
      <c r="K1100" s="492"/>
      <c r="L1100" s="489" t="str">
        <f>IF($C$1="ENG","Satin","Сатин")</f>
        <v>Сатин</v>
      </c>
      <c r="M1100" s="492"/>
    </row>
    <row r="1101" spans="1:46" ht="35.1" customHeight="1">
      <c r="A1101" s="8"/>
      <c r="B1101" s="16" t="s">
        <v>48</v>
      </c>
      <c r="C1101" s="17"/>
      <c r="D1101" s="18">
        <f>IF(AC1101="","",(1-$W$2)*(AC1101/1.2))</f>
        <v>5791.666666666667</v>
      </c>
      <c r="E1101" s="66">
        <f>IF($W$5=0.2,D1101*1.2,D1101)/$W$4</f>
        <v>6950</v>
      </c>
      <c r="F1101" s="18">
        <f>IF(AD1101="","",(1-$W$2)*(AD1101/1.2))</f>
        <v>6600</v>
      </c>
      <c r="G1101" s="66">
        <f>IF($W$5=0.2,F1101*1.2,F1101)/$W$4</f>
        <v>7920</v>
      </c>
      <c r="H1101" s="18">
        <f>IF(AE1101="","",(1-$W$2)*(AE1101/1.2))</f>
        <v>6891.666666666667</v>
      </c>
      <c r="I1101" s="66">
        <f>IF($W$5=0.2,H1101*1.2,H1101)/$W$4</f>
        <v>8270</v>
      </c>
      <c r="J1101" s="18">
        <f>IF(AF1101="","",(1-$W$2)*(AF1101/1.2))</f>
        <v>7400</v>
      </c>
      <c r="K1101" s="66">
        <f>IF($W$5=0.2,J1101*1.2,J1101)/$W$4</f>
        <v>8880</v>
      </c>
      <c r="L1101" s="18">
        <f>IF(AG1101="","",(1-$W$2)*(AG1101/1.2))</f>
        <v>7758.3333333333339</v>
      </c>
      <c r="M1101" s="66">
        <f>IF($W$5=0.2,L1101*1.2,L1101)/$W$4</f>
        <v>9310</v>
      </c>
      <c r="N1101" s="104"/>
      <c r="R1101" s="104"/>
      <c r="T1101" s="104"/>
      <c r="U1101" s="20"/>
      <c r="V1101" s="104"/>
      <c r="W1101" s="20"/>
      <c r="X1101" s="104"/>
      <c r="Y1101" s="104"/>
      <c r="Z1101" s="104"/>
      <c r="AA1101" s="104"/>
      <c r="AB1101" s="104"/>
      <c r="AC1101" s="332">
        <v>6950</v>
      </c>
      <c r="AD1101" s="391">
        <v>7920</v>
      </c>
      <c r="AE1101" s="332">
        <v>8270</v>
      </c>
      <c r="AF1101" s="332">
        <v>8880</v>
      </c>
      <c r="AG1101" s="332">
        <v>9310</v>
      </c>
      <c r="AH1101" s="289">
        <v>6950</v>
      </c>
      <c r="AI1101" s="289">
        <f>AH1101/AC1101-1</f>
        <v>0</v>
      </c>
      <c r="AJ1101" s="289">
        <v>7920</v>
      </c>
      <c r="AK1101" s="289">
        <f>AJ1101/AD1101-1</f>
        <v>0</v>
      </c>
      <c r="AL1101" s="289">
        <v>8270</v>
      </c>
      <c r="AM1101" s="289">
        <f>AL1101/AE1101-1</f>
        <v>0</v>
      </c>
      <c r="AN1101" s="289">
        <v>8880</v>
      </c>
      <c r="AO1101" s="289">
        <f>AN1101/AF1101-1</f>
        <v>0</v>
      </c>
      <c r="AP1101" s="289">
        <v>9310</v>
      </c>
      <c r="AQ1101" s="289">
        <f>AP1101/AG1101-1</f>
        <v>0</v>
      </c>
    </row>
    <row r="1102" spans="1:46" ht="35.1" customHeight="1">
      <c r="A1102" s="8"/>
      <c r="B1102" s="23" t="s">
        <v>49</v>
      </c>
      <c r="C1102" s="24"/>
      <c r="D1102" s="25">
        <f>IF(AC1102="","",(1-$W$2)*(AC1102/1.2))</f>
        <v>5791.666666666667</v>
      </c>
      <c r="E1102" s="69">
        <f>IF($W$5=0.2,D1102*1.2,D1102)/$W$4</f>
        <v>6950</v>
      </c>
      <c r="F1102" s="25">
        <f>IF(AD1102="","",(1-$W$2)*(AD1102/1.2))</f>
        <v>6600</v>
      </c>
      <c r="G1102" s="69">
        <f>IF($W$5=0.2,F1102*1.2,F1102)/$W$4</f>
        <v>7920</v>
      </c>
      <c r="H1102" s="25">
        <f>IF(AE1102="","",(1-$W$2)*(AE1102/1.2))</f>
        <v>6891.666666666667</v>
      </c>
      <c r="I1102" s="69">
        <f>IF($W$5=0.2,H1102*1.2,H1102)/$W$4</f>
        <v>8270</v>
      </c>
      <c r="J1102" s="25">
        <f>IF(AF1102="","",(1-$W$2)*(AF1102/1.2))</f>
        <v>7400</v>
      </c>
      <c r="K1102" s="69">
        <f>IF($W$5=0.2,J1102*1.2,J1102)/$W$4</f>
        <v>8880</v>
      </c>
      <c r="L1102" s="25">
        <f>IF(AG1102="","",(1-$W$2)*(AG1102/1.2))</f>
        <v>7758.3333333333339</v>
      </c>
      <c r="M1102" s="69">
        <f>IF($W$5=0.2,L1102*1.2,L1102)/$W$4</f>
        <v>9310</v>
      </c>
      <c r="N1102" s="104"/>
      <c r="R1102" s="104"/>
      <c r="T1102" s="104"/>
      <c r="U1102" s="20"/>
      <c r="V1102" s="104"/>
      <c r="W1102" s="20"/>
      <c r="X1102" s="104"/>
      <c r="Y1102" s="104"/>
      <c r="Z1102" s="104"/>
      <c r="AA1102" s="104"/>
      <c r="AB1102" s="104"/>
      <c r="AC1102" s="332">
        <v>6950</v>
      </c>
      <c r="AD1102" s="391">
        <v>7920</v>
      </c>
      <c r="AE1102" s="332">
        <v>8270</v>
      </c>
      <c r="AF1102" s="332">
        <v>8880</v>
      </c>
      <c r="AG1102" s="332">
        <v>9310</v>
      </c>
      <c r="AH1102" s="289">
        <v>6950</v>
      </c>
      <c r="AI1102" s="289">
        <f>AH1102/AC1102-1</f>
        <v>0</v>
      </c>
      <c r="AJ1102" s="289">
        <v>7920</v>
      </c>
      <c r="AK1102" s="289">
        <f>AJ1102/AD1102-1</f>
        <v>0</v>
      </c>
      <c r="AL1102" s="289">
        <v>8270</v>
      </c>
      <c r="AM1102" s="289">
        <f>AL1102/AE1102-1</f>
        <v>0</v>
      </c>
      <c r="AN1102" s="289">
        <v>8880</v>
      </c>
      <c r="AO1102" s="289">
        <f>AN1102/AF1102-1</f>
        <v>0</v>
      </c>
      <c r="AP1102" s="289">
        <v>9310</v>
      </c>
      <c r="AQ1102" s="289">
        <f>AP1102/AG1102-1</f>
        <v>0</v>
      </c>
    </row>
    <row r="1103" spans="1:46">
      <c r="C1103" s="245"/>
      <c r="D1103" s="26"/>
      <c r="E1103" s="57"/>
      <c r="F1103" s="26"/>
      <c r="G1103" s="57"/>
      <c r="H1103" s="10"/>
      <c r="I1103" s="8"/>
      <c r="J1103" s="8"/>
      <c r="K1103" s="8"/>
    </row>
    <row r="1104" spans="1:46">
      <c r="B1104" s="212" t="str">
        <f>IF($C$1="ENG","For additonal charge:","Послуги за додаткову плату:")</f>
        <v>Послуги за додаткову плату:</v>
      </c>
      <c r="C1104" s="421"/>
      <c r="D1104" s="213"/>
      <c r="E1104" s="214"/>
      <c r="F1104" s="26"/>
      <c r="G1104" s="57"/>
      <c r="H1104" s="10"/>
      <c r="I1104" s="8"/>
      <c r="J1104" s="8"/>
      <c r="K1104" s="8"/>
    </row>
    <row r="1105" spans="2:38" ht="5.0999999999999996" customHeight="1">
      <c r="B1105" s="27"/>
      <c r="C1105" s="245"/>
      <c r="D1105" s="26"/>
      <c r="E1105" s="57"/>
      <c r="F1105" s="26"/>
      <c r="G1105" s="57"/>
      <c r="H1105" s="10"/>
      <c r="I1105" s="8"/>
      <c r="J1105" s="8"/>
      <c r="K1105" s="8"/>
    </row>
    <row r="1106" spans="2:38">
      <c r="B1106" s="514" t="str">
        <f>IF($C$1="ENG","door leaf with width 100","полотно розміром 100")</f>
        <v>полотно розміром 100</v>
      </c>
      <c r="C1106" s="515"/>
      <c r="D1106" s="410">
        <f t="shared" ref="D1106:D1118" si="166">IF(AC1106="","",(1-$W$2)*(AC1106/1.2))</f>
        <v>600</v>
      </c>
      <c r="E1106" s="92">
        <f t="shared" ref="E1106:E1117" si="167">IF($W$5=0.2,D1106*1.2,D1106)/$W$4</f>
        <v>720</v>
      </c>
      <c r="F1106" s="26"/>
      <c r="G1106" s="26"/>
      <c r="H1106" s="10"/>
      <c r="I1106" s="8"/>
      <c r="J1106" s="8"/>
      <c r="K1106" s="8"/>
      <c r="AC1106" s="298">
        <v>720</v>
      </c>
      <c r="AD1106" s="289">
        <v>720</v>
      </c>
      <c r="AE1106" s="289">
        <f>AD1106/AC1106-1</f>
        <v>0</v>
      </c>
      <c r="AF1106" s="289"/>
      <c r="AG1106" s="289"/>
      <c r="AH1106" s="289"/>
      <c r="AI1106" s="289"/>
      <c r="AJ1106" s="289"/>
      <c r="AK1106" s="289"/>
      <c r="AL1106" s="289"/>
    </row>
    <row r="1107" spans="2:38">
      <c r="B1107" s="514" t="str">
        <f>IF($C$1="ENG","Ventilation cut","вентиляційний підріз")</f>
        <v>вентиляційний підріз</v>
      </c>
      <c r="C1107" s="515"/>
      <c r="D1107" s="405">
        <f t="shared" si="166"/>
        <v>141.66666666666669</v>
      </c>
      <c r="E1107" s="66">
        <f t="shared" si="167"/>
        <v>170.00000000000003</v>
      </c>
      <c r="F1107" s="26"/>
      <c r="G1107" s="26"/>
      <c r="I1107" s="59"/>
      <c r="J1107" s="28"/>
      <c r="AC1107" s="298">
        <v>170</v>
      </c>
      <c r="AD1107" s="289">
        <v>170</v>
      </c>
      <c r="AE1107" s="289">
        <f t="shared" ref="AE1107:AE1117" si="168">AD1107/AC1107-1</f>
        <v>0</v>
      </c>
      <c r="AF1107" s="289"/>
      <c r="AG1107" s="289"/>
      <c r="AH1107" s="289"/>
      <c r="AI1107" s="289"/>
      <c r="AJ1107" s="289"/>
      <c r="AK1107" s="289"/>
      <c r="AL1107" s="289"/>
    </row>
    <row r="1108" spans="2:38">
      <c r="B1108" s="501" t="str">
        <f>IF($C$1="ENG","glazing Graphite / Bronze","скло Графіт / Бронза")</f>
        <v>скло Графіт / Бронза</v>
      </c>
      <c r="C1108" s="502"/>
      <c r="D1108" s="407">
        <f t="shared" si="166"/>
        <v>458.33333333333337</v>
      </c>
      <c r="E1108" s="93">
        <f t="shared" si="167"/>
        <v>550</v>
      </c>
      <c r="F1108" s="26"/>
      <c r="G1108" s="26"/>
      <c r="H1108" s="5"/>
      <c r="AC1108" s="298">
        <v>550</v>
      </c>
      <c r="AD1108" s="289">
        <v>550</v>
      </c>
      <c r="AE1108" s="289">
        <f t="shared" si="168"/>
        <v>0</v>
      </c>
      <c r="AF1108" s="289"/>
      <c r="AG1108" s="289"/>
      <c r="AH1108" s="289"/>
      <c r="AI1108" s="289"/>
      <c r="AJ1108" s="289"/>
      <c r="AK1108" s="289"/>
      <c r="AL1108" s="289"/>
    </row>
    <row r="1109" spans="2:38">
      <c r="B1109" s="501" t="str">
        <f>IF($C$1="ENG","glazing Lacobel black ","скло Lacobel чорне")</f>
        <v>скло Lacobel чорне</v>
      </c>
      <c r="C1109" s="502"/>
      <c r="D1109" s="407">
        <f t="shared" si="166"/>
        <v>458.33333333333337</v>
      </c>
      <c r="E1109" s="93">
        <f>IF($W$5=0.2,D1109*1.2,D1109)/$W$4</f>
        <v>550</v>
      </c>
      <c r="F1109" s="26"/>
      <c r="G1109" s="26"/>
      <c r="H1109" s="5"/>
      <c r="AC1109" s="298">
        <v>550</v>
      </c>
      <c r="AD1109" s="298">
        <v>550</v>
      </c>
      <c r="AE1109" s="289"/>
      <c r="AF1109" s="289"/>
      <c r="AG1109" s="289"/>
      <c r="AH1109" s="289"/>
      <c r="AI1109" s="289"/>
      <c r="AJ1109" s="289"/>
      <c r="AK1109" s="289"/>
      <c r="AL1109" s="289"/>
    </row>
    <row r="1110" spans="2:38">
      <c r="B1110" s="501" t="str">
        <f>IF($C$1="ENG","door lock Soft","замок Soft")</f>
        <v>замок Soft</v>
      </c>
      <c r="C1110" s="502"/>
      <c r="D1110" s="407">
        <f t="shared" si="166"/>
        <v>458.33333333333337</v>
      </c>
      <c r="E1110" s="93">
        <f t="shared" si="167"/>
        <v>550</v>
      </c>
      <c r="F1110" s="26"/>
      <c r="G1110" s="26"/>
      <c r="H1110" s="5"/>
      <c r="AC1110" s="298">
        <v>550</v>
      </c>
      <c r="AD1110" s="289">
        <v>550</v>
      </c>
      <c r="AE1110" s="289">
        <f t="shared" si="168"/>
        <v>0</v>
      </c>
      <c r="AF1110" s="289"/>
      <c r="AG1110" s="289"/>
      <c r="AH1110" s="289"/>
      <c r="AI1110" s="289"/>
      <c r="AJ1110" s="289"/>
      <c r="AK1110" s="289"/>
      <c r="AL1110" s="289"/>
    </row>
    <row r="1111" spans="2:38">
      <c r="B1111" s="501" t="str">
        <f>IF($C$1="ENG","door lock Soft black","замок Soft чорн.")</f>
        <v>замок Soft чорн.</v>
      </c>
      <c r="C1111" s="502"/>
      <c r="D1111" s="407">
        <f t="shared" ref="D1111" si="169">IF(AC1111="","",(1-$W$2)*(AC1111/1.2))</f>
        <v>566.66666666666674</v>
      </c>
      <c r="E1111" s="93">
        <f t="shared" ref="E1111" si="170">IF($W$5=0.2,D1111*1.2,D1111)/$W$4</f>
        <v>680.00000000000011</v>
      </c>
      <c r="F1111" s="26"/>
      <c r="G1111" s="26"/>
      <c r="H1111" s="5"/>
      <c r="AC1111" s="298">
        <v>680</v>
      </c>
      <c r="AD1111" s="289"/>
      <c r="AE1111" s="289"/>
      <c r="AF1111" s="289"/>
      <c r="AG1111" s="289"/>
      <c r="AH1111" s="289"/>
      <c r="AI1111" s="289"/>
      <c r="AJ1111" s="289"/>
      <c r="AK1111" s="289"/>
      <c r="AL1111" s="289"/>
    </row>
    <row r="1112" spans="2:38">
      <c r="B1112" s="501" t="str">
        <f>IF($C$1="ENG","door lock Magnet","замок Magnet")</f>
        <v>замок Magnet</v>
      </c>
      <c r="C1112" s="502"/>
      <c r="D1112" s="407">
        <f t="shared" si="166"/>
        <v>666.66666666666674</v>
      </c>
      <c r="E1112" s="93">
        <f t="shared" si="167"/>
        <v>800.00000000000011</v>
      </c>
      <c r="F1112" s="26"/>
      <c r="G1112" s="26"/>
      <c r="H1112" s="5"/>
      <c r="AC1112" s="298">
        <v>800</v>
      </c>
      <c r="AD1112" s="289">
        <v>800</v>
      </c>
      <c r="AE1112" s="289">
        <f t="shared" si="168"/>
        <v>0</v>
      </c>
      <c r="AF1112" s="289"/>
      <c r="AG1112" s="289"/>
      <c r="AH1112" s="289"/>
      <c r="AI1112" s="289"/>
      <c r="AJ1112" s="289"/>
      <c r="AK1112" s="289"/>
      <c r="AL1112" s="289"/>
    </row>
    <row r="1113" spans="2:38">
      <c r="B1113" s="501" t="s">
        <v>76</v>
      </c>
      <c r="C1113" s="501"/>
      <c r="D1113" s="407">
        <f t="shared" ref="D1113" si="171">IF(AC1113="","",(1-$W$2)*(AC1113/1.2))</f>
        <v>833.33333333333337</v>
      </c>
      <c r="E1113" s="93">
        <f t="shared" ref="E1113" si="172">IF($W$5=0.2,D1113*1.2,D1113)/$W$4</f>
        <v>1000</v>
      </c>
      <c r="F1113" s="26"/>
      <c r="G1113" s="26"/>
      <c r="H1113" s="5"/>
      <c r="AC1113" s="298">
        <v>1000</v>
      </c>
      <c r="AD1113" s="289"/>
      <c r="AE1113" s="289"/>
      <c r="AF1113" s="289"/>
      <c r="AG1113" s="289"/>
      <c r="AH1113" s="289"/>
      <c r="AI1113" s="289"/>
      <c r="AJ1113" s="289"/>
      <c r="AK1113" s="289"/>
      <c r="AL1113" s="289"/>
    </row>
    <row r="1114" spans="2:38">
      <c r="B1114" s="501" t="str">
        <f>IF($C$1="ENG","door handle-lock (for sliding doors)","ручка-замок (для дверей купе)")</f>
        <v>ручка-замок (для дверей купе)</v>
      </c>
      <c r="C1114" s="502"/>
      <c r="D1114" s="405">
        <f t="shared" si="166"/>
        <v>466.66666666666669</v>
      </c>
      <c r="E1114" s="93">
        <f t="shared" si="167"/>
        <v>560</v>
      </c>
      <c r="F1114" s="26"/>
      <c r="G1114" s="26"/>
      <c r="I1114" s="11"/>
      <c r="J1114" s="11"/>
      <c r="K1114" s="19"/>
      <c r="AC1114" s="298">
        <v>560</v>
      </c>
      <c r="AD1114" s="289">
        <v>560</v>
      </c>
      <c r="AE1114" s="289">
        <f t="shared" si="168"/>
        <v>0</v>
      </c>
      <c r="AF1114" s="289"/>
      <c r="AG1114" s="289"/>
      <c r="AH1114" s="289"/>
      <c r="AI1114" s="289"/>
      <c r="AJ1114" s="289"/>
      <c r="AK1114" s="289"/>
      <c r="AL1114" s="289"/>
    </row>
    <row r="1115" spans="2:38">
      <c r="B1115" s="501" t="str">
        <f>IF($C$1="ENG","cylinder incert","циліндр несиметричний")</f>
        <v>циліндр несиметричний</v>
      </c>
      <c r="C1115" s="502"/>
      <c r="D1115" s="405">
        <f t="shared" si="166"/>
        <v>316.66666666666669</v>
      </c>
      <c r="E1115" s="93">
        <f t="shared" si="167"/>
        <v>380</v>
      </c>
      <c r="F1115" s="26"/>
      <c r="G1115" s="26"/>
      <c r="AC1115" s="298">
        <v>380</v>
      </c>
      <c r="AD1115" s="289">
        <v>380</v>
      </c>
      <c r="AE1115" s="289">
        <f t="shared" si="168"/>
        <v>0</v>
      </c>
      <c r="AF1115" s="289"/>
      <c r="AG1115" s="289"/>
      <c r="AH1115" s="289"/>
      <c r="AI1115" s="289"/>
      <c r="AJ1115" s="289"/>
      <c r="AK1115" s="289"/>
      <c r="AL1115" s="289"/>
    </row>
    <row r="1116" spans="2:38">
      <c r="B1116" s="501" t="str">
        <f>IF($C$1="ENG","door hindge Prestige (1 unit)","завіса Prestige (1 шт)")</f>
        <v>завіса Prestige (1 шт)</v>
      </c>
      <c r="C1116" s="502"/>
      <c r="D1116" s="408">
        <f t="shared" si="166"/>
        <v>216.66666666666669</v>
      </c>
      <c r="E1116" s="93">
        <f t="shared" si="167"/>
        <v>260</v>
      </c>
      <c r="F1116" s="26"/>
      <c r="G1116" s="26"/>
      <c r="AC1116" s="298">
        <v>260</v>
      </c>
      <c r="AD1116" s="289">
        <v>260</v>
      </c>
      <c r="AE1116" s="289">
        <f t="shared" si="168"/>
        <v>0</v>
      </c>
      <c r="AF1116" s="289"/>
      <c r="AG1116" s="289"/>
      <c r="AH1116" s="289"/>
      <c r="AI1116" s="289"/>
      <c r="AJ1116" s="289"/>
      <c r="AK1116" s="289"/>
      <c r="AL1116" s="289"/>
    </row>
    <row r="1117" spans="2:38">
      <c r="B1117" s="501" t="str">
        <f>IF($C$1="ENG","door hinge caps (1 set)","накладка на завіси (1 к-т)")</f>
        <v>накладка на завіси (1 к-т)</v>
      </c>
      <c r="C1117" s="502"/>
      <c r="D1117" s="408">
        <f t="shared" si="166"/>
        <v>66.666666666666671</v>
      </c>
      <c r="E1117" s="93">
        <f t="shared" si="167"/>
        <v>80</v>
      </c>
      <c r="F1117" s="26"/>
      <c r="G1117" s="26"/>
      <c r="AC1117" s="298">
        <v>80</v>
      </c>
      <c r="AD1117" s="289">
        <v>80</v>
      </c>
      <c r="AE1117" s="289">
        <f t="shared" si="168"/>
        <v>0</v>
      </c>
      <c r="AF1117" s="289"/>
      <c r="AG1117" s="289"/>
      <c r="AH1117" s="289"/>
      <c r="AI1117" s="289"/>
      <c r="AJ1117" s="289"/>
      <c r="AK1117" s="289"/>
      <c r="AL1117" s="289"/>
    </row>
    <row r="1118" spans="2:38">
      <c r="B1118" s="501" t="str">
        <f>IF($C$1="ENG","door handle","дверна ручка")</f>
        <v>дверна ручка</v>
      </c>
      <c r="C1118" s="502"/>
      <c r="D1118" s="409" t="str">
        <f t="shared" si="166"/>
        <v/>
      </c>
      <c r="E1118" s="247" t="str">
        <f>IF($C$1="ENG","see Handles Price","див. Таблицю Ручки")</f>
        <v>див. Таблицю Ручки</v>
      </c>
      <c r="F1118" s="26"/>
      <c r="G1118" s="26"/>
      <c r="AC1118" s="289"/>
      <c r="AD1118" s="289"/>
      <c r="AE1118" s="289"/>
      <c r="AF1118" s="289"/>
      <c r="AG1118" s="289"/>
      <c r="AH1118" s="289"/>
      <c r="AI1118" s="289"/>
      <c r="AJ1118" s="289"/>
      <c r="AK1118" s="289"/>
      <c r="AL1118" s="289"/>
    </row>
    <row r="1119" spans="2:38" ht="14.25" customHeight="1">
      <c r="C1119" s="245"/>
      <c r="D1119" s="26"/>
      <c r="E1119" s="26"/>
      <c r="F1119" s="26"/>
      <c r="G1119" s="26"/>
      <c r="H1119" s="5"/>
      <c r="T1119" s="503" t="str">
        <f>IF($C$1="ENG",CONCATENATE("down to: ",B1169),CONCATENATE("вниз до: ",B1169))</f>
        <v>вниз до: Полотна збірні: ЛАДА-ЛОФТ</v>
      </c>
      <c r="U1119" s="503"/>
      <c r="V1119" s="503"/>
      <c r="W1119" s="503"/>
    </row>
    <row r="1120" spans="2:38" ht="14.25" customHeight="1">
      <c r="C1120" s="245"/>
      <c r="D1120" s="26"/>
      <c r="E1120" s="26"/>
      <c r="F1120" s="26"/>
      <c r="G1120" s="26"/>
      <c r="H1120" s="5"/>
    </row>
    <row r="1121" spans="3:8" ht="14.25" customHeight="1">
      <c r="C1121" s="245"/>
      <c r="D1121" s="26"/>
      <c r="E1121" s="26"/>
      <c r="F1121" s="26"/>
      <c r="G1121" s="26"/>
      <c r="H1121" s="5"/>
    </row>
    <row r="1122" spans="3:8" ht="14.25" customHeight="1">
      <c r="C1122" s="245"/>
      <c r="D1122" s="26"/>
      <c r="E1122" s="26"/>
      <c r="F1122" s="26"/>
      <c r="G1122" s="26"/>
      <c r="H1122" s="5"/>
    </row>
    <row r="1123" spans="3:8" ht="14.25" customHeight="1">
      <c r="C1123" s="245"/>
      <c r="D1123" s="26"/>
      <c r="E1123" s="26"/>
      <c r="F1123" s="26"/>
      <c r="G1123" s="26"/>
      <c r="H1123" s="5"/>
    </row>
    <row r="1124" spans="3:8" ht="14.25" customHeight="1">
      <c r="C1124" s="245"/>
      <c r="D1124" s="26"/>
      <c r="E1124" s="26"/>
      <c r="F1124" s="26"/>
      <c r="G1124" s="26"/>
      <c r="H1124" s="5"/>
    </row>
    <row r="1125" spans="3:8" ht="14.25" customHeight="1">
      <c r="C1125" s="245"/>
      <c r="D1125" s="26"/>
      <c r="E1125" s="26"/>
      <c r="F1125" s="26"/>
      <c r="G1125" s="26"/>
      <c r="H1125" s="5"/>
    </row>
    <row r="1126" spans="3:8" ht="14.25" customHeight="1">
      <c r="C1126" s="245"/>
      <c r="D1126" s="26"/>
      <c r="E1126" s="26"/>
      <c r="F1126" s="26"/>
      <c r="G1126" s="26"/>
      <c r="H1126" s="5"/>
    </row>
    <row r="1127" spans="3:8" ht="14.25" customHeight="1">
      <c r="C1127" s="245"/>
      <c r="D1127" s="26"/>
      <c r="E1127" s="26"/>
      <c r="F1127" s="26"/>
      <c r="G1127" s="26"/>
      <c r="H1127" s="5"/>
    </row>
    <row r="1128" spans="3:8" ht="14.25" customHeight="1">
      <c r="C1128" s="245"/>
      <c r="D1128" s="26"/>
      <c r="E1128" s="26"/>
      <c r="F1128" s="26"/>
      <c r="G1128" s="26"/>
      <c r="H1128" s="5"/>
    </row>
    <row r="1129" spans="3:8" ht="14.25" customHeight="1">
      <c r="C1129" s="245"/>
      <c r="D1129" s="26"/>
      <c r="E1129" s="26"/>
      <c r="F1129" s="26"/>
      <c r="G1129" s="26"/>
      <c r="H1129" s="5"/>
    </row>
    <row r="1130" spans="3:8" ht="14.25" customHeight="1">
      <c r="C1130" s="245"/>
      <c r="D1130" s="26"/>
      <c r="E1130" s="26"/>
      <c r="F1130" s="26"/>
      <c r="G1130" s="26"/>
      <c r="H1130" s="5"/>
    </row>
    <row r="1131" spans="3:8" ht="14.25" customHeight="1">
      <c r="C1131" s="245"/>
      <c r="D1131" s="26"/>
      <c r="E1131" s="26"/>
      <c r="F1131" s="26"/>
      <c r="G1131" s="26"/>
      <c r="H1131" s="5"/>
    </row>
    <row r="1132" spans="3:8" ht="14.25" customHeight="1">
      <c r="C1132" s="245"/>
      <c r="D1132" s="26"/>
      <c r="E1132" s="26"/>
      <c r="F1132" s="26"/>
      <c r="G1132" s="26"/>
      <c r="H1132" s="5"/>
    </row>
    <row r="1133" spans="3:8" ht="14.25" customHeight="1">
      <c r="C1133" s="245"/>
      <c r="D1133" s="26"/>
      <c r="E1133" s="26"/>
      <c r="F1133" s="26"/>
      <c r="G1133" s="26"/>
      <c r="H1133" s="5"/>
    </row>
    <row r="1134" spans="3:8" ht="14.25" customHeight="1">
      <c r="C1134" s="245"/>
      <c r="D1134" s="26"/>
      <c r="E1134" s="26"/>
      <c r="F1134" s="26"/>
      <c r="G1134" s="26"/>
      <c r="H1134" s="5"/>
    </row>
    <row r="1135" spans="3:8" ht="14.25" customHeight="1">
      <c r="C1135" s="245"/>
      <c r="D1135" s="26"/>
      <c r="E1135" s="26"/>
      <c r="F1135" s="26"/>
      <c r="G1135" s="26"/>
      <c r="H1135" s="5"/>
    </row>
    <row r="1136" spans="3:8" ht="14.25" customHeight="1">
      <c r="C1136" s="245"/>
      <c r="D1136" s="26"/>
      <c r="E1136" s="26"/>
      <c r="F1136" s="26"/>
      <c r="G1136" s="26"/>
      <c r="H1136" s="5"/>
    </row>
    <row r="1137" spans="3:8" ht="14.25" customHeight="1">
      <c r="C1137" s="245"/>
      <c r="D1137" s="26"/>
      <c r="E1137" s="26"/>
      <c r="F1137" s="26"/>
      <c r="G1137" s="26"/>
      <c r="H1137" s="5"/>
    </row>
    <row r="1138" spans="3:8" ht="14.25" customHeight="1">
      <c r="C1138" s="245"/>
      <c r="D1138" s="26"/>
      <c r="E1138" s="26"/>
      <c r="F1138" s="26"/>
      <c r="G1138" s="26"/>
      <c r="H1138" s="5"/>
    </row>
    <row r="1139" spans="3:8" ht="14.25" customHeight="1">
      <c r="C1139" s="245"/>
      <c r="D1139" s="26"/>
      <c r="E1139" s="26"/>
      <c r="F1139" s="26"/>
      <c r="G1139" s="26"/>
      <c r="H1139" s="5"/>
    </row>
    <row r="1140" spans="3:8" ht="14.25" customHeight="1">
      <c r="C1140" s="245"/>
      <c r="D1140" s="26"/>
      <c r="E1140" s="26"/>
      <c r="F1140" s="26"/>
      <c r="G1140" s="26"/>
      <c r="H1140" s="5"/>
    </row>
    <row r="1141" spans="3:8" ht="14.25" customHeight="1">
      <c r="C1141" s="245"/>
      <c r="D1141" s="26"/>
      <c r="E1141" s="26"/>
      <c r="F1141" s="26"/>
      <c r="G1141" s="26"/>
      <c r="H1141" s="5"/>
    </row>
    <row r="1142" spans="3:8" ht="14.25" customHeight="1">
      <c r="C1142" s="245"/>
      <c r="D1142" s="26"/>
      <c r="E1142" s="26"/>
      <c r="F1142" s="26"/>
      <c r="G1142" s="26"/>
      <c r="H1142" s="5"/>
    </row>
    <row r="1143" spans="3:8" ht="14.25" customHeight="1">
      <c r="C1143" s="245"/>
      <c r="D1143" s="26"/>
      <c r="E1143" s="26"/>
      <c r="F1143" s="26"/>
      <c r="G1143" s="26"/>
      <c r="H1143" s="5"/>
    </row>
    <row r="1144" spans="3:8" ht="14.25" customHeight="1">
      <c r="C1144" s="245"/>
      <c r="D1144" s="26"/>
      <c r="E1144" s="26"/>
      <c r="F1144" s="26"/>
      <c r="G1144" s="26"/>
      <c r="H1144" s="5"/>
    </row>
    <row r="1145" spans="3:8" ht="14.25" customHeight="1">
      <c r="C1145" s="245"/>
      <c r="D1145" s="26"/>
      <c r="E1145" s="26"/>
      <c r="F1145" s="26"/>
      <c r="G1145" s="26"/>
      <c r="H1145" s="5"/>
    </row>
    <row r="1146" spans="3:8" ht="14.25" customHeight="1">
      <c r="C1146" s="245"/>
      <c r="D1146" s="26"/>
      <c r="E1146" s="26"/>
      <c r="F1146" s="26"/>
      <c r="G1146" s="26"/>
      <c r="H1146" s="5"/>
    </row>
    <row r="1147" spans="3:8" ht="14.25" customHeight="1">
      <c r="C1147" s="245"/>
      <c r="D1147" s="26"/>
      <c r="E1147" s="26"/>
      <c r="F1147" s="26"/>
      <c r="G1147" s="26"/>
      <c r="H1147" s="5"/>
    </row>
    <row r="1148" spans="3:8" ht="14.25" customHeight="1">
      <c r="C1148" s="245"/>
      <c r="D1148" s="26"/>
      <c r="E1148" s="26"/>
      <c r="F1148" s="26"/>
      <c r="G1148" s="26"/>
      <c r="H1148" s="5"/>
    </row>
    <row r="1149" spans="3:8" ht="14.25" customHeight="1">
      <c r="C1149" s="245"/>
      <c r="D1149" s="26"/>
      <c r="E1149" s="26"/>
      <c r="F1149" s="26"/>
      <c r="G1149" s="26"/>
      <c r="H1149" s="5"/>
    </row>
    <row r="1150" spans="3:8" ht="14.25" customHeight="1">
      <c r="C1150" s="245"/>
      <c r="D1150" s="26"/>
      <c r="E1150" s="26"/>
      <c r="F1150" s="26"/>
      <c r="G1150" s="26"/>
      <c r="H1150" s="5"/>
    </row>
    <row r="1151" spans="3:8" ht="14.25" customHeight="1">
      <c r="C1151" s="245"/>
      <c r="D1151" s="26"/>
      <c r="E1151" s="26"/>
      <c r="F1151" s="26"/>
      <c r="G1151" s="26"/>
      <c r="H1151" s="5"/>
    </row>
    <row r="1152" spans="3:8" ht="14.25" customHeight="1">
      <c r="C1152" s="245"/>
      <c r="D1152" s="26"/>
      <c r="E1152" s="26"/>
      <c r="F1152" s="26"/>
      <c r="G1152" s="26"/>
      <c r="H1152" s="5"/>
    </row>
    <row r="1153" spans="3:8" ht="14.25" customHeight="1">
      <c r="C1153" s="245"/>
      <c r="D1153" s="26"/>
      <c r="E1153" s="26"/>
      <c r="F1153" s="26"/>
      <c r="G1153" s="26"/>
      <c r="H1153" s="5"/>
    </row>
    <row r="1154" spans="3:8" ht="14.25" customHeight="1">
      <c r="C1154" s="245"/>
      <c r="D1154" s="26"/>
      <c r="E1154" s="26"/>
      <c r="F1154" s="26"/>
      <c r="G1154" s="26"/>
      <c r="H1154" s="5"/>
    </row>
    <row r="1155" spans="3:8" ht="14.25" customHeight="1">
      <c r="C1155" s="245"/>
      <c r="D1155" s="26"/>
      <c r="E1155" s="26"/>
      <c r="F1155" s="26"/>
      <c r="G1155" s="26"/>
      <c r="H1155" s="5"/>
    </row>
    <row r="1156" spans="3:8" ht="14.25" customHeight="1">
      <c r="C1156" s="245"/>
      <c r="D1156" s="26"/>
      <c r="E1156" s="26"/>
      <c r="F1156" s="26"/>
      <c r="G1156" s="26"/>
      <c r="H1156" s="5"/>
    </row>
    <row r="1157" spans="3:8" ht="14.25" customHeight="1">
      <c r="C1157" s="245"/>
      <c r="D1157" s="26"/>
      <c r="E1157" s="26"/>
      <c r="F1157" s="26"/>
      <c r="G1157" s="26"/>
      <c r="H1157" s="5"/>
    </row>
    <row r="1158" spans="3:8" ht="14.25" customHeight="1">
      <c r="C1158" s="245"/>
      <c r="D1158" s="26"/>
      <c r="E1158" s="26"/>
      <c r="F1158" s="26"/>
      <c r="G1158" s="26"/>
      <c r="H1158" s="5"/>
    </row>
    <row r="1159" spans="3:8" ht="14.25" customHeight="1">
      <c r="C1159" s="245"/>
      <c r="D1159" s="26"/>
      <c r="E1159" s="26"/>
      <c r="F1159" s="26"/>
      <c r="G1159" s="26"/>
      <c r="H1159" s="5"/>
    </row>
    <row r="1160" spans="3:8" ht="14.25" customHeight="1">
      <c r="C1160" s="245"/>
      <c r="D1160" s="26"/>
      <c r="E1160" s="26"/>
      <c r="F1160" s="26"/>
      <c r="G1160" s="26"/>
      <c r="H1160" s="5"/>
    </row>
    <row r="1161" spans="3:8" ht="14.25" customHeight="1">
      <c r="C1161" s="245"/>
      <c r="D1161" s="26"/>
      <c r="E1161" s="26"/>
      <c r="F1161" s="26"/>
      <c r="G1161" s="26"/>
      <c r="H1161" s="5"/>
    </row>
    <row r="1162" spans="3:8" ht="14.25" customHeight="1">
      <c r="C1162" s="245"/>
      <c r="D1162" s="26"/>
      <c r="E1162" s="26"/>
      <c r="F1162" s="26"/>
      <c r="G1162" s="26"/>
      <c r="H1162" s="5"/>
    </row>
    <row r="1163" spans="3:8" ht="14.25" customHeight="1">
      <c r="C1163" s="245"/>
      <c r="D1163" s="26"/>
      <c r="E1163" s="26"/>
      <c r="F1163" s="26"/>
      <c r="G1163" s="26"/>
      <c r="H1163" s="5"/>
    </row>
    <row r="1164" spans="3:8" ht="14.25" customHeight="1">
      <c r="C1164" s="245"/>
      <c r="D1164" s="26"/>
      <c r="E1164" s="26"/>
      <c r="F1164" s="26"/>
      <c r="G1164" s="26"/>
      <c r="H1164" s="5"/>
    </row>
    <row r="1165" spans="3:8" ht="14.25" customHeight="1">
      <c r="C1165" s="245"/>
      <c r="D1165" s="26"/>
      <c r="E1165" s="26"/>
      <c r="F1165" s="26"/>
      <c r="G1165" s="26"/>
      <c r="H1165" s="5"/>
    </row>
    <row r="1166" spans="3:8" ht="14.25" customHeight="1">
      <c r="C1166" s="245"/>
      <c r="D1166" s="26"/>
      <c r="E1166" s="26"/>
      <c r="F1166" s="26"/>
      <c r="G1166" s="26"/>
      <c r="H1166" s="5"/>
    </row>
    <row r="1167" spans="3:8" ht="14.25" customHeight="1">
      <c r="C1167" s="245"/>
      <c r="D1167" s="26"/>
      <c r="E1167" s="26"/>
      <c r="F1167" s="26"/>
      <c r="G1167" s="26"/>
      <c r="H1167" s="5"/>
    </row>
    <row r="1168" spans="3:8" ht="14.25" customHeight="1">
      <c r="C1168" s="245"/>
      <c r="D1168" s="26"/>
      <c r="E1168" s="26"/>
      <c r="F1168" s="26"/>
      <c r="G1168" s="26"/>
      <c r="H1168" s="5"/>
    </row>
    <row r="1169" spans="2:43" ht="14.25" customHeight="1">
      <c r="B1169" s="494" t="str">
        <f>TITLE!$C$24</f>
        <v>Полотна збірні: ЛАДА-ЛОФТ</v>
      </c>
      <c r="C1169" s="494"/>
      <c r="D1169" s="118"/>
      <c r="E1169" s="118"/>
      <c r="F1169" s="118"/>
      <c r="G1169" s="118"/>
      <c r="H1169" s="496"/>
      <c r="I1169" s="496"/>
      <c r="J1169" s="121"/>
      <c r="K1169" s="121"/>
      <c r="L1169" s="121"/>
      <c r="M1169" s="121"/>
      <c r="N1169" s="121"/>
      <c r="O1169" s="121"/>
      <c r="P1169" s="121"/>
      <c r="Q1169" s="121"/>
      <c r="R1169" s="121"/>
      <c r="S1169" s="121"/>
      <c r="T1169" s="517" t="str">
        <f>IF($C$1="ENG",CONCATENATE("up to: ",B1096),CONCATENATE("вгору до: ",B1096))</f>
        <v>вгору до: Полотна збірні: МІРА</v>
      </c>
      <c r="U1169" s="517"/>
      <c r="V1169" s="517"/>
      <c r="W1169" s="517"/>
      <c r="X1169" s="8"/>
      <c r="Y1169" s="8"/>
      <c r="Z1169" s="8"/>
      <c r="AA1169" s="8"/>
      <c r="AB1169" s="8"/>
      <c r="AC1169" s="8"/>
      <c r="AD1169" s="8"/>
      <c r="AE1169" s="8"/>
      <c r="AF1169" s="8"/>
      <c r="AG1169" s="8"/>
      <c r="AH1169" s="8"/>
      <c r="AI1169" s="8"/>
      <c r="AJ1169" s="8"/>
      <c r="AK1169" s="8"/>
      <c r="AL1169" s="8"/>
    </row>
    <row r="1170" spans="2:43" ht="5.0999999999999996" customHeight="1">
      <c r="B1170" s="117"/>
      <c r="C1170" s="420"/>
      <c r="D1170" s="9"/>
      <c r="E1170" s="9"/>
      <c r="F1170" s="9"/>
      <c r="G1170" s="9"/>
      <c r="H1170" s="120"/>
      <c r="I1170" s="120"/>
      <c r="L1170" s="8"/>
      <c r="M1170" s="8"/>
      <c r="N1170" s="8"/>
      <c r="O1170" s="8"/>
      <c r="P1170" s="8"/>
      <c r="Q1170" s="8"/>
      <c r="R1170" s="8"/>
      <c r="S1170" s="8"/>
      <c r="T1170" s="115"/>
      <c r="U1170" s="115"/>
      <c r="V1170" s="115"/>
      <c r="W1170" s="115"/>
      <c r="X1170" s="8"/>
      <c r="Y1170" s="8"/>
      <c r="Z1170" s="8"/>
      <c r="AA1170" s="8"/>
      <c r="AB1170" s="8"/>
      <c r="AC1170" s="8"/>
      <c r="AD1170" s="8"/>
      <c r="AE1170" s="8"/>
      <c r="AF1170" s="8"/>
      <c r="AG1170" s="8"/>
      <c r="AH1170" s="8"/>
      <c r="AI1170" s="8"/>
      <c r="AJ1170" s="8"/>
      <c r="AK1170" s="8"/>
      <c r="AL1170" s="8"/>
    </row>
    <row r="1171" spans="2:43" ht="12.75" customHeight="1">
      <c r="B1171" s="509" t="str">
        <f>IF($C$1="ENG","model","модель")</f>
        <v>модель</v>
      </c>
      <c r="C1171" s="122" t="str">
        <f>IF($C$1="ENG","cover:","покриття:")</f>
        <v>покриття:</v>
      </c>
      <c r="D1171" s="498" t="str">
        <f>IF($C$1="ENG","Verto-CELL","Verto-CELL")</f>
        <v>Verto-CELL</v>
      </c>
      <c r="E1171" s="500"/>
      <c r="F1171" s="498" t="str">
        <f>IF($C$1="ENG","UNI-MAT","UNI-MAT")</f>
        <v>UNI-MAT</v>
      </c>
      <c r="G1171" s="500"/>
      <c r="H1171" s="498" t="str">
        <f>IF($C$1="ENG","RESIST","RESIST")</f>
        <v>RESIST</v>
      </c>
      <c r="I1171" s="500"/>
      <c r="J1171" s="498" t="str">
        <f>IF($C$1="ENG","Verto LINE-3D","Verto LINE-3D")</f>
        <v>Verto LINE-3D</v>
      </c>
      <c r="K1171" s="500"/>
      <c r="L1171" s="498" t="str">
        <f>IF($C$1="ENG","ECO Shpon","ЕКО Шпон")</f>
        <v>ЕКО Шпон</v>
      </c>
      <c r="M1171" s="500"/>
      <c r="N1171" s="8"/>
      <c r="O1171" s="8"/>
      <c r="P1171" s="20"/>
      <c r="Q1171" s="20"/>
      <c r="R1171" s="8"/>
      <c r="S1171" s="8"/>
      <c r="T1171" s="115"/>
      <c r="U1171" s="115"/>
      <c r="V1171" s="115"/>
      <c r="W1171" s="115"/>
      <c r="X1171" s="8"/>
      <c r="Y1171" s="8"/>
      <c r="Z1171" s="8"/>
      <c r="AA1171" s="8"/>
      <c r="AB1171" s="8"/>
      <c r="AC1171" s="8"/>
      <c r="AD1171" s="8"/>
      <c r="AE1171" s="8"/>
      <c r="AF1171" s="8"/>
      <c r="AG1171" s="8"/>
      <c r="AH1171" s="8"/>
      <c r="AI1171" s="8"/>
      <c r="AJ1171" s="8"/>
      <c r="AK1171" s="8"/>
      <c r="AL1171" s="8"/>
    </row>
    <row r="1172" spans="2:43" ht="24" customHeight="1">
      <c r="B1172" s="510"/>
      <c r="C1172" s="123" t="str">
        <f>IF($C$1="ENG","filling:","заповнення:")</f>
        <v>заповнення:</v>
      </c>
      <c r="D1172" s="505" t="str">
        <f>IF($C$1="ENG","softwood","клеєний сосновий брус")</f>
        <v>клеєний сосновий брус</v>
      </c>
      <c r="E1172" s="506"/>
      <c r="F1172" s="505" t="str">
        <f>IF($C$1="ENG","softwood","клеєний сосновий брус")</f>
        <v>клеєний сосновий брус</v>
      </c>
      <c r="G1172" s="506"/>
      <c r="H1172" s="505" t="str">
        <f>IF($C$1="ENG","softwood","клеєний сосновий брус")</f>
        <v>клеєний сосновий брус</v>
      </c>
      <c r="I1172" s="506"/>
      <c r="J1172" s="505" t="str">
        <f>IF($C$1="ENG","softwood","клеєний сосновий брус")</f>
        <v>клеєний сосновий брус</v>
      </c>
      <c r="K1172" s="506"/>
      <c r="L1172" s="505" t="str">
        <f>IF($C$1="ENG","softwood","клеєний сосновий брус")</f>
        <v>клеєний сосновий брус</v>
      </c>
      <c r="M1172" s="506"/>
      <c r="N1172" s="11"/>
      <c r="O1172" s="11"/>
      <c r="P1172" s="20"/>
      <c r="Q1172" s="20"/>
      <c r="R1172" s="11"/>
      <c r="S1172" s="11"/>
      <c r="T1172" s="11"/>
      <c r="U1172" s="115"/>
      <c r="V1172" s="115"/>
      <c r="W1172" s="115"/>
      <c r="X1172" s="8"/>
      <c r="Y1172" s="8"/>
      <c r="Z1172" s="8"/>
      <c r="AA1172" s="8"/>
      <c r="AB1172" s="8"/>
      <c r="AC1172" s="8"/>
      <c r="AD1172" s="383">
        <f>AD1174/AC1174-1</f>
        <v>0.14006024096385539</v>
      </c>
      <c r="AE1172" s="383">
        <f>AE1174/AD1174-1</f>
        <v>2.9062087186261465E-2</v>
      </c>
      <c r="AF1172" s="383">
        <f>AF1174/AE1174-1</f>
        <v>7.7021822849807409E-2</v>
      </c>
      <c r="AG1172" s="383">
        <f>AG1174/AF1174-1</f>
        <v>4.6483909415971469E-2</v>
      </c>
      <c r="AH1172" s="8"/>
      <c r="AI1172" s="8"/>
      <c r="AJ1172" s="8"/>
      <c r="AK1172" s="8"/>
      <c r="AL1172" s="8"/>
    </row>
    <row r="1173" spans="2:43" ht="12.75" customHeight="1">
      <c r="B1173" s="511"/>
      <c r="C1173" s="124" t="str">
        <f>IF($C$1="ENG","glazing:","скління:")</f>
        <v>скління:</v>
      </c>
      <c r="D1173" s="489" t="str">
        <f>IF($C$1="ENG","Satin","Сатин")</f>
        <v>Сатин</v>
      </c>
      <c r="E1173" s="492"/>
      <c r="F1173" s="489" t="str">
        <f>IF($C$1="ENG","Satin","Сатин")</f>
        <v>Сатин</v>
      </c>
      <c r="G1173" s="492"/>
      <c r="H1173" s="489" t="str">
        <f>IF($C$1="ENG","Satin","Сатин")</f>
        <v>Сатин</v>
      </c>
      <c r="I1173" s="492"/>
      <c r="J1173" s="489" t="str">
        <f>IF($C$1="ENG","Satin","Сатин")</f>
        <v>Сатин</v>
      </c>
      <c r="K1173" s="492"/>
      <c r="L1173" s="489" t="str">
        <f>IF($C$1="ENG","Satin","Сатин")</f>
        <v>Сатин</v>
      </c>
      <c r="M1173" s="492"/>
      <c r="N1173" s="11"/>
      <c r="O1173" s="11"/>
      <c r="P1173" s="20"/>
      <c r="Q1173" s="20"/>
      <c r="R1173" s="11"/>
      <c r="S1173" s="11"/>
      <c r="T1173" s="11"/>
    </row>
    <row r="1174" spans="2:43" ht="34.5" customHeight="1">
      <c r="B1174" s="13" t="s">
        <v>19</v>
      </c>
      <c r="C1174" s="14"/>
      <c r="D1174" s="15">
        <f>IF(AC1174="","",(1-$W$2)*(AC1174/1.2))</f>
        <v>5533.3333333333339</v>
      </c>
      <c r="E1174" s="64">
        <f>IF($W$5=0.2,D1174*1.2,D1174)/$W$4</f>
        <v>6640.0000000000009</v>
      </c>
      <c r="F1174" s="15">
        <f>IF(AD1174="","",(1-$W$2)*(AD1174/1.2))</f>
        <v>6308.3333333333339</v>
      </c>
      <c r="G1174" s="64">
        <f>IF($W$5=0.2,F1174*1.2,F1174)/$W$4</f>
        <v>7570</v>
      </c>
      <c r="H1174" s="15">
        <f>IF(AE1174="","",(1-$W$2)*(AE1174/1.2))</f>
        <v>6491.666666666667</v>
      </c>
      <c r="I1174" s="64">
        <f>IF($W$5=0.2,H1174*1.2,H1174)/$W$4</f>
        <v>7790</v>
      </c>
      <c r="J1174" s="15">
        <f>IF(AF1174="","",(1-$W$2)*(AF1174/1.2))</f>
        <v>6991.666666666667</v>
      </c>
      <c r="K1174" s="64">
        <f>IF($W$5=0.2,J1174*1.2,J1174)/$W$4</f>
        <v>8390</v>
      </c>
      <c r="L1174" s="15">
        <f>IF(AG1174="","",(1-$W$2)*(AG1174/1.2))</f>
        <v>7316.666666666667</v>
      </c>
      <c r="M1174" s="64">
        <f>IF($W$5=0.2,L1174*1.2,L1174)/$W$4</f>
        <v>8780</v>
      </c>
      <c r="N1174" s="104"/>
      <c r="O1174" s="20"/>
      <c r="P1174" s="20"/>
      <c r="Q1174" s="20"/>
      <c r="R1174" s="104"/>
      <c r="S1174" s="20"/>
      <c r="T1174" s="104"/>
      <c r="U1174" s="20"/>
      <c r="V1174" s="104"/>
      <c r="W1174" s="20"/>
      <c r="X1174" s="22"/>
      <c r="Y1174" s="22"/>
      <c r="Z1174" s="22"/>
      <c r="AA1174" s="22"/>
      <c r="AB1174" s="22"/>
      <c r="AC1174" s="332">
        <v>6640</v>
      </c>
      <c r="AD1174" s="391">
        <v>7570</v>
      </c>
      <c r="AE1174" s="332">
        <v>7790</v>
      </c>
      <c r="AF1174" s="332">
        <v>8390</v>
      </c>
      <c r="AG1174" s="332">
        <v>8780</v>
      </c>
      <c r="AH1174" s="289">
        <v>6640</v>
      </c>
      <c r="AI1174" s="289">
        <f>AH1174/AC1174-1</f>
        <v>0</v>
      </c>
      <c r="AJ1174" s="289">
        <v>7570</v>
      </c>
      <c r="AK1174" s="289">
        <f>AJ1174/AD1174-1</f>
        <v>0</v>
      </c>
      <c r="AL1174" s="289">
        <v>7790</v>
      </c>
      <c r="AM1174" s="289">
        <f>AL1174/AE1174-1</f>
        <v>0</v>
      </c>
      <c r="AN1174" s="289">
        <v>8390</v>
      </c>
      <c r="AO1174" s="289">
        <f>AN1174/AF1174-1</f>
        <v>0</v>
      </c>
      <c r="AP1174" s="289">
        <v>8780</v>
      </c>
      <c r="AQ1174" s="289">
        <f>AP1174/AG1174-1</f>
        <v>0</v>
      </c>
    </row>
    <row r="1175" spans="2:43" ht="34.5" customHeight="1">
      <c r="B1175" s="16" t="s">
        <v>17</v>
      </c>
      <c r="C1175" s="17"/>
      <c r="D1175" s="18">
        <f>IF(AC1175="","",(1-$W$2)*(AC1175/1.2))</f>
        <v>5791.666666666667</v>
      </c>
      <c r="E1175" s="66">
        <f>IF($W$5=0.2,D1175*1.2,D1175)/$W$4</f>
        <v>6950</v>
      </c>
      <c r="F1175" s="18">
        <f>IF(AD1175="","",(1-$W$2)*(AD1175/1.2))</f>
        <v>6608.3333333333339</v>
      </c>
      <c r="G1175" s="66">
        <f>IF($W$5=0.2,F1175*1.2,F1175)/$W$4</f>
        <v>7930</v>
      </c>
      <c r="H1175" s="18">
        <f>IF(AE1175="","",(1-$W$2)*(AE1175/1.2))</f>
        <v>6791.666666666667</v>
      </c>
      <c r="I1175" s="66">
        <f>IF($W$5=0.2,H1175*1.2,H1175)/$W$4</f>
        <v>8150</v>
      </c>
      <c r="J1175" s="18">
        <f>IF(AF1175="","",(1-$W$2)*(AF1175/1.2))</f>
        <v>7291.666666666667</v>
      </c>
      <c r="K1175" s="66">
        <f>IF($W$5=0.2,J1175*1.2,J1175)/$W$4</f>
        <v>8750</v>
      </c>
      <c r="L1175" s="18">
        <f>IF(AG1175="","",(1-$W$2)*(AG1175/1.2))</f>
        <v>7608.3333333333339</v>
      </c>
      <c r="M1175" s="66">
        <f>IF($W$5=0.2,L1175*1.2,L1175)/$W$4</f>
        <v>9130</v>
      </c>
      <c r="N1175" s="104"/>
      <c r="O1175" s="20"/>
      <c r="P1175" s="20"/>
      <c r="Q1175" s="20"/>
      <c r="R1175" s="104"/>
      <c r="S1175" s="20"/>
      <c r="T1175" s="104"/>
      <c r="U1175" s="20"/>
      <c r="V1175" s="104"/>
      <c r="W1175" s="20"/>
      <c r="X1175" s="22"/>
      <c r="Y1175" s="22"/>
      <c r="Z1175" s="22"/>
      <c r="AA1175" s="22"/>
      <c r="AB1175" s="22"/>
      <c r="AC1175" s="332">
        <v>6950</v>
      </c>
      <c r="AD1175" s="391">
        <v>7930</v>
      </c>
      <c r="AE1175" s="332">
        <v>8150</v>
      </c>
      <c r="AF1175" s="332">
        <v>8750</v>
      </c>
      <c r="AG1175" s="332">
        <v>9130</v>
      </c>
      <c r="AH1175" s="289">
        <v>6950</v>
      </c>
      <c r="AI1175" s="289">
        <f t="shared" ref="AI1175:AI1178" si="173">AH1175/AC1175-1</f>
        <v>0</v>
      </c>
      <c r="AJ1175" s="289">
        <v>7930</v>
      </c>
      <c r="AK1175" s="289">
        <f t="shared" ref="AK1175:AK1178" si="174">AJ1175/AD1175-1</f>
        <v>0</v>
      </c>
      <c r="AL1175" s="289">
        <v>8150</v>
      </c>
      <c r="AM1175" s="289">
        <f t="shared" ref="AM1175:AM1178" si="175">AL1175/AE1175-1</f>
        <v>0</v>
      </c>
      <c r="AN1175" s="289">
        <v>8750</v>
      </c>
      <c r="AO1175" s="289">
        <f t="shared" ref="AO1175:AO1178" si="176">AN1175/AF1175-1</f>
        <v>0</v>
      </c>
      <c r="AP1175" s="289">
        <v>9130</v>
      </c>
      <c r="AQ1175" s="289">
        <f t="shared" ref="AQ1175:AQ1178" si="177">AP1175/AG1175-1</f>
        <v>0</v>
      </c>
    </row>
    <row r="1176" spans="2:43" ht="34.5" customHeight="1">
      <c r="B1176" s="16" t="s">
        <v>20</v>
      </c>
      <c r="C1176" s="17"/>
      <c r="D1176" s="18">
        <f>IF(AC1176="","",(1-$W$2)*(AC1176/1.2))</f>
        <v>5533.3333333333339</v>
      </c>
      <c r="E1176" s="66">
        <f>IF($W$5=0.2,D1176*1.2,D1176)/$W$4</f>
        <v>6640.0000000000009</v>
      </c>
      <c r="F1176" s="18">
        <f>IF(AD1176="","",(1-$W$2)*(AD1176/1.2))</f>
        <v>6308.3333333333339</v>
      </c>
      <c r="G1176" s="66">
        <f>IF($W$5=0.2,F1176*1.2,F1176)/$W$4</f>
        <v>7570</v>
      </c>
      <c r="H1176" s="18">
        <f>IF(AE1176="","",(1-$W$2)*(AE1176/1.2))</f>
        <v>6491.666666666667</v>
      </c>
      <c r="I1176" s="66">
        <f>IF($W$5=0.2,H1176*1.2,H1176)/$W$4</f>
        <v>7790</v>
      </c>
      <c r="J1176" s="18">
        <f>IF(AF1176="","",(1-$W$2)*(AF1176/1.2))</f>
        <v>6991.666666666667</v>
      </c>
      <c r="K1176" s="66">
        <f>IF($W$5=0.2,J1176*1.2,J1176)/$W$4</f>
        <v>8390</v>
      </c>
      <c r="L1176" s="18">
        <f>IF(AG1176="","",(1-$W$2)*(AG1176/1.2))</f>
        <v>7316.666666666667</v>
      </c>
      <c r="M1176" s="66">
        <f>IF($W$5=0.2,L1176*1.2,L1176)/$W$4</f>
        <v>8780</v>
      </c>
      <c r="N1176" s="104"/>
      <c r="O1176" s="20"/>
      <c r="P1176" s="20"/>
      <c r="Q1176" s="20"/>
      <c r="R1176" s="104"/>
      <c r="S1176" s="20"/>
      <c r="T1176" s="104"/>
      <c r="U1176" s="20"/>
      <c r="V1176" s="104"/>
      <c r="W1176" s="20"/>
      <c r="X1176" s="22"/>
      <c r="Y1176" s="22"/>
      <c r="Z1176" s="22"/>
      <c r="AA1176" s="22"/>
      <c r="AB1176" s="22"/>
      <c r="AC1176" s="332">
        <v>6640</v>
      </c>
      <c r="AD1176" s="391">
        <v>7570</v>
      </c>
      <c r="AE1176" s="332">
        <v>7790</v>
      </c>
      <c r="AF1176" s="332">
        <v>8390</v>
      </c>
      <c r="AG1176" s="332">
        <v>8780</v>
      </c>
      <c r="AH1176" s="289">
        <v>6640</v>
      </c>
      <c r="AI1176" s="289">
        <f t="shared" si="173"/>
        <v>0</v>
      </c>
      <c r="AJ1176" s="289">
        <v>7570</v>
      </c>
      <c r="AK1176" s="289">
        <f t="shared" si="174"/>
        <v>0</v>
      </c>
      <c r="AL1176" s="289">
        <v>7790</v>
      </c>
      <c r="AM1176" s="289">
        <f t="shared" si="175"/>
        <v>0</v>
      </c>
      <c r="AN1176" s="289">
        <v>8390</v>
      </c>
      <c r="AO1176" s="289">
        <f t="shared" si="176"/>
        <v>0</v>
      </c>
      <c r="AP1176" s="289">
        <v>8780</v>
      </c>
      <c r="AQ1176" s="289">
        <f t="shared" si="177"/>
        <v>0</v>
      </c>
    </row>
    <row r="1177" spans="2:43" ht="34.5" customHeight="1">
      <c r="B1177" s="16" t="s">
        <v>21</v>
      </c>
      <c r="C1177" s="17"/>
      <c r="D1177" s="18">
        <f>IF(AC1177="","",(1-$W$2)*(AC1177/1.2))</f>
        <v>5550</v>
      </c>
      <c r="E1177" s="66">
        <f>IF($W$5=0.2,D1177*1.2,D1177)/$W$4</f>
        <v>6660</v>
      </c>
      <c r="F1177" s="18">
        <f>IF(AD1177="","",(1-$W$2)*(AD1177/1.2))</f>
        <v>6325</v>
      </c>
      <c r="G1177" s="66">
        <f>IF($W$5=0.2,F1177*1.2,F1177)/$W$4</f>
        <v>7590</v>
      </c>
      <c r="H1177" s="18">
        <f>IF(AE1177="","",(1-$W$2)*(AE1177/1.2))</f>
        <v>6575</v>
      </c>
      <c r="I1177" s="66">
        <f>IF($W$5=0.2,H1177*1.2,H1177)/$W$4</f>
        <v>7890</v>
      </c>
      <c r="J1177" s="18">
        <f>IF(AF1177="","",(1-$W$2)*(AF1177/1.2))</f>
        <v>7050</v>
      </c>
      <c r="K1177" s="66">
        <f>IF($W$5=0.2,J1177*1.2,J1177)/$W$4</f>
        <v>8460</v>
      </c>
      <c r="L1177" s="18">
        <f>IF(AG1177="","",(1-$W$2)*(AG1177/1.2))</f>
        <v>7375</v>
      </c>
      <c r="M1177" s="66">
        <f>IF($W$5=0.2,L1177*1.2,L1177)/$W$4</f>
        <v>8850</v>
      </c>
      <c r="N1177" s="104"/>
      <c r="O1177" s="20"/>
      <c r="P1177" s="20"/>
      <c r="Q1177" s="20"/>
      <c r="R1177" s="104"/>
      <c r="S1177" s="20"/>
      <c r="T1177" s="104"/>
      <c r="U1177" s="20"/>
      <c r="V1177" s="104"/>
      <c r="W1177" s="20"/>
      <c r="X1177" s="22"/>
      <c r="Y1177" s="22"/>
      <c r="Z1177" s="22"/>
      <c r="AA1177" s="22"/>
      <c r="AB1177" s="22"/>
      <c r="AC1177" s="332">
        <v>6660</v>
      </c>
      <c r="AD1177" s="391">
        <v>7590</v>
      </c>
      <c r="AE1177" s="332">
        <v>7890</v>
      </c>
      <c r="AF1177" s="332">
        <v>8460</v>
      </c>
      <c r="AG1177" s="332">
        <v>8850</v>
      </c>
      <c r="AH1177" s="289">
        <v>6660</v>
      </c>
      <c r="AI1177" s="289">
        <f t="shared" si="173"/>
        <v>0</v>
      </c>
      <c r="AJ1177" s="289">
        <v>7590</v>
      </c>
      <c r="AK1177" s="289">
        <f t="shared" si="174"/>
        <v>0</v>
      </c>
      <c r="AL1177" s="289">
        <v>7890</v>
      </c>
      <c r="AM1177" s="289">
        <f t="shared" si="175"/>
        <v>0</v>
      </c>
      <c r="AN1177" s="289">
        <v>8460</v>
      </c>
      <c r="AO1177" s="289">
        <f t="shared" si="176"/>
        <v>0</v>
      </c>
      <c r="AP1177" s="289">
        <v>8850</v>
      </c>
      <c r="AQ1177" s="289">
        <f t="shared" si="177"/>
        <v>0</v>
      </c>
    </row>
    <row r="1178" spans="2:43" ht="34.5" customHeight="1">
      <c r="B1178" s="23" t="s">
        <v>33</v>
      </c>
      <c r="C1178" s="24"/>
      <c r="D1178" s="25">
        <f>IF(AC1178="","",(1-$W$2)*(AC1178/1.2))</f>
        <v>5650</v>
      </c>
      <c r="E1178" s="69">
        <f>IF($W$5=0.2,D1178*1.2,D1178)/$W$4</f>
        <v>6780</v>
      </c>
      <c r="F1178" s="25">
        <f>IF(AD1178="","",(1-$W$2)*(AD1178/1.2))</f>
        <v>6433.3333333333339</v>
      </c>
      <c r="G1178" s="69">
        <f>IF($W$5=0.2,F1178*1.2,F1178)/$W$4</f>
        <v>7720</v>
      </c>
      <c r="H1178" s="25">
        <f>IF(AE1178="","",(1-$W$2)*(AE1178/1.2))</f>
        <v>6600</v>
      </c>
      <c r="I1178" s="69">
        <f>IF($W$5=0.2,H1178*1.2,H1178)/$W$4</f>
        <v>7920</v>
      </c>
      <c r="J1178" s="25">
        <f>IF(AF1178="","",(1-$W$2)*(AF1178/1.2))</f>
        <v>7116.666666666667</v>
      </c>
      <c r="K1178" s="69">
        <f>IF($W$5=0.2,J1178*1.2,J1178)/$W$4</f>
        <v>8540</v>
      </c>
      <c r="L1178" s="25">
        <f>IF(AG1178="","",(1-$W$2)*(AG1178/1.2))</f>
        <v>7441.666666666667</v>
      </c>
      <c r="M1178" s="69">
        <f>IF($W$5=0.2,L1178*1.2,L1178)/$W$4</f>
        <v>8930</v>
      </c>
      <c r="N1178" s="104"/>
      <c r="O1178" s="20"/>
      <c r="P1178" s="20"/>
      <c r="Q1178" s="20"/>
      <c r="R1178" s="104"/>
      <c r="S1178" s="20"/>
      <c r="T1178" s="104"/>
      <c r="U1178" s="20"/>
      <c r="V1178" s="104"/>
      <c r="W1178" s="20"/>
      <c r="X1178" s="22"/>
      <c r="Y1178" s="22"/>
      <c r="Z1178" s="22"/>
      <c r="AA1178" s="22"/>
      <c r="AB1178" s="22"/>
      <c r="AC1178" s="332">
        <v>6780</v>
      </c>
      <c r="AD1178" s="391">
        <v>7720</v>
      </c>
      <c r="AE1178" s="332">
        <v>7920</v>
      </c>
      <c r="AF1178" s="332">
        <v>8540</v>
      </c>
      <c r="AG1178" s="332">
        <v>8930</v>
      </c>
      <c r="AH1178" s="289">
        <v>6780</v>
      </c>
      <c r="AI1178" s="289">
        <f t="shared" si="173"/>
        <v>0</v>
      </c>
      <c r="AJ1178" s="289">
        <v>7720</v>
      </c>
      <c r="AK1178" s="289">
        <f t="shared" si="174"/>
        <v>0</v>
      </c>
      <c r="AL1178" s="289">
        <v>7920</v>
      </c>
      <c r="AM1178" s="289">
        <f t="shared" si="175"/>
        <v>0</v>
      </c>
      <c r="AN1178" s="289">
        <v>8540</v>
      </c>
      <c r="AO1178" s="289">
        <f t="shared" si="176"/>
        <v>0</v>
      </c>
      <c r="AP1178" s="289">
        <v>8930</v>
      </c>
      <c r="AQ1178" s="289">
        <f t="shared" si="177"/>
        <v>0</v>
      </c>
    </row>
    <row r="1179" spans="2:43" ht="14.25" customHeight="1">
      <c r="C1179" s="245"/>
      <c r="D1179" s="26"/>
      <c r="E1179" s="57"/>
      <c r="F1179" s="26"/>
      <c r="G1179" s="57"/>
      <c r="H1179" s="5"/>
      <c r="P1179" s="20"/>
      <c r="Q1179" s="20"/>
    </row>
    <row r="1180" spans="2:43" ht="12.75" customHeight="1">
      <c r="B1180" s="212" t="str">
        <f>IF($C$1="ENG","For additonal charge:","Послуги за додаткову плату:")</f>
        <v>Послуги за додаткову плату:</v>
      </c>
      <c r="C1180" s="421"/>
      <c r="D1180" s="213"/>
      <c r="E1180" s="214"/>
      <c r="F1180" s="26"/>
      <c r="G1180" s="57"/>
      <c r="H1180" s="10"/>
      <c r="I1180" s="8"/>
      <c r="J1180" s="8"/>
      <c r="K1180" s="8"/>
      <c r="P1180" s="20"/>
      <c r="Q1180" s="20"/>
    </row>
    <row r="1181" spans="2:43" ht="4.5" customHeight="1">
      <c r="B1181" s="27"/>
      <c r="C1181" s="245"/>
      <c r="D1181" s="26"/>
      <c r="E1181" s="57"/>
      <c r="F1181" s="26"/>
      <c r="G1181" s="26"/>
      <c r="H1181" s="10"/>
      <c r="I1181" s="8"/>
      <c r="J1181" s="8"/>
      <c r="K1181" s="8"/>
    </row>
    <row r="1182" spans="2:43" ht="12.75" customHeight="1">
      <c r="B1182" s="514" t="str">
        <f>IF($C$1="ENG","door leaf with width 100","полотно розміром 100")</f>
        <v>полотно розміром 100</v>
      </c>
      <c r="C1182" s="515"/>
      <c r="D1182" s="410">
        <f t="shared" ref="D1182:D1195" si="178">IF(AC1182="","",(1-$W$2)*(AC1182/1.2))</f>
        <v>600</v>
      </c>
      <c r="E1182" s="92">
        <f t="shared" ref="E1182:E1194" si="179">IF($W$5=0.2,D1182*1.2,D1182)/$W$4</f>
        <v>720</v>
      </c>
      <c r="F1182" s="26"/>
      <c r="G1182" s="26"/>
      <c r="H1182" s="10"/>
      <c r="I1182" s="8"/>
      <c r="J1182" s="8"/>
      <c r="K1182" s="8"/>
      <c r="AC1182" s="289">
        <v>720</v>
      </c>
      <c r="AD1182" s="289">
        <v>720</v>
      </c>
      <c r="AE1182" s="289"/>
      <c r="AF1182" s="289"/>
      <c r="AG1182" s="289"/>
      <c r="AH1182" s="289"/>
      <c r="AI1182" s="289"/>
      <c r="AJ1182" s="289"/>
      <c r="AK1182" s="289"/>
      <c r="AL1182" s="289"/>
    </row>
    <row r="1183" spans="2:43" ht="12.75" customHeight="1">
      <c r="B1183" s="501" t="str">
        <f>IF($C$1="ENG","Ventilation sleeves (1 row)","вентиляційні віддушини (1ряд)")</f>
        <v>вентиляційні віддушини (1ряд)</v>
      </c>
      <c r="C1183" s="502"/>
      <c r="D1183" s="405">
        <f t="shared" si="178"/>
        <v>208.33333333333334</v>
      </c>
      <c r="E1183" s="93">
        <f t="shared" si="179"/>
        <v>250</v>
      </c>
      <c r="F1183" s="26"/>
      <c r="G1183" s="26"/>
      <c r="I1183" s="11"/>
      <c r="J1183" s="11"/>
      <c r="K1183" s="11"/>
      <c r="AC1183" s="289">
        <v>250</v>
      </c>
      <c r="AD1183" s="289">
        <v>250</v>
      </c>
      <c r="AE1183" s="289"/>
      <c r="AF1183" s="289"/>
      <c r="AG1183" s="289"/>
      <c r="AH1183" s="289"/>
      <c r="AI1183" s="289"/>
      <c r="AJ1183" s="289"/>
      <c r="AK1183" s="289"/>
      <c r="AL1183" s="289"/>
    </row>
    <row r="1184" spans="2:43" ht="12.75" customHeight="1">
      <c r="B1184" s="514" t="str">
        <f>IF($C$1="ENG","Ventilation cut","вентиляційний підріз")</f>
        <v>вентиляційний підріз</v>
      </c>
      <c r="C1184" s="515"/>
      <c r="D1184" s="405">
        <f t="shared" si="178"/>
        <v>141.66666666666669</v>
      </c>
      <c r="E1184" s="66">
        <f t="shared" si="179"/>
        <v>170.00000000000003</v>
      </c>
      <c r="F1184" s="26"/>
      <c r="G1184" s="26"/>
      <c r="I1184" s="59"/>
      <c r="J1184" s="28"/>
      <c r="AC1184" s="289">
        <v>170</v>
      </c>
      <c r="AD1184" s="289">
        <v>170</v>
      </c>
      <c r="AE1184" s="289"/>
      <c r="AF1184" s="289"/>
      <c r="AG1184" s="289"/>
      <c r="AH1184" s="289"/>
      <c r="AI1184" s="289"/>
      <c r="AJ1184" s="289"/>
      <c r="AK1184" s="289"/>
      <c r="AL1184" s="289"/>
    </row>
    <row r="1185" spans="2:38" ht="12.75" customHeight="1">
      <c r="B1185" s="501" t="str">
        <f>IF($C$1="ENG","glazing Graphite / Bronze","скло Графіт / Бронза")</f>
        <v>скло Графіт / Бронза</v>
      </c>
      <c r="C1185" s="502"/>
      <c r="D1185" s="407">
        <f t="shared" si="178"/>
        <v>458.33333333333337</v>
      </c>
      <c r="E1185" s="93">
        <f t="shared" si="179"/>
        <v>550</v>
      </c>
      <c r="F1185" s="26"/>
      <c r="G1185" s="26"/>
      <c r="H1185" s="5"/>
      <c r="AC1185" s="289">
        <v>550</v>
      </c>
      <c r="AD1185" s="289">
        <v>550</v>
      </c>
      <c r="AE1185" s="289"/>
      <c r="AF1185" s="289"/>
      <c r="AG1185" s="289"/>
      <c r="AH1185" s="289"/>
      <c r="AI1185" s="289"/>
      <c r="AJ1185" s="289"/>
      <c r="AK1185" s="289"/>
      <c r="AL1185" s="289"/>
    </row>
    <row r="1186" spans="2:38">
      <c r="B1186" s="501" t="str">
        <f>IF($C$1="ENG","glazing Lacobel black ","скло Lacobel чорне")</f>
        <v>скло Lacobel чорне</v>
      </c>
      <c r="C1186" s="502"/>
      <c r="D1186" s="407">
        <f t="shared" si="178"/>
        <v>458.33333333333337</v>
      </c>
      <c r="E1186" s="93">
        <f>IF($W$5=0.2,D1186*1.2,D1186)/$W$4</f>
        <v>550</v>
      </c>
      <c r="F1186" s="26"/>
      <c r="G1186" s="26"/>
      <c r="H1186" s="5"/>
      <c r="AC1186" s="298">
        <v>550</v>
      </c>
      <c r="AD1186" s="298">
        <v>550</v>
      </c>
      <c r="AE1186" s="289"/>
      <c r="AF1186" s="289"/>
      <c r="AG1186" s="289"/>
      <c r="AH1186" s="289"/>
      <c r="AI1186" s="289"/>
      <c r="AJ1186" s="289"/>
      <c r="AK1186" s="289"/>
      <c r="AL1186" s="289"/>
    </row>
    <row r="1187" spans="2:38" ht="12.75" customHeight="1">
      <c r="B1187" s="501" t="str">
        <f>IF($C$1="ENG","door lock Soft","замок Soft")</f>
        <v>замок Soft</v>
      </c>
      <c r="C1187" s="502"/>
      <c r="D1187" s="407">
        <f t="shared" si="178"/>
        <v>458.33333333333337</v>
      </c>
      <c r="E1187" s="93">
        <f t="shared" si="179"/>
        <v>550</v>
      </c>
      <c r="F1187" s="26"/>
      <c r="G1187" s="26"/>
      <c r="H1187" s="5"/>
      <c r="AC1187" s="289">
        <v>550</v>
      </c>
      <c r="AD1187" s="289">
        <v>550</v>
      </c>
      <c r="AE1187" s="289"/>
      <c r="AF1187" s="289"/>
      <c r="AG1187" s="289"/>
      <c r="AH1187" s="289"/>
      <c r="AI1187" s="289"/>
      <c r="AJ1187" s="289"/>
      <c r="AK1187" s="289"/>
      <c r="AL1187" s="289"/>
    </row>
    <row r="1188" spans="2:38" ht="12.75" customHeight="1">
      <c r="B1188" s="501" t="str">
        <f>IF($C$1="ENG","door lock Soft black","замок Soft чорн.")</f>
        <v>замок Soft чорн.</v>
      </c>
      <c r="C1188" s="502"/>
      <c r="D1188" s="407">
        <f t="shared" ref="D1188" si="180">IF(AC1188="","",(1-$W$2)*(AC1188/1.2))</f>
        <v>566.66666666666674</v>
      </c>
      <c r="E1188" s="93">
        <f t="shared" ref="E1188" si="181">IF($W$5=0.2,D1188*1.2,D1188)/$W$4</f>
        <v>680.00000000000011</v>
      </c>
      <c r="F1188" s="26"/>
      <c r="G1188" s="26"/>
      <c r="H1188" s="5"/>
      <c r="AC1188" s="289">
        <v>680</v>
      </c>
      <c r="AD1188" s="289"/>
      <c r="AE1188" s="289"/>
      <c r="AF1188" s="289"/>
      <c r="AG1188" s="289"/>
      <c r="AH1188" s="289"/>
      <c r="AI1188" s="289"/>
      <c r="AJ1188" s="289"/>
      <c r="AK1188" s="289"/>
      <c r="AL1188" s="289"/>
    </row>
    <row r="1189" spans="2:38" ht="12.75" customHeight="1">
      <c r="B1189" s="501" t="str">
        <f>IF($C$1="ENG","door lock Magnet","замок Magnet")</f>
        <v>замок Magnet</v>
      </c>
      <c r="C1189" s="502"/>
      <c r="D1189" s="407">
        <f t="shared" si="178"/>
        <v>666.66666666666674</v>
      </c>
      <c r="E1189" s="93">
        <f t="shared" si="179"/>
        <v>800.00000000000011</v>
      </c>
      <c r="F1189" s="26"/>
      <c r="G1189" s="26"/>
      <c r="H1189" s="5"/>
      <c r="AC1189" s="289">
        <v>800</v>
      </c>
      <c r="AD1189" s="289">
        <v>800</v>
      </c>
      <c r="AE1189" s="289"/>
      <c r="AF1189" s="289"/>
      <c r="AG1189" s="289"/>
      <c r="AH1189" s="289"/>
      <c r="AI1189" s="289"/>
      <c r="AJ1189" s="289"/>
      <c r="AK1189" s="289"/>
      <c r="AL1189" s="289"/>
    </row>
    <row r="1190" spans="2:38" ht="12.75" customHeight="1">
      <c r="B1190" s="501" t="s">
        <v>76</v>
      </c>
      <c r="C1190" s="502"/>
      <c r="D1190" s="407">
        <f t="shared" ref="D1190" si="182">IF(AC1190="","",(1-$W$2)*(AC1190/1.2))</f>
        <v>833.33333333333337</v>
      </c>
      <c r="E1190" s="93">
        <f t="shared" ref="E1190" si="183">IF($W$5=0.2,D1190*1.2,D1190)/$W$4</f>
        <v>1000</v>
      </c>
      <c r="F1190" s="26"/>
      <c r="G1190" s="26"/>
      <c r="H1190" s="5"/>
      <c r="AC1190" s="289">
        <v>1000</v>
      </c>
      <c r="AD1190" s="289"/>
      <c r="AE1190" s="289"/>
      <c r="AF1190" s="289"/>
      <c r="AG1190" s="289"/>
      <c r="AH1190" s="289"/>
      <c r="AI1190" s="289"/>
      <c r="AJ1190" s="289"/>
      <c r="AK1190" s="289"/>
      <c r="AL1190" s="289"/>
    </row>
    <row r="1191" spans="2:38" ht="12.75" customHeight="1">
      <c r="B1191" s="501" t="str">
        <f>IF($C$1="ENG","door handle-lock (for sliding doors)","ручка-замок (для дверей купе)")</f>
        <v>ручка-замок (для дверей купе)</v>
      </c>
      <c r="C1191" s="502"/>
      <c r="D1191" s="405">
        <f t="shared" si="178"/>
        <v>466.66666666666669</v>
      </c>
      <c r="E1191" s="93">
        <f t="shared" si="179"/>
        <v>560</v>
      </c>
      <c r="F1191" s="26"/>
      <c r="G1191" s="26"/>
      <c r="I1191" s="11"/>
      <c r="J1191" s="11"/>
      <c r="K1191" s="19"/>
      <c r="AC1191" s="289">
        <v>560</v>
      </c>
      <c r="AD1191" s="289">
        <v>560</v>
      </c>
      <c r="AE1191" s="289"/>
      <c r="AF1191" s="289"/>
      <c r="AG1191" s="289"/>
      <c r="AH1191" s="289"/>
      <c r="AI1191" s="289"/>
      <c r="AJ1191" s="289"/>
      <c r="AK1191" s="289"/>
      <c r="AL1191" s="289"/>
    </row>
    <row r="1192" spans="2:38" ht="12.75" customHeight="1">
      <c r="B1192" s="501" t="str">
        <f>IF($C$1="ENG","cylinder incert","циліндр несиметричний")</f>
        <v>циліндр несиметричний</v>
      </c>
      <c r="C1192" s="502"/>
      <c r="D1192" s="405">
        <f t="shared" si="178"/>
        <v>316.66666666666669</v>
      </c>
      <c r="E1192" s="93">
        <f t="shared" si="179"/>
        <v>380</v>
      </c>
      <c r="F1192" s="26"/>
      <c r="G1192" s="26"/>
      <c r="AC1192" s="289">
        <v>380</v>
      </c>
      <c r="AD1192" s="289">
        <v>380</v>
      </c>
      <c r="AE1192" s="289"/>
      <c r="AF1192" s="289"/>
      <c r="AG1192" s="289"/>
      <c r="AH1192" s="289"/>
      <c r="AI1192" s="289"/>
      <c r="AJ1192" s="289"/>
      <c r="AK1192" s="289"/>
      <c r="AL1192" s="289"/>
    </row>
    <row r="1193" spans="2:38" ht="12.75" customHeight="1">
      <c r="B1193" s="501" t="str">
        <f>IF($C$1="ENG","door hindge Prestige (1 unit)","завіса Prestige (1 шт)")</f>
        <v>завіса Prestige (1 шт)</v>
      </c>
      <c r="C1193" s="502"/>
      <c r="D1193" s="408">
        <f t="shared" si="178"/>
        <v>216.66666666666669</v>
      </c>
      <c r="E1193" s="93">
        <f t="shared" si="179"/>
        <v>260</v>
      </c>
      <c r="F1193" s="26"/>
      <c r="G1193" s="26"/>
      <c r="AC1193" s="289">
        <v>260</v>
      </c>
      <c r="AD1193" s="289">
        <v>260</v>
      </c>
      <c r="AE1193" s="289"/>
      <c r="AF1193" s="289"/>
      <c r="AG1193" s="289"/>
      <c r="AH1193" s="289"/>
      <c r="AI1193" s="289"/>
      <c r="AJ1193" s="289"/>
      <c r="AK1193" s="289"/>
      <c r="AL1193" s="289"/>
    </row>
    <row r="1194" spans="2:38" ht="12.75" customHeight="1">
      <c r="B1194" s="501" t="str">
        <f>IF($C$1="ENG","door hinge caps (1 set)","накладка на завіси (1 к-т)")</f>
        <v>накладка на завіси (1 к-т)</v>
      </c>
      <c r="C1194" s="502"/>
      <c r="D1194" s="408">
        <f t="shared" si="178"/>
        <v>66.666666666666671</v>
      </c>
      <c r="E1194" s="93">
        <f t="shared" si="179"/>
        <v>80</v>
      </c>
      <c r="F1194" s="26"/>
      <c r="G1194" s="26"/>
      <c r="AC1194" s="289">
        <v>80</v>
      </c>
      <c r="AD1194" s="289">
        <v>80</v>
      </c>
      <c r="AE1194" s="289"/>
      <c r="AF1194" s="289"/>
      <c r="AG1194" s="289"/>
      <c r="AH1194" s="289"/>
      <c r="AI1194" s="289"/>
      <c r="AJ1194" s="289"/>
      <c r="AK1194" s="289"/>
      <c r="AL1194" s="289"/>
    </row>
    <row r="1195" spans="2:38" ht="12.75" customHeight="1">
      <c r="B1195" s="501" t="str">
        <f>IF($C$1="ENG","door handle","дверна ручка")</f>
        <v>дверна ручка</v>
      </c>
      <c r="C1195" s="502"/>
      <c r="D1195" s="409" t="str">
        <f t="shared" si="178"/>
        <v/>
      </c>
      <c r="E1195" s="247" t="str">
        <f>IF($C$1="ENG","see Handles Price","див. Таблицю Ручки")</f>
        <v>див. Таблицю Ручки</v>
      </c>
      <c r="F1195" s="26"/>
      <c r="G1195" s="26"/>
      <c r="AC1195" s="298"/>
      <c r="AD1195" s="289"/>
      <c r="AE1195" s="289"/>
      <c r="AF1195" s="289"/>
      <c r="AG1195" s="289"/>
      <c r="AH1195" s="289"/>
      <c r="AI1195" s="289"/>
      <c r="AJ1195" s="289"/>
      <c r="AK1195" s="289"/>
      <c r="AL1195" s="289"/>
    </row>
    <row r="1196" spans="2:38" ht="14.25" customHeight="1">
      <c r="C1196" s="245"/>
      <c r="D1196" s="26"/>
      <c r="E1196" s="26"/>
      <c r="F1196" s="26"/>
      <c r="G1196" s="26"/>
      <c r="H1196" s="5"/>
      <c r="U1196" s="503" t="str">
        <f>IF($C$1="ENG",CONCATENATE("down to: ",B1246),CONCATENATE("вниз до: ",B1246))</f>
        <v>вниз до: Полотна збірні: ЛІНДА</v>
      </c>
      <c r="V1196" s="503"/>
      <c r="W1196" s="503"/>
      <c r="X1196" s="304"/>
      <c r="Y1196" s="304"/>
      <c r="Z1196" s="304"/>
      <c r="AA1196" s="304"/>
      <c r="AB1196" s="304"/>
    </row>
    <row r="1197" spans="2:38" ht="14.25" customHeight="1">
      <c r="C1197" s="245"/>
      <c r="D1197" s="26"/>
      <c r="E1197" s="26"/>
      <c r="F1197" s="26"/>
      <c r="G1197" s="26"/>
      <c r="H1197" s="5"/>
    </row>
    <row r="1198" spans="2:38" ht="14.25" customHeight="1">
      <c r="C1198" s="245"/>
      <c r="D1198" s="26"/>
      <c r="E1198" s="26"/>
      <c r="F1198" s="26"/>
      <c r="G1198" s="26"/>
      <c r="H1198" s="5"/>
    </row>
    <row r="1199" spans="2:38" ht="14.25" customHeight="1">
      <c r="C1199" s="245"/>
      <c r="D1199" s="26"/>
      <c r="E1199" s="26"/>
      <c r="F1199" s="26"/>
      <c r="G1199" s="26"/>
      <c r="H1199" s="5"/>
    </row>
    <row r="1200" spans="2:38" ht="14.25" customHeight="1">
      <c r="C1200" s="245"/>
      <c r="D1200" s="26"/>
      <c r="E1200" s="26"/>
      <c r="F1200" s="26"/>
      <c r="G1200" s="26"/>
      <c r="H1200" s="5"/>
    </row>
    <row r="1201" spans="3:8" ht="14.25" customHeight="1">
      <c r="C1201" s="245"/>
      <c r="D1201" s="26"/>
      <c r="E1201" s="26"/>
      <c r="F1201" s="26"/>
      <c r="G1201" s="26"/>
      <c r="H1201" s="5"/>
    </row>
    <row r="1202" spans="3:8" ht="14.25" customHeight="1">
      <c r="C1202" s="245"/>
      <c r="D1202" s="26"/>
      <c r="E1202" s="26"/>
      <c r="F1202" s="26"/>
      <c r="G1202" s="26"/>
      <c r="H1202" s="5"/>
    </row>
    <row r="1203" spans="3:8" ht="14.25" customHeight="1">
      <c r="C1203" s="245"/>
      <c r="D1203" s="26"/>
      <c r="E1203" s="26"/>
      <c r="F1203" s="26"/>
      <c r="G1203" s="26"/>
      <c r="H1203" s="5"/>
    </row>
    <row r="1204" spans="3:8" ht="14.25" customHeight="1">
      <c r="C1204" s="245"/>
      <c r="D1204" s="26"/>
      <c r="E1204" s="26"/>
      <c r="F1204" s="26"/>
      <c r="G1204" s="26"/>
      <c r="H1204" s="5"/>
    </row>
    <row r="1205" spans="3:8" ht="14.25" customHeight="1">
      <c r="C1205" s="245"/>
      <c r="D1205" s="26"/>
      <c r="E1205" s="26"/>
      <c r="F1205" s="26"/>
      <c r="G1205" s="26"/>
      <c r="H1205" s="5"/>
    </row>
    <row r="1206" spans="3:8" ht="14.25" customHeight="1">
      <c r="C1206" s="245"/>
      <c r="D1206" s="26"/>
      <c r="E1206" s="26"/>
      <c r="F1206" s="26"/>
      <c r="G1206" s="26"/>
      <c r="H1206" s="5"/>
    </row>
    <row r="1207" spans="3:8" ht="14.25" customHeight="1">
      <c r="C1207" s="245"/>
      <c r="D1207" s="26"/>
      <c r="E1207" s="26"/>
      <c r="F1207" s="26"/>
      <c r="G1207" s="26"/>
      <c r="H1207" s="5"/>
    </row>
    <row r="1208" spans="3:8" ht="14.25" customHeight="1">
      <c r="C1208" s="245"/>
      <c r="D1208" s="26"/>
      <c r="E1208" s="26"/>
      <c r="F1208" s="26"/>
      <c r="G1208" s="26"/>
      <c r="H1208" s="5"/>
    </row>
    <row r="1209" spans="3:8" ht="14.25" customHeight="1">
      <c r="C1209" s="245"/>
      <c r="D1209" s="26"/>
      <c r="E1209" s="26"/>
      <c r="F1209" s="26"/>
      <c r="G1209" s="26"/>
      <c r="H1209" s="5"/>
    </row>
    <row r="1210" spans="3:8" ht="14.25" customHeight="1">
      <c r="C1210" s="245"/>
      <c r="D1210" s="26"/>
      <c r="E1210" s="26"/>
      <c r="F1210" s="26"/>
      <c r="G1210" s="26"/>
      <c r="H1210" s="5"/>
    </row>
    <row r="1211" spans="3:8" ht="14.25" customHeight="1">
      <c r="C1211" s="245"/>
      <c r="D1211" s="26"/>
      <c r="E1211" s="26"/>
      <c r="F1211" s="26"/>
      <c r="G1211" s="26"/>
      <c r="H1211" s="5"/>
    </row>
    <row r="1212" spans="3:8" ht="14.25" customHeight="1">
      <c r="C1212" s="245"/>
      <c r="D1212" s="26"/>
      <c r="E1212" s="26"/>
      <c r="F1212" s="26"/>
      <c r="G1212" s="26"/>
      <c r="H1212" s="5"/>
    </row>
    <row r="1213" spans="3:8" ht="14.25" customHeight="1">
      <c r="C1213" s="245"/>
      <c r="D1213" s="26"/>
      <c r="E1213" s="26"/>
      <c r="F1213" s="26"/>
      <c r="G1213" s="26"/>
      <c r="H1213" s="5"/>
    </row>
    <row r="1214" spans="3:8" ht="14.25" customHeight="1">
      <c r="C1214" s="245"/>
      <c r="D1214" s="26"/>
      <c r="E1214" s="26"/>
      <c r="F1214" s="26"/>
      <c r="G1214" s="26"/>
      <c r="H1214" s="5"/>
    </row>
    <row r="1215" spans="3:8" ht="14.25" customHeight="1">
      <c r="C1215" s="245"/>
      <c r="D1215" s="26"/>
      <c r="E1215" s="26"/>
      <c r="F1215" s="26"/>
      <c r="G1215" s="26"/>
      <c r="H1215" s="5"/>
    </row>
    <row r="1216" spans="3:8" ht="14.25" customHeight="1">
      <c r="C1216" s="245"/>
      <c r="D1216" s="26"/>
      <c r="E1216" s="26"/>
      <c r="F1216" s="26"/>
      <c r="G1216" s="26"/>
      <c r="H1216" s="5"/>
    </row>
    <row r="1217" spans="3:8" ht="14.25" customHeight="1">
      <c r="C1217" s="245"/>
      <c r="D1217" s="26"/>
      <c r="E1217" s="26"/>
      <c r="F1217" s="26"/>
      <c r="G1217" s="26"/>
      <c r="H1217" s="5"/>
    </row>
    <row r="1218" spans="3:8" ht="14.25" customHeight="1">
      <c r="C1218" s="245"/>
      <c r="D1218" s="26"/>
      <c r="E1218" s="26"/>
      <c r="F1218" s="26"/>
      <c r="G1218" s="26"/>
      <c r="H1218" s="5"/>
    </row>
    <row r="1219" spans="3:8" ht="14.25" customHeight="1">
      <c r="C1219" s="245"/>
      <c r="D1219" s="26"/>
      <c r="E1219" s="26"/>
      <c r="F1219" s="26"/>
      <c r="G1219" s="26"/>
      <c r="H1219" s="5"/>
    </row>
    <row r="1220" spans="3:8" ht="14.25" customHeight="1">
      <c r="C1220" s="245"/>
      <c r="D1220" s="26"/>
      <c r="E1220" s="26"/>
      <c r="F1220" s="26"/>
      <c r="G1220" s="26"/>
      <c r="H1220" s="5"/>
    </row>
    <row r="1221" spans="3:8" ht="14.25" customHeight="1">
      <c r="C1221" s="245"/>
      <c r="D1221" s="26"/>
      <c r="E1221" s="26"/>
      <c r="F1221" s="26"/>
      <c r="G1221" s="26"/>
      <c r="H1221" s="5"/>
    </row>
    <row r="1222" spans="3:8" ht="14.25" customHeight="1">
      <c r="C1222" s="245"/>
      <c r="D1222" s="26"/>
      <c r="E1222" s="26"/>
      <c r="F1222" s="26"/>
      <c r="G1222" s="26"/>
      <c r="H1222" s="5"/>
    </row>
    <row r="1223" spans="3:8" ht="14.25" customHeight="1">
      <c r="C1223" s="245"/>
      <c r="D1223" s="26"/>
      <c r="E1223" s="26"/>
      <c r="F1223" s="26"/>
      <c r="G1223" s="26"/>
      <c r="H1223" s="5"/>
    </row>
    <row r="1224" spans="3:8" ht="14.25" customHeight="1">
      <c r="C1224" s="245"/>
      <c r="D1224" s="26"/>
      <c r="E1224" s="26"/>
      <c r="F1224" s="26"/>
      <c r="G1224" s="26"/>
      <c r="H1224" s="5"/>
    </row>
    <row r="1225" spans="3:8" ht="14.25" customHeight="1">
      <c r="C1225" s="245"/>
      <c r="D1225" s="26"/>
      <c r="E1225" s="26"/>
      <c r="F1225" s="26"/>
      <c r="G1225" s="26"/>
      <c r="H1225" s="5"/>
    </row>
    <row r="1226" spans="3:8" ht="14.25" customHeight="1">
      <c r="C1226" s="245"/>
      <c r="D1226" s="26"/>
      <c r="E1226" s="26"/>
      <c r="F1226" s="26"/>
      <c r="G1226" s="26"/>
      <c r="H1226" s="5"/>
    </row>
    <row r="1227" spans="3:8" ht="14.25" customHeight="1">
      <c r="C1227" s="245"/>
      <c r="D1227" s="26"/>
      <c r="E1227" s="26"/>
      <c r="F1227" s="26"/>
      <c r="G1227" s="26"/>
      <c r="H1227" s="5"/>
    </row>
    <row r="1228" spans="3:8" ht="14.25" customHeight="1">
      <c r="C1228" s="245"/>
      <c r="D1228" s="26"/>
      <c r="E1228" s="26"/>
      <c r="F1228" s="26"/>
      <c r="G1228" s="26"/>
      <c r="H1228" s="5"/>
    </row>
    <row r="1229" spans="3:8" ht="14.25" customHeight="1">
      <c r="C1229" s="245"/>
      <c r="D1229" s="26"/>
      <c r="E1229" s="26"/>
      <c r="F1229" s="26"/>
      <c r="G1229" s="26"/>
      <c r="H1229" s="5"/>
    </row>
    <row r="1230" spans="3:8" ht="14.25" customHeight="1">
      <c r="C1230" s="245"/>
      <c r="D1230" s="26"/>
      <c r="E1230" s="26"/>
      <c r="F1230" s="26"/>
      <c r="G1230" s="26"/>
      <c r="H1230" s="5"/>
    </row>
    <row r="1231" spans="3:8" ht="14.25" customHeight="1">
      <c r="C1231" s="245"/>
      <c r="D1231" s="26"/>
      <c r="E1231" s="26"/>
      <c r="F1231" s="26"/>
      <c r="G1231" s="26"/>
      <c r="H1231" s="5"/>
    </row>
    <row r="1232" spans="3:8" ht="14.25" customHeight="1">
      <c r="C1232" s="245"/>
      <c r="D1232" s="26"/>
      <c r="E1232" s="26"/>
      <c r="F1232" s="26"/>
      <c r="G1232" s="26"/>
      <c r="H1232" s="5"/>
    </row>
    <row r="1233" spans="2:46" ht="14.25" customHeight="1">
      <c r="C1233" s="245"/>
      <c r="D1233" s="26"/>
      <c r="E1233" s="26"/>
      <c r="F1233" s="26"/>
      <c r="G1233" s="26"/>
      <c r="H1233" s="5"/>
    </row>
    <row r="1234" spans="2:46" ht="14.25" customHeight="1">
      <c r="C1234" s="245"/>
      <c r="D1234" s="26"/>
      <c r="E1234" s="26"/>
      <c r="F1234" s="26"/>
      <c r="G1234" s="26"/>
      <c r="H1234" s="5"/>
    </row>
    <row r="1235" spans="2:46" ht="14.25" customHeight="1">
      <c r="C1235" s="245"/>
      <c r="D1235" s="26"/>
      <c r="E1235" s="26"/>
      <c r="F1235" s="26"/>
      <c r="G1235" s="26"/>
      <c r="H1235" s="5"/>
    </row>
    <row r="1236" spans="2:46" ht="14.25" customHeight="1">
      <c r="C1236" s="245"/>
      <c r="D1236" s="26"/>
      <c r="E1236" s="26"/>
      <c r="F1236" s="26"/>
      <c r="G1236" s="26"/>
      <c r="H1236" s="5"/>
    </row>
    <row r="1237" spans="2:46" ht="14.25" customHeight="1">
      <c r="C1237" s="245"/>
      <c r="D1237" s="26"/>
      <c r="E1237" s="26"/>
      <c r="F1237" s="26"/>
      <c r="G1237" s="26"/>
      <c r="H1237" s="5"/>
    </row>
    <row r="1238" spans="2:46" ht="14.25" customHeight="1">
      <c r="C1238" s="245"/>
      <c r="D1238" s="26"/>
      <c r="E1238" s="26"/>
      <c r="F1238" s="26"/>
      <c r="G1238" s="26"/>
      <c r="H1238" s="5"/>
    </row>
    <row r="1239" spans="2:46" ht="14.25" customHeight="1">
      <c r="C1239" s="245"/>
      <c r="D1239" s="26"/>
      <c r="E1239" s="26"/>
      <c r="F1239" s="26"/>
      <c r="G1239" s="26"/>
      <c r="H1239" s="5"/>
    </row>
    <row r="1240" spans="2:46" ht="14.25" customHeight="1">
      <c r="C1240" s="245"/>
      <c r="D1240" s="26"/>
      <c r="E1240" s="26"/>
      <c r="F1240" s="26"/>
      <c r="G1240" s="26"/>
      <c r="H1240" s="5"/>
    </row>
    <row r="1241" spans="2:46" ht="14.25" customHeight="1">
      <c r="C1241" s="245"/>
      <c r="D1241" s="26"/>
      <c r="E1241" s="26"/>
      <c r="F1241" s="26"/>
      <c r="G1241" s="26"/>
      <c r="H1241" s="5"/>
    </row>
    <row r="1242" spans="2:46" ht="14.25" customHeight="1">
      <c r="C1242" s="245"/>
      <c r="D1242" s="26"/>
      <c r="E1242" s="26"/>
      <c r="F1242" s="26"/>
      <c r="G1242" s="26"/>
      <c r="H1242" s="5"/>
    </row>
    <row r="1243" spans="2:46" ht="14.25" customHeight="1">
      <c r="C1243" s="245"/>
      <c r="D1243" s="26"/>
      <c r="E1243" s="26"/>
      <c r="F1243" s="26"/>
      <c r="G1243" s="26"/>
      <c r="H1243" s="5"/>
    </row>
    <row r="1244" spans="2:46" ht="14.25" customHeight="1">
      <c r="C1244" s="245"/>
      <c r="D1244" s="26"/>
      <c r="E1244" s="26"/>
      <c r="F1244" s="26"/>
      <c r="G1244" s="26"/>
      <c r="H1244" s="5"/>
    </row>
    <row r="1245" spans="2:46" ht="14.25" customHeight="1">
      <c r="C1245" s="245"/>
      <c r="D1245" s="26"/>
      <c r="E1245" s="26"/>
      <c r="F1245" s="26"/>
      <c r="G1245" s="26"/>
      <c r="H1245" s="5"/>
    </row>
    <row r="1246" spans="2:46" s="8" customFormat="1">
      <c r="B1246" s="494" t="str">
        <f>TITLE!C25</f>
        <v>Полотна збірні: ЛІНДА</v>
      </c>
      <c r="C1246" s="494"/>
      <c r="D1246" s="118"/>
      <c r="E1246" s="118"/>
      <c r="F1246" s="118"/>
      <c r="G1246" s="118"/>
      <c r="H1246" s="496"/>
      <c r="I1246" s="496"/>
      <c r="J1246" s="121"/>
      <c r="K1246" s="121"/>
      <c r="L1246" s="121"/>
      <c r="M1246" s="121"/>
      <c r="N1246" s="121"/>
      <c r="O1246" s="121"/>
      <c r="P1246" s="121"/>
      <c r="Q1246" s="121"/>
      <c r="R1246" s="121"/>
      <c r="S1246" s="121"/>
      <c r="T1246" s="517" t="str">
        <f>IF($C$1="ENG",CONCATENATE("up to: ",B1169),CONCATENATE("вгору до: ",B1169))</f>
        <v>вгору до: Полотна збірні: ЛАДА-ЛОФТ</v>
      </c>
      <c r="U1246" s="517"/>
      <c r="V1246" s="517"/>
      <c r="W1246" s="517"/>
      <c r="AN1246" s="280"/>
      <c r="AO1246" s="280"/>
      <c r="AP1246" s="280"/>
      <c r="AQ1246" s="280"/>
      <c r="AR1246" s="280"/>
      <c r="AS1246" s="280"/>
      <c r="AT1246" s="280"/>
    </row>
    <row r="1247" spans="2:46" s="8" customFormat="1" ht="5.0999999999999996" customHeight="1">
      <c r="B1247" s="117"/>
      <c r="C1247" s="420"/>
      <c r="D1247" s="9"/>
      <c r="E1247" s="9"/>
      <c r="F1247" s="9"/>
      <c r="G1247" s="9"/>
      <c r="H1247" s="120"/>
      <c r="I1247" s="120"/>
      <c r="T1247" s="115"/>
      <c r="U1247" s="115"/>
      <c r="V1247" s="115"/>
      <c r="W1247" s="115"/>
      <c r="AN1247" s="280"/>
      <c r="AO1247" s="280"/>
      <c r="AP1247" s="280"/>
      <c r="AQ1247" s="280"/>
      <c r="AR1247" s="280"/>
      <c r="AS1247" s="280"/>
      <c r="AT1247" s="280"/>
    </row>
    <row r="1248" spans="2:46" s="8" customFormat="1" ht="12.75" customHeight="1">
      <c r="B1248" s="509" t="str">
        <f>IF($C$1="ENG","model","модель")</f>
        <v>модель</v>
      </c>
      <c r="C1248" s="122" t="str">
        <f>IF($C$1="ENG","cover:","покриття:")</f>
        <v>покриття:</v>
      </c>
      <c r="D1248" s="498" t="str">
        <f>IF($C$1="ENG","Verto-CELL","Verto-CELL")</f>
        <v>Verto-CELL</v>
      </c>
      <c r="E1248" s="500"/>
      <c r="F1248" s="498" t="str">
        <f>IF($C$1="ENG","UNI-MAT","UNI-MAT")</f>
        <v>UNI-MAT</v>
      </c>
      <c r="G1248" s="500"/>
      <c r="H1248" s="498" t="str">
        <f>IF($C$1="ENG","RESIST","RESIST")</f>
        <v>RESIST</v>
      </c>
      <c r="I1248" s="500"/>
      <c r="J1248" s="498" t="str">
        <f>IF($C$1="ENG","Verto LINE-3D","Verto LINE-3D")</f>
        <v>Verto LINE-3D</v>
      </c>
      <c r="K1248" s="500"/>
      <c r="L1248" s="498" t="str">
        <f>IF($C$1="ENG","ECO Shpon","ЕКО Шпон")</f>
        <v>ЕКО Шпон</v>
      </c>
      <c r="M1248" s="500"/>
      <c r="P1248" s="1"/>
      <c r="Q1248" s="1"/>
      <c r="T1248" s="115"/>
      <c r="U1248" s="115"/>
      <c r="V1248" s="115"/>
      <c r="W1248" s="115"/>
      <c r="AN1248" s="280"/>
      <c r="AO1248" s="280"/>
      <c r="AP1248" s="280"/>
      <c r="AQ1248" s="280"/>
      <c r="AR1248" s="280"/>
      <c r="AS1248" s="280"/>
      <c r="AT1248" s="280"/>
    </row>
    <row r="1249" spans="1:46" s="8" customFormat="1" ht="24.75" customHeight="1">
      <c r="B1249" s="510"/>
      <c r="C1249" s="123" t="str">
        <f>IF($C$1="ENG","filling:","заповнення:")</f>
        <v>заповнення:</v>
      </c>
      <c r="D1249" s="505" t="str">
        <f>IF($C$1="ENG","softwood","клеєний сосновий брус")</f>
        <v>клеєний сосновий брус</v>
      </c>
      <c r="E1249" s="506"/>
      <c r="F1249" s="505" t="str">
        <f>IF($C$1="ENG","softwood","клеєний сосновий брус")</f>
        <v>клеєний сосновий брус</v>
      </c>
      <c r="G1249" s="506"/>
      <c r="H1249" s="505" t="str">
        <f>IF($C$1="ENG","softwood","клеєний сосновий брус")</f>
        <v>клеєний сосновий брус</v>
      </c>
      <c r="I1249" s="506"/>
      <c r="J1249" s="505" t="str">
        <f>IF($C$1="ENG","softwood","клеєний сосновий брус")</f>
        <v>клеєний сосновий брус</v>
      </c>
      <c r="K1249" s="506"/>
      <c r="L1249" s="505" t="str">
        <f>IF($C$1="ENG","softwood","клеєний сосновий брус")</f>
        <v>клеєний сосновий брус</v>
      </c>
      <c r="M1249" s="506"/>
      <c r="P1249" s="1"/>
      <c r="Q1249" s="1"/>
      <c r="T1249" s="115"/>
      <c r="U1249" s="115"/>
      <c r="V1249" s="115"/>
      <c r="W1249" s="115"/>
      <c r="AD1249" s="383">
        <f>AD1251/AC1251-1</f>
        <v>0.13961038961038952</v>
      </c>
      <c r="AE1249" s="383">
        <f>AE1251/AD1251-1</f>
        <v>4.2735042735042805E-2</v>
      </c>
      <c r="AF1249" s="383">
        <f>AF1251/AE1251-1</f>
        <v>7.5136612021857951E-2</v>
      </c>
      <c r="AG1249" s="383">
        <f>AG1251/AF1251-1</f>
        <v>5.2096569250317692E-2</v>
      </c>
      <c r="AN1249" s="280"/>
      <c r="AO1249" s="280"/>
      <c r="AP1249" s="280"/>
      <c r="AQ1249" s="280"/>
      <c r="AR1249" s="280"/>
      <c r="AS1249" s="280"/>
      <c r="AT1249" s="280"/>
    </row>
    <row r="1250" spans="1:46" ht="12.75" customHeight="1">
      <c r="A1250" s="8"/>
      <c r="B1250" s="511"/>
      <c r="C1250" s="124" t="str">
        <f>IF($C$1="ENG","glazing:","скління:")</f>
        <v>скління:</v>
      </c>
      <c r="D1250" s="489" t="str">
        <f>IF($C$1="ENG","Satin","Сатин")</f>
        <v>Сатин</v>
      </c>
      <c r="E1250" s="492"/>
      <c r="F1250" s="489" t="str">
        <f>IF($C$1="ENG","Satin","Сатин")</f>
        <v>Сатин</v>
      </c>
      <c r="G1250" s="492"/>
      <c r="H1250" s="489" t="str">
        <f>IF($C$1="ENG","Satin","Сатин")</f>
        <v>Сатин</v>
      </c>
      <c r="I1250" s="492"/>
      <c r="J1250" s="489" t="str">
        <f>IF($C$1="ENG","Satin","Сатин")</f>
        <v>Сатин</v>
      </c>
      <c r="K1250" s="492"/>
      <c r="L1250" s="489" t="str">
        <f>IF($C$1="ENG","Satin","Сатин")</f>
        <v>Сатин</v>
      </c>
      <c r="M1250" s="492"/>
    </row>
    <row r="1251" spans="1:46" ht="35.1" customHeight="1">
      <c r="A1251" s="8"/>
      <c r="B1251" s="16" t="s">
        <v>50</v>
      </c>
      <c r="C1251" s="17"/>
      <c r="D1251" s="18">
        <f>IF(AC1251="","",(1-$W$2)*(AC1251/1.2))</f>
        <v>5133.3333333333339</v>
      </c>
      <c r="E1251" s="66">
        <f>IF($W$5=0.2,D1251*1.2,D1251)/$W$4</f>
        <v>6160.0000000000009</v>
      </c>
      <c r="F1251" s="18">
        <f>IF(AD1251="","",(1-$W$2)*(AD1251/1.2))</f>
        <v>5850</v>
      </c>
      <c r="G1251" s="66">
        <f>IF($W$5=0.2,F1251*1.2,F1251)/$W$4</f>
        <v>7020</v>
      </c>
      <c r="H1251" s="18">
        <f>IF(AE1251="","",(1-$W$2)*(AE1251/1.2))</f>
        <v>6100</v>
      </c>
      <c r="I1251" s="66">
        <f>IF($W$5=0.2,H1251*1.2,H1251)/$W$4</f>
        <v>7320</v>
      </c>
      <c r="J1251" s="18">
        <f>IF(AF1251="","",(1-$W$2)*(AF1251/1.2))</f>
        <v>6558.3333333333339</v>
      </c>
      <c r="K1251" s="66">
        <f>IF($W$5=0.2,J1251*1.2,J1251)/$W$4</f>
        <v>7870</v>
      </c>
      <c r="L1251" s="18">
        <f>IF(AG1251="","",(1-$W$2)*(AG1251/1.2))</f>
        <v>6900</v>
      </c>
      <c r="M1251" s="66">
        <f>IF($W$5=0.2,L1251*1.2,L1251)/$W$4</f>
        <v>8280</v>
      </c>
      <c r="N1251" s="104"/>
      <c r="R1251" s="104"/>
      <c r="T1251" s="104"/>
      <c r="U1251" s="20"/>
      <c r="V1251" s="104"/>
      <c r="W1251" s="20"/>
      <c r="X1251" s="104"/>
      <c r="Y1251" s="104"/>
      <c r="Z1251" s="104"/>
      <c r="AA1251" s="104"/>
      <c r="AB1251" s="104"/>
      <c r="AC1251" s="332">
        <v>6160</v>
      </c>
      <c r="AD1251" s="391">
        <v>7020</v>
      </c>
      <c r="AE1251" s="332">
        <v>7320</v>
      </c>
      <c r="AF1251" s="332">
        <v>7870</v>
      </c>
      <c r="AG1251" s="332">
        <v>8280</v>
      </c>
      <c r="AH1251" s="289">
        <v>6160</v>
      </c>
      <c r="AI1251" s="289">
        <f>AH1251/AC1251-1</f>
        <v>0</v>
      </c>
      <c r="AJ1251" s="289">
        <v>7020</v>
      </c>
      <c r="AK1251" s="289">
        <f>AJ1251/AD1251-1</f>
        <v>0</v>
      </c>
      <c r="AL1251" s="289">
        <v>7320</v>
      </c>
      <c r="AM1251" s="289">
        <f>AL1251/AE1251-1</f>
        <v>0</v>
      </c>
      <c r="AN1251" s="289">
        <v>7870</v>
      </c>
      <c r="AO1251" s="289">
        <f>AN1251/AF1251-1</f>
        <v>0</v>
      </c>
      <c r="AP1251" s="289">
        <v>8280</v>
      </c>
      <c r="AQ1251" s="289">
        <f>AP1251/AG1251-1</f>
        <v>0</v>
      </c>
    </row>
    <row r="1252" spans="1:46" ht="35.1" customHeight="1">
      <c r="A1252" s="8"/>
      <c r="B1252" s="23" t="s">
        <v>51</v>
      </c>
      <c r="C1252" s="24"/>
      <c r="D1252" s="25">
        <f>IF(AC1252="","",(1-$W$2)*(AC1252/1.2))</f>
        <v>5133.3333333333339</v>
      </c>
      <c r="E1252" s="69">
        <f>IF($W$5=0.2,D1252*1.2,D1252)/$W$4</f>
        <v>6160.0000000000009</v>
      </c>
      <c r="F1252" s="25">
        <f>IF(AD1252="","",(1-$W$2)*(AD1252/1.2))</f>
        <v>5850</v>
      </c>
      <c r="G1252" s="69">
        <f>IF($W$5=0.2,F1252*1.2,F1252)/$W$4</f>
        <v>7020</v>
      </c>
      <c r="H1252" s="25">
        <f>IF(AE1252="","",(1-$W$2)*(AE1252/1.2))</f>
        <v>6100</v>
      </c>
      <c r="I1252" s="69">
        <f>IF($W$5=0.2,H1252*1.2,H1252)/$W$4</f>
        <v>7320</v>
      </c>
      <c r="J1252" s="25">
        <f>IF(AF1252="","",(1-$W$2)*(AF1252/1.2))</f>
        <v>6558.3333333333339</v>
      </c>
      <c r="K1252" s="69">
        <f>IF($W$5=0.2,J1252*1.2,J1252)/$W$4</f>
        <v>7870</v>
      </c>
      <c r="L1252" s="25">
        <f>IF(AG1252="","",(1-$W$2)*(AG1252/1.2))</f>
        <v>6900</v>
      </c>
      <c r="M1252" s="69">
        <f>IF($W$5=0.2,L1252*1.2,L1252)/$W$4</f>
        <v>8280</v>
      </c>
      <c r="N1252" s="104"/>
      <c r="R1252" s="104"/>
      <c r="T1252" s="104"/>
      <c r="U1252" s="20"/>
      <c r="V1252" s="104"/>
      <c r="W1252" s="20"/>
      <c r="X1252" s="104"/>
      <c r="Y1252" s="104"/>
      <c r="Z1252" s="104"/>
      <c r="AA1252" s="104"/>
      <c r="AB1252" s="104"/>
      <c r="AC1252" s="332">
        <v>6160</v>
      </c>
      <c r="AD1252" s="391">
        <v>7020</v>
      </c>
      <c r="AE1252" s="332">
        <v>7320</v>
      </c>
      <c r="AF1252" s="332">
        <v>7870</v>
      </c>
      <c r="AG1252" s="332">
        <v>8280</v>
      </c>
      <c r="AH1252" s="289">
        <v>6160</v>
      </c>
      <c r="AI1252" s="289">
        <f>AH1252/AC1252-1</f>
        <v>0</v>
      </c>
      <c r="AJ1252" s="289">
        <v>7020</v>
      </c>
      <c r="AK1252" s="289">
        <f>AJ1252/AD1252-1</f>
        <v>0</v>
      </c>
      <c r="AL1252" s="289">
        <v>7320</v>
      </c>
      <c r="AM1252" s="289">
        <f>AL1252/AE1252-1</f>
        <v>0</v>
      </c>
      <c r="AN1252" s="289">
        <v>7870</v>
      </c>
      <c r="AO1252" s="289">
        <f>AN1252/AF1252-1</f>
        <v>0</v>
      </c>
      <c r="AP1252" s="289">
        <v>8280</v>
      </c>
      <c r="AQ1252" s="289">
        <f>AP1252/AG1252-1</f>
        <v>0</v>
      </c>
    </row>
    <row r="1253" spans="1:46">
      <c r="C1253" s="245"/>
      <c r="D1253" s="26"/>
      <c r="E1253" s="57"/>
      <c r="F1253" s="26"/>
      <c r="G1253" s="57"/>
      <c r="H1253" s="10"/>
      <c r="I1253" s="8"/>
      <c r="J1253" s="8"/>
      <c r="K1253" s="8"/>
    </row>
    <row r="1254" spans="1:46">
      <c r="B1254" s="212" t="str">
        <f>IF($C$1="ENG","For additonal charge:","Послуги за додаткову плату:")</f>
        <v>Послуги за додаткову плату:</v>
      </c>
      <c r="C1254" s="421"/>
      <c r="D1254" s="213"/>
      <c r="E1254" s="214"/>
      <c r="F1254" s="26"/>
      <c r="G1254" s="57"/>
      <c r="H1254" s="10"/>
      <c r="I1254" s="8"/>
      <c r="J1254" s="8"/>
      <c r="K1254" s="8"/>
    </row>
    <row r="1255" spans="1:46" ht="5.0999999999999996" customHeight="1">
      <c r="B1255" s="27"/>
      <c r="C1255" s="245"/>
      <c r="D1255" s="26"/>
      <c r="E1255" s="57"/>
      <c r="F1255" s="26"/>
      <c r="G1255" s="57"/>
      <c r="H1255" s="10"/>
      <c r="I1255" s="8"/>
      <c r="J1255" s="8"/>
      <c r="K1255" s="8"/>
    </row>
    <row r="1256" spans="1:46">
      <c r="B1256" s="514" t="str">
        <f>IF($C$1="ENG","door leaf with width 100","полотно розміром 100")</f>
        <v>полотно розміром 100</v>
      </c>
      <c r="C1256" s="515"/>
      <c r="D1256" s="410">
        <f t="shared" ref="D1256:D1267" si="184">IF(AC1256="","",(1-$W$2)*(AC1256/1.2))</f>
        <v>600</v>
      </c>
      <c r="E1256" s="92">
        <f t="shared" ref="E1256:E1266" si="185">IF($W$5=0.2,D1256*1.2,D1256)/$W$4</f>
        <v>720</v>
      </c>
      <c r="F1256" s="26"/>
      <c r="G1256" s="26"/>
      <c r="H1256" s="10"/>
      <c r="I1256" s="8"/>
      <c r="J1256" s="8"/>
      <c r="K1256" s="8"/>
      <c r="AC1256" s="289">
        <v>720</v>
      </c>
      <c r="AD1256" s="289">
        <v>720</v>
      </c>
      <c r="AE1256" s="289"/>
      <c r="AF1256" s="289"/>
      <c r="AG1256" s="289"/>
      <c r="AH1256" s="289"/>
      <c r="AI1256" s="289"/>
      <c r="AJ1256" s="289"/>
      <c r="AK1256" s="289"/>
      <c r="AL1256" s="289"/>
    </row>
    <row r="1257" spans="1:46">
      <c r="B1257" s="514" t="str">
        <f>IF($C$1="ENG","Ventilation cut","вентиляційний підріз")</f>
        <v>вентиляційний підріз</v>
      </c>
      <c r="C1257" s="515"/>
      <c r="D1257" s="405">
        <f t="shared" si="184"/>
        <v>141.66666666666669</v>
      </c>
      <c r="E1257" s="66">
        <f t="shared" si="185"/>
        <v>170.00000000000003</v>
      </c>
      <c r="F1257" s="26"/>
      <c r="G1257" s="26"/>
      <c r="I1257" s="59"/>
      <c r="J1257" s="28"/>
      <c r="AC1257" s="289">
        <v>170</v>
      </c>
      <c r="AD1257" s="289">
        <v>170</v>
      </c>
      <c r="AE1257" s="289"/>
      <c r="AF1257" s="289"/>
      <c r="AG1257" s="289"/>
      <c r="AH1257" s="289"/>
      <c r="AI1257" s="289"/>
      <c r="AJ1257" s="289"/>
      <c r="AK1257" s="289"/>
      <c r="AL1257" s="289"/>
    </row>
    <row r="1258" spans="1:46">
      <c r="B1258" s="501" t="str">
        <f>IF($C$1="ENG","glazing Graphite / Bronze","скло Графіт / Бронза")</f>
        <v>скло Графіт / Бронза</v>
      </c>
      <c r="C1258" s="502"/>
      <c r="D1258" s="407">
        <f t="shared" si="184"/>
        <v>458.33333333333337</v>
      </c>
      <c r="E1258" s="93">
        <f t="shared" si="185"/>
        <v>550</v>
      </c>
      <c r="F1258" s="26"/>
      <c r="G1258" s="26"/>
      <c r="H1258" s="5"/>
      <c r="AC1258" s="289">
        <v>550</v>
      </c>
      <c r="AD1258" s="289">
        <v>550</v>
      </c>
      <c r="AE1258" s="289"/>
      <c r="AF1258" s="289"/>
      <c r="AG1258" s="289"/>
      <c r="AH1258" s="289"/>
      <c r="AI1258" s="289"/>
      <c r="AJ1258" s="289"/>
      <c r="AK1258" s="289"/>
      <c r="AL1258" s="289"/>
    </row>
    <row r="1259" spans="1:46">
      <c r="B1259" s="501" t="str">
        <f>IF($C$1="ENG","door lock Soft","замок Soft")</f>
        <v>замок Soft</v>
      </c>
      <c r="C1259" s="502"/>
      <c r="D1259" s="407">
        <f t="shared" si="184"/>
        <v>458.33333333333337</v>
      </c>
      <c r="E1259" s="93">
        <f t="shared" si="185"/>
        <v>550</v>
      </c>
      <c r="F1259" s="26"/>
      <c r="G1259" s="26"/>
      <c r="H1259" s="5"/>
      <c r="AC1259" s="289">
        <v>550</v>
      </c>
      <c r="AD1259" s="289">
        <v>550</v>
      </c>
      <c r="AE1259" s="289"/>
      <c r="AF1259" s="289"/>
      <c r="AG1259" s="289"/>
      <c r="AH1259" s="289"/>
      <c r="AI1259" s="289"/>
      <c r="AJ1259" s="289"/>
      <c r="AK1259" s="289"/>
      <c r="AL1259" s="289"/>
    </row>
    <row r="1260" spans="1:46">
      <c r="B1260" s="501" t="str">
        <f>IF($C$1="ENG","door lock Soft black","замок Soft чорн.")</f>
        <v>замок Soft чорн.</v>
      </c>
      <c r="C1260" s="502"/>
      <c r="D1260" s="407">
        <f t="shared" ref="D1260" si="186">IF(AC1260="","",(1-$W$2)*(AC1260/1.2))</f>
        <v>566.66666666666674</v>
      </c>
      <c r="E1260" s="93">
        <f t="shared" ref="E1260" si="187">IF($W$5=0.2,D1260*1.2,D1260)/$W$4</f>
        <v>680.00000000000011</v>
      </c>
      <c r="F1260" s="26"/>
      <c r="G1260" s="26"/>
      <c r="H1260" s="5"/>
      <c r="AC1260" s="289">
        <v>680</v>
      </c>
      <c r="AD1260" s="289"/>
      <c r="AE1260" s="289"/>
      <c r="AF1260" s="289"/>
      <c r="AG1260" s="289"/>
      <c r="AH1260" s="289"/>
      <c r="AI1260" s="289"/>
      <c r="AJ1260" s="289"/>
      <c r="AK1260" s="289"/>
      <c r="AL1260" s="289"/>
    </row>
    <row r="1261" spans="1:46">
      <c r="B1261" s="501" t="str">
        <f>IF($C$1="ENG","door lock Magnet","замок Magnet")</f>
        <v>замок Magnet</v>
      </c>
      <c r="C1261" s="502"/>
      <c r="D1261" s="407">
        <f t="shared" si="184"/>
        <v>666.66666666666674</v>
      </c>
      <c r="E1261" s="93">
        <f t="shared" si="185"/>
        <v>800.00000000000011</v>
      </c>
      <c r="F1261" s="26"/>
      <c r="G1261" s="26"/>
      <c r="H1261" s="5"/>
      <c r="AC1261" s="289">
        <v>800</v>
      </c>
      <c r="AD1261" s="289">
        <v>800</v>
      </c>
      <c r="AE1261" s="289"/>
      <c r="AF1261" s="289"/>
      <c r="AG1261" s="289"/>
      <c r="AH1261" s="289"/>
      <c r="AI1261" s="289"/>
      <c r="AJ1261" s="289"/>
      <c r="AK1261" s="289"/>
      <c r="AL1261" s="289"/>
    </row>
    <row r="1262" spans="1:46">
      <c r="B1262" s="501" t="s">
        <v>76</v>
      </c>
      <c r="C1262" s="502"/>
      <c r="D1262" s="407">
        <f t="shared" si="184"/>
        <v>833.33333333333337</v>
      </c>
      <c r="E1262" s="93">
        <f t="shared" si="185"/>
        <v>1000</v>
      </c>
      <c r="F1262" s="26"/>
      <c r="G1262" s="26"/>
      <c r="H1262" s="5"/>
      <c r="AC1262" s="289">
        <v>1000</v>
      </c>
      <c r="AD1262" s="289"/>
      <c r="AE1262" s="289"/>
      <c r="AF1262" s="289"/>
      <c r="AG1262" s="289"/>
      <c r="AH1262" s="289"/>
      <c r="AI1262" s="289"/>
      <c r="AJ1262" s="289"/>
      <c r="AK1262" s="289"/>
      <c r="AL1262" s="289"/>
    </row>
    <row r="1263" spans="1:46">
      <c r="B1263" s="501" t="str">
        <f>IF($C$1="ENG","door handle-lock (for sliding doors)","ручка-замок (для дверей купе)")</f>
        <v>ручка-замок (для дверей купе)</v>
      </c>
      <c r="C1263" s="502"/>
      <c r="D1263" s="405">
        <f t="shared" si="184"/>
        <v>466.66666666666669</v>
      </c>
      <c r="E1263" s="93">
        <f t="shared" si="185"/>
        <v>560</v>
      </c>
      <c r="F1263" s="26"/>
      <c r="G1263" s="26"/>
      <c r="I1263" s="11"/>
      <c r="J1263" s="11"/>
      <c r="K1263" s="19"/>
      <c r="AC1263" s="289">
        <v>560</v>
      </c>
      <c r="AD1263" s="289">
        <v>560</v>
      </c>
      <c r="AE1263" s="289"/>
      <c r="AF1263" s="289"/>
      <c r="AG1263" s="289"/>
      <c r="AH1263" s="289"/>
      <c r="AI1263" s="289"/>
      <c r="AJ1263" s="289"/>
      <c r="AK1263" s="289"/>
      <c r="AL1263" s="289"/>
    </row>
    <row r="1264" spans="1:46">
      <c r="B1264" s="501" t="str">
        <f>IF($C$1="ENG","cylinder incert","циліндр несиметричний")</f>
        <v>циліндр несиметричний</v>
      </c>
      <c r="C1264" s="502"/>
      <c r="D1264" s="405">
        <f t="shared" si="184"/>
        <v>316.66666666666669</v>
      </c>
      <c r="E1264" s="93">
        <f t="shared" si="185"/>
        <v>380</v>
      </c>
      <c r="F1264" s="26"/>
      <c r="G1264" s="26"/>
      <c r="AC1264" s="289">
        <v>380</v>
      </c>
      <c r="AD1264" s="289">
        <v>380</v>
      </c>
      <c r="AE1264" s="289"/>
      <c r="AF1264" s="289"/>
      <c r="AG1264" s="289"/>
      <c r="AH1264" s="289"/>
      <c r="AI1264" s="289"/>
      <c r="AJ1264" s="289"/>
      <c r="AK1264" s="289"/>
      <c r="AL1264" s="289"/>
    </row>
    <row r="1265" spans="2:38">
      <c r="B1265" s="501" t="str">
        <f>IF($C$1="ENG","door hindge Prestige (1 unit)","завіса Prestige (1 шт)")</f>
        <v>завіса Prestige (1 шт)</v>
      </c>
      <c r="C1265" s="502"/>
      <c r="D1265" s="408">
        <f t="shared" si="184"/>
        <v>216.66666666666669</v>
      </c>
      <c r="E1265" s="93">
        <f t="shared" si="185"/>
        <v>260</v>
      </c>
      <c r="F1265" s="26"/>
      <c r="G1265" s="26"/>
      <c r="AC1265" s="289">
        <v>260</v>
      </c>
      <c r="AD1265" s="289">
        <v>260</v>
      </c>
      <c r="AE1265" s="289"/>
      <c r="AF1265" s="289"/>
      <c r="AG1265" s="289"/>
      <c r="AH1265" s="289"/>
      <c r="AI1265" s="289"/>
      <c r="AJ1265" s="289"/>
      <c r="AK1265" s="289"/>
      <c r="AL1265" s="289"/>
    </row>
    <row r="1266" spans="2:38">
      <c r="B1266" s="501" t="str">
        <f>IF($C$1="ENG","door hinge caps (1 set)","накладка на завіси (1 к-т)")</f>
        <v>накладка на завіси (1 к-т)</v>
      </c>
      <c r="C1266" s="502"/>
      <c r="D1266" s="408">
        <f t="shared" si="184"/>
        <v>66.666666666666671</v>
      </c>
      <c r="E1266" s="93">
        <f t="shared" si="185"/>
        <v>80</v>
      </c>
      <c r="F1266" s="26"/>
      <c r="G1266" s="26"/>
      <c r="AC1266" s="289">
        <v>80</v>
      </c>
      <c r="AD1266" s="289">
        <v>80</v>
      </c>
      <c r="AE1266" s="289"/>
      <c r="AF1266" s="289"/>
      <c r="AG1266" s="289"/>
      <c r="AH1266" s="289"/>
      <c r="AI1266" s="289"/>
      <c r="AJ1266" s="289"/>
      <c r="AK1266" s="289"/>
      <c r="AL1266" s="289"/>
    </row>
    <row r="1267" spans="2:38">
      <c r="B1267" s="501" t="str">
        <f>IF($C$1="ENG","door handle","дверна ручка")</f>
        <v>дверна ручка</v>
      </c>
      <c r="C1267" s="502"/>
      <c r="D1267" s="409" t="str">
        <f t="shared" si="184"/>
        <v/>
      </c>
      <c r="E1267" s="247" t="str">
        <f>IF($C$1="ENG","see Handles Price","див. Таблицю Ручки")</f>
        <v>див. Таблицю Ручки</v>
      </c>
      <c r="F1267" s="26"/>
      <c r="G1267" s="26"/>
      <c r="AC1267" s="289"/>
      <c r="AD1267" s="289"/>
      <c r="AE1267" s="289"/>
      <c r="AF1267" s="289"/>
      <c r="AG1267" s="289"/>
      <c r="AH1267" s="289"/>
      <c r="AI1267" s="289"/>
      <c r="AJ1267" s="289"/>
      <c r="AK1267" s="289"/>
      <c r="AL1267" s="289"/>
    </row>
    <row r="1268" spans="2:38" ht="14.25" customHeight="1">
      <c r="C1268" s="245"/>
      <c r="D1268" s="26"/>
      <c r="E1268" s="26"/>
      <c r="F1268" s="26"/>
      <c r="G1268" s="26"/>
      <c r="H1268" s="5"/>
      <c r="U1268" s="503" t="str">
        <f>IF($C$1="ENG",CONCATENATE("down to: ",B1318),CONCATENATE("вниз до: ",B1318))</f>
        <v>вниз до: Полотна збірні: ТІАНА</v>
      </c>
      <c r="V1268" s="503"/>
      <c r="W1268" s="503"/>
    </row>
    <row r="1269" spans="2:38" ht="14.25" customHeight="1">
      <c r="C1269" s="245"/>
      <c r="D1269" s="26"/>
      <c r="E1269" s="26"/>
      <c r="F1269" s="26"/>
      <c r="G1269" s="26"/>
      <c r="H1269" s="5"/>
    </row>
    <row r="1270" spans="2:38" ht="14.25" customHeight="1">
      <c r="C1270" s="245"/>
      <c r="D1270" s="26"/>
      <c r="E1270" s="26"/>
      <c r="F1270" s="26"/>
      <c r="G1270" s="26"/>
      <c r="H1270" s="5"/>
    </row>
    <row r="1271" spans="2:38" ht="14.25" customHeight="1">
      <c r="C1271" s="245"/>
      <c r="D1271" s="26"/>
      <c r="E1271" s="26"/>
      <c r="F1271" s="26"/>
      <c r="G1271" s="26"/>
      <c r="H1271" s="5"/>
    </row>
    <row r="1272" spans="2:38" ht="14.25" customHeight="1">
      <c r="C1272" s="245"/>
      <c r="D1272" s="26"/>
      <c r="E1272" s="26"/>
      <c r="F1272" s="26"/>
      <c r="G1272" s="26"/>
      <c r="H1272" s="5"/>
    </row>
    <row r="1273" spans="2:38" ht="14.25" customHeight="1">
      <c r="C1273" s="245"/>
      <c r="D1273" s="26"/>
      <c r="E1273" s="26"/>
      <c r="F1273" s="26"/>
      <c r="G1273" s="26"/>
      <c r="H1273" s="5"/>
    </row>
    <row r="1274" spans="2:38" ht="14.25" customHeight="1">
      <c r="C1274" s="245"/>
      <c r="D1274" s="26"/>
      <c r="E1274" s="26"/>
      <c r="F1274" s="26"/>
      <c r="G1274" s="26"/>
      <c r="H1274" s="5"/>
    </row>
    <row r="1275" spans="2:38" ht="14.25" customHeight="1">
      <c r="C1275" s="245"/>
      <c r="D1275" s="26"/>
      <c r="E1275" s="26"/>
      <c r="F1275" s="26"/>
      <c r="G1275" s="26"/>
      <c r="H1275" s="5"/>
    </row>
    <row r="1276" spans="2:38" ht="14.25" customHeight="1">
      <c r="C1276" s="245"/>
      <c r="D1276" s="26"/>
      <c r="E1276" s="26"/>
      <c r="F1276" s="26"/>
      <c r="G1276" s="26"/>
      <c r="H1276" s="5"/>
    </row>
    <row r="1277" spans="2:38" ht="14.25" customHeight="1">
      <c r="C1277" s="245"/>
      <c r="D1277" s="26"/>
      <c r="E1277" s="26"/>
      <c r="F1277" s="26"/>
      <c r="G1277" s="26"/>
      <c r="H1277" s="5"/>
    </row>
    <row r="1278" spans="2:38" ht="14.25" customHeight="1">
      <c r="C1278" s="245"/>
      <c r="D1278" s="26"/>
      <c r="E1278" s="26"/>
      <c r="F1278" s="26"/>
      <c r="G1278" s="26"/>
      <c r="H1278" s="5"/>
    </row>
    <row r="1279" spans="2:38" ht="14.25" customHeight="1">
      <c r="C1279" s="245"/>
      <c r="D1279" s="26"/>
      <c r="E1279" s="26"/>
      <c r="F1279" s="26"/>
      <c r="G1279" s="26"/>
      <c r="H1279" s="5"/>
    </row>
    <row r="1280" spans="2:38" ht="14.25" customHeight="1">
      <c r="C1280" s="245"/>
      <c r="D1280" s="26"/>
      <c r="E1280" s="26"/>
      <c r="F1280" s="26"/>
      <c r="G1280" s="26"/>
      <c r="H1280" s="5"/>
    </row>
    <row r="1281" spans="3:8" ht="14.25" customHeight="1">
      <c r="C1281" s="245"/>
      <c r="D1281" s="26"/>
      <c r="E1281" s="26"/>
      <c r="F1281" s="26"/>
      <c r="G1281" s="26"/>
      <c r="H1281" s="5"/>
    </row>
    <row r="1282" spans="3:8" ht="14.25" customHeight="1">
      <c r="C1282" s="245"/>
      <c r="D1282" s="26"/>
      <c r="E1282" s="26"/>
      <c r="F1282" s="26"/>
      <c r="G1282" s="26"/>
      <c r="H1282" s="5"/>
    </row>
    <row r="1283" spans="3:8" ht="14.25" customHeight="1">
      <c r="C1283" s="245"/>
      <c r="D1283" s="26"/>
      <c r="E1283" s="26"/>
      <c r="F1283" s="26"/>
      <c r="G1283" s="26"/>
      <c r="H1283" s="5"/>
    </row>
    <row r="1284" spans="3:8" ht="14.25" customHeight="1">
      <c r="C1284" s="245"/>
      <c r="D1284" s="26"/>
      <c r="E1284" s="26"/>
      <c r="F1284" s="26"/>
      <c r="G1284" s="26"/>
      <c r="H1284" s="5"/>
    </row>
    <row r="1285" spans="3:8" ht="14.25" customHeight="1">
      <c r="C1285" s="245"/>
      <c r="D1285" s="26"/>
      <c r="E1285" s="26"/>
      <c r="F1285" s="26"/>
      <c r="G1285" s="26"/>
      <c r="H1285" s="5"/>
    </row>
    <row r="1286" spans="3:8" ht="14.25" customHeight="1">
      <c r="C1286" s="245"/>
      <c r="D1286" s="26"/>
      <c r="E1286" s="26"/>
      <c r="F1286" s="26"/>
      <c r="G1286" s="26"/>
      <c r="H1286" s="5"/>
    </row>
    <row r="1287" spans="3:8" ht="14.25" customHeight="1">
      <c r="C1287" s="245"/>
      <c r="D1287" s="26"/>
      <c r="E1287" s="26"/>
      <c r="F1287" s="26"/>
      <c r="G1287" s="26"/>
      <c r="H1287" s="5"/>
    </row>
    <row r="1288" spans="3:8" ht="14.25" customHeight="1">
      <c r="C1288" s="245"/>
      <c r="D1288" s="26"/>
      <c r="E1288" s="26"/>
      <c r="F1288" s="26"/>
      <c r="G1288" s="26"/>
      <c r="H1288" s="5"/>
    </row>
    <row r="1289" spans="3:8" ht="14.25" customHeight="1">
      <c r="C1289" s="245"/>
      <c r="D1289" s="26"/>
      <c r="E1289" s="26"/>
      <c r="F1289" s="26"/>
      <c r="G1289" s="26"/>
      <c r="H1289" s="5"/>
    </row>
    <row r="1290" spans="3:8" ht="14.25" customHeight="1">
      <c r="C1290" s="245"/>
      <c r="D1290" s="26"/>
      <c r="E1290" s="26"/>
      <c r="F1290" s="26"/>
      <c r="G1290" s="26"/>
      <c r="H1290" s="5"/>
    </row>
    <row r="1291" spans="3:8" ht="14.25" customHeight="1">
      <c r="C1291" s="245"/>
      <c r="D1291" s="26"/>
      <c r="E1291" s="26"/>
      <c r="F1291" s="26"/>
      <c r="G1291" s="26"/>
      <c r="H1291" s="5"/>
    </row>
    <row r="1292" spans="3:8" ht="14.25" customHeight="1">
      <c r="C1292" s="245"/>
      <c r="D1292" s="26"/>
      <c r="E1292" s="26"/>
      <c r="F1292" s="26"/>
      <c r="G1292" s="26"/>
      <c r="H1292" s="5"/>
    </row>
    <row r="1293" spans="3:8" ht="14.25" customHeight="1">
      <c r="C1293" s="245"/>
      <c r="D1293" s="26"/>
      <c r="E1293" s="26"/>
      <c r="F1293" s="26"/>
      <c r="G1293" s="26"/>
      <c r="H1293" s="5"/>
    </row>
    <row r="1294" spans="3:8" ht="14.25" customHeight="1">
      <c r="C1294" s="245"/>
      <c r="D1294" s="26"/>
      <c r="E1294" s="26"/>
      <c r="F1294" s="26"/>
      <c r="G1294" s="26"/>
      <c r="H1294" s="5"/>
    </row>
    <row r="1295" spans="3:8" ht="14.25" customHeight="1">
      <c r="C1295" s="245"/>
      <c r="D1295" s="26"/>
      <c r="E1295" s="26"/>
      <c r="F1295" s="26"/>
      <c r="G1295" s="26"/>
      <c r="H1295" s="5"/>
    </row>
    <row r="1296" spans="3:8" ht="14.25" customHeight="1">
      <c r="C1296" s="245"/>
      <c r="D1296" s="26"/>
      <c r="E1296" s="26"/>
      <c r="F1296" s="26"/>
      <c r="G1296" s="26"/>
      <c r="H1296" s="5"/>
    </row>
    <row r="1297" spans="3:8" ht="14.25" customHeight="1">
      <c r="C1297" s="245"/>
      <c r="D1297" s="26"/>
      <c r="E1297" s="26"/>
      <c r="F1297" s="26"/>
      <c r="G1297" s="26"/>
      <c r="H1297" s="5"/>
    </row>
    <row r="1298" spans="3:8" ht="14.25" customHeight="1">
      <c r="C1298" s="245"/>
      <c r="D1298" s="26"/>
      <c r="E1298" s="26"/>
      <c r="F1298" s="26"/>
      <c r="G1298" s="26"/>
      <c r="H1298" s="5"/>
    </row>
    <row r="1299" spans="3:8" ht="14.25" customHeight="1">
      <c r="C1299" s="245"/>
      <c r="D1299" s="26"/>
      <c r="E1299" s="26"/>
      <c r="F1299" s="26"/>
      <c r="G1299" s="26"/>
      <c r="H1299" s="5"/>
    </row>
    <row r="1300" spans="3:8" ht="14.25" customHeight="1">
      <c r="C1300" s="245"/>
      <c r="D1300" s="26"/>
      <c r="E1300" s="26"/>
      <c r="F1300" s="26"/>
      <c r="G1300" s="26"/>
      <c r="H1300" s="5"/>
    </row>
    <row r="1301" spans="3:8" ht="14.25" customHeight="1">
      <c r="C1301" s="245"/>
      <c r="D1301" s="26"/>
      <c r="E1301" s="26"/>
      <c r="F1301" s="26"/>
      <c r="G1301" s="26"/>
      <c r="H1301" s="5"/>
    </row>
    <row r="1302" spans="3:8" ht="14.25" customHeight="1">
      <c r="C1302" s="245"/>
      <c r="D1302" s="26"/>
      <c r="E1302" s="26"/>
      <c r="F1302" s="26"/>
      <c r="G1302" s="26"/>
      <c r="H1302" s="5"/>
    </row>
    <row r="1303" spans="3:8" ht="14.25" customHeight="1">
      <c r="C1303" s="245"/>
      <c r="D1303" s="26"/>
      <c r="E1303" s="26"/>
      <c r="F1303" s="26"/>
      <c r="G1303" s="26"/>
      <c r="H1303" s="5"/>
    </row>
    <row r="1304" spans="3:8" ht="14.25" customHeight="1">
      <c r="C1304" s="245"/>
      <c r="D1304" s="26"/>
      <c r="E1304" s="26"/>
      <c r="F1304" s="26"/>
      <c r="G1304" s="26"/>
      <c r="H1304" s="5"/>
    </row>
    <row r="1305" spans="3:8" ht="14.25" customHeight="1">
      <c r="C1305" s="245"/>
      <c r="D1305" s="26"/>
      <c r="E1305" s="26"/>
      <c r="F1305" s="26"/>
      <c r="G1305" s="26"/>
      <c r="H1305" s="5"/>
    </row>
    <row r="1306" spans="3:8" ht="14.25" customHeight="1">
      <c r="C1306" s="245"/>
      <c r="D1306" s="26"/>
      <c r="E1306" s="26"/>
      <c r="F1306" s="26"/>
      <c r="G1306" s="26"/>
      <c r="H1306" s="5"/>
    </row>
    <row r="1307" spans="3:8" ht="14.25" customHeight="1">
      <c r="C1307" s="245"/>
      <c r="D1307" s="26"/>
      <c r="E1307" s="26"/>
      <c r="F1307" s="26"/>
      <c r="G1307" s="26"/>
      <c r="H1307" s="5"/>
    </row>
    <row r="1308" spans="3:8" ht="14.25" customHeight="1">
      <c r="C1308" s="245"/>
      <c r="D1308" s="26"/>
      <c r="E1308" s="26"/>
      <c r="F1308" s="26"/>
      <c r="G1308" s="26"/>
      <c r="H1308" s="5"/>
    </row>
    <row r="1309" spans="3:8" ht="14.25" customHeight="1">
      <c r="C1309" s="245"/>
      <c r="D1309" s="26"/>
      <c r="E1309" s="26"/>
      <c r="F1309" s="26"/>
      <c r="G1309" s="26"/>
      <c r="H1309" s="5"/>
    </row>
    <row r="1310" spans="3:8" ht="14.25" customHeight="1">
      <c r="C1310" s="245"/>
      <c r="D1310" s="26"/>
      <c r="E1310" s="26"/>
      <c r="F1310" s="26"/>
      <c r="G1310" s="26"/>
      <c r="H1310" s="5"/>
    </row>
    <row r="1311" spans="3:8" ht="14.25" customHeight="1">
      <c r="C1311" s="245"/>
      <c r="D1311" s="26"/>
      <c r="E1311" s="26"/>
      <c r="F1311" s="26"/>
      <c r="G1311" s="26"/>
      <c r="H1311" s="5"/>
    </row>
    <row r="1312" spans="3:8" ht="14.25" customHeight="1">
      <c r="C1312" s="245"/>
      <c r="D1312" s="26"/>
      <c r="E1312" s="26"/>
      <c r="F1312" s="26"/>
      <c r="G1312" s="26"/>
      <c r="H1312" s="5"/>
    </row>
    <row r="1313" spans="1:46" ht="14.25" customHeight="1">
      <c r="C1313" s="245"/>
      <c r="D1313" s="26"/>
      <c r="E1313" s="26"/>
      <c r="F1313" s="26"/>
      <c r="G1313" s="26"/>
      <c r="H1313" s="5"/>
    </row>
    <row r="1314" spans="1:46" ht="14.25" customHeight="1">
      <c r="C1314" s="245"/>
      <c r="D1314" s="26"/>
      <c r="E1314" s="26"/>
      <c r="F1314" s="26"/>
      <c r="G1314" s="26"/>
      <c r="H1314" s="5"/>
    </row>
    <row r="1315" spans="1:46" ht="14.25" customHeight="1">
      <c r="C1315" s="245"/>
      <c r="D1315" s="26"/>
      <c r="E1315" s="26"/>
      <c r="F1315" s="26"/>
      <c r="G1315" s="26"/>
      <c r="H1315" s="5"/>
    </row>
    <row r="1316" spans="1:46" ht="14.25" customHeight="1">
      <c r="C1316" s="245"/>
      <c r="D1316" s="26"/>
      <c r="E1316" s="26"/>
      <c r="F1316" s="26"/>
      <c r="G1316" s="26"/>
      <c r="H1316" s="5"/>
    </row>
    <row r="1317" spans="1:46" ht="14.25" customHeight="1">
      <c r="C1317" s="245"/>
      <c r="D1317" s="26"/>
      <c r="E1317" s="26"/>
      <c r="F1317" s="26"/>
      <c r="G1317" s="26"/>
      <c r="H1317" s="5"/>
    </row>
    <row r="1318" spans="1:46" s="8" customFormat="1">
      <c r="B1318" s="494" t="str">
        <f>TITLE!C26</f>
        <v>Полотна збірні: ТІАНА</v>
      </c>
      <c r="C1318" s="494"/>
      <c r="D1318" s="118"/>
      <c r="E1318" s="118"/>
      <c r="F1318" s="118"/>
      <c r="G1318" s="118"/>
      <c r="H1318" s="496"/>
      <c r="I1318" s="496"/>
      <c r="J1318" s="121"/>
      <c r="K1318" s="121"/>
      <c r="L1318" s="121"/>
      <c r="M1318" s="121"/>
      <c r="N1318" s="121"/>
      <c r="O1318" s="121"/>
      <c r="P1318" s="121"/>
      <c r="Q1318" s="121"/>
      <c r="R1318" s="121"/>
      <c r="S1318" s="121"/>
      <c r="T1318" s="517" t="str">
        <f>IF($C$1="ENG",CONCATENATE("up to: ",B1246),CONCATENATE("вгору до: ",B1246))</f>
        <v>вгору до: Полотна збірні: ЛІНДА</v>
      </c>
      <c r="U1318" s="517"/>
      <c r="V1318" s="517"/>
      <c r="W1318" s="517"/>
      <c r="AN1318" s="280"/>
      <c r="AO1318" s="280"/>
      <c r="AP1318" s="280"/>
      <c r="AQ1318" s="280"/>
      <c r="AR1318" s="280"/>
      <c r="AS1318" s="280"/>
      <c r="AT1318" s="280"/>
    </row>
    <row r="1319" spans="1:46" s="8" customFormat="1" ht="5.0999999999999996" customHeight="1">
      <c r="B1319" s="117"/>
      <c r="C1319" s="420"/>
      <c r="D1319" s="9"/>
      <c r="E1319" s="9"/>
      <c r="F1319" s="9"/>
      <c r="G1319" s="9"/>
      <c r="H1319" s="120"/>
      <c r="I1319" s="120"/>
      <c r="T1319" s="115"/>
      <c r="U1319" s="115"/>
      <c r="V1319" s="115"/>
      <c r="W1319" s="115"/>
      <c r="AN1319" s="280"/>
      <c r="AO1319" s="280"/>
      <c r="AP1319" s="280"/>
      <c r="AQ1319" s="280"/>
      <c r="AR1319" s="280"/>
      <c r="AS1319" s="280"/>
      <c r="AT1319" s="280"/>
    </row>
    <row r="1320" spans="1:46" s="8" customFormat="1" ht="12.75" customHeight="1">
      <c r="B1320" s="509" t="str">
        <f>IF($C$1="ENG","model","модель")</f>
        <v>модель</v>
      </c>
      <c r="C1320" s="122" t="str">
        <f>IF($C$1="ENG","cover:","покриття:")</f>
        <v>покриття:</v>
      </c>
      <c r="D1320" s="498" t="str">
        <f>IF($C$1="ENG","Verto-CELL","Verto-CELL")</f>
        <v>Verto-CELL</v>
      </c>
      <c r="E1320" s="500"/>
      <c r="F1320" s="498" t="str">
        <f>IF($C$1="ENG","UNI-MAT","UNI-MAT")</f>
        <v>UNI-MAT</v>
      </c>
      <c r="G1320" s="500"/>
      <c r="H1320" s="498" t="str">
        <f>IF($C$1="ENG","RESIST","RESIST")</f>
        <v>RESIST</v>
      </c>
      <c r="I1320" s="500"/>
      <c r="J1320" s="498" t="str">
        <f>IF($C$1="ENG","Verto LINE-3D","Verto LINE-3D")</f>
        <v>Verto LINE-3D</v>
      </c>
      <c r="K1320" s="500"/>
      <c r="L1320" s="498" t="str">
        <f>IF($C$1="ENG","ECO Shpon","ЕКО Шпон")</f>
        <v>ЕКО Шпон</v>
      </c>
      <c r="M1320" s="500"/>
      <c r="P1320" s="1"/>
      <c r="Q1320" s="1"/>
      <c r="T1320" s="115"/>
      <c r="U1320" s="115"/>
      <c r="V1320" s="115"/>
      <c r="W1320" s="115"/>
      <c r="AN1320" s="280"/>
      <c r="AO1320" s="280"/>
      <c r="AP1320" s="280"/>
      <c r="AQ1320" s="280"/>
      <c r="AR1320" s="280"/>
      <c r="AS1320" s="280"/>
      <c r="AT1320" s="280"/>
    </row>
    <row r="1321" spans="1:46" s="8" customFormat="1" ht="24.75" customHeight="1">
      <c r="B1321" s="510"/>
      <c r="C1321" s="123" t="str">
        <f>IF($C$1="ENG","filling:","заповнення:")</f>
        <v>заповнення:</v>
      </c>
      <c r="D1321" s="505" t="str">
        <f>IF($C$1="ENG","softwood","клеєний сосновий брус")</f>
        <v>клеєний сосновий брус</v>
      </c>
      <c r="E1321" s="506"/>
      <c r="F1321" s="505" t="str">
        <f>IF($C$1="ENG","softwood","клеєний сосновий брус")</f>
        <v>клеєний сосновий брус</v>
      </c>
      <c r="G1321" s="506"/>
      <c r="H1321" s="505" t="str">
        <f>IF($C$1="ENG","softwood","клеєний сосновий брус")</f>
        <v>клеєний сосновий брус</v>
      </c>
      <c r="I1321" s="506"/>
      <c r="J1321" s="505" t="str">
        <f>IF($C$1="ENG","softwood","клеєний сосновий брус")</f>
        <v>клеєний сосновий брус</v>
      </c>
      <c r="K1321" s="506"/>
      <c r="L1321" s="505" t="str">
        <f>IF($C$1="ENG","softwood","клеєний сосновий брус")</f>
        <v>клеєний сосновий брус</v>
      </c>
      <c r="M1321" s="506"/>
      <c r="P1321" s="1"/>
      <c r="Q1321" s="1"/>
      <c r="T1321" s="115"/>
      <c r="U1321" s="115"/>
      <c r="V1321" s="115"/>
      <c r="W1321" s="115"/>
      <c r="AD1321" s="383">
        <f>AD1323/AC1323-1</f>
        <v>0.12812960235640647</v>
      </c>
      <c r="AE1321" s="383">
        <f>AE1323/AD1323-1</f>
        <v>3.0026109660574507E-2</v>
      </c>
      <c r="AF1321" s="383">
        <f>AF1323/AE1323-1</f>
        <v>7.3510773130545104E-2</v>
      </c>
      <c r="AG1321" s="383">
        <f>AG1323/AF1323-1</f>
        <v>4.7225501770956413E-2</v>
      </c>
      <c r="AH1321" s="8">
        <v>6060</v>
      </c>
      <c r="AI1321" s="8">
        <v>7040</v>
      </c>
      <c r="AJ1321" s="8">
        <v>7560</v>
      </c>
      <c r="AK1321" s="8">
        <v>7920</v>
      </c>
      <c r="AN1321" s="280"/>
      <c r="AO1321" s="280"/>
      <c r="AP1321" s="280"/>
      <c r="AQ1321" s="280"/>
      <c r="AR1321" s="280"/>
      <c r="AS1321" s="280"/>
      <c r="AT1321" s="280"/>
    </row>
    <row r="1322" spans="1:46" ht="12.75" customHeight="1">
      <c r="A1322" s="8"/>
      <c r="B1322" s="511"/>
      <c r="C1322" s="124" t="str">
        <f>IF($C$1="ENG","glazing:","скління:")</f>
        <v>скління:</v>
      </c>
      <c r="D1322" s="489" t="str">
        <f>IF($C$1="ENG","Satin","Сатин")</f>
        <v>Сатин</v>
      </c>
      <c r="E1322" s="492"/>
      <c r="F1322" s="489" t="str">
        <f>IF($C$1="ENG","Satin","Сатин")</f>
        <v>Сатин</v>
      </c>
      <c r="G1322" s="492"/>
      <c r="H1322" s="489" t="str">
        <f>IF($C$1="ENG","Satin","Сатин")</f>
        <v>Сатин</v>
      </c>
      <c r="I1322" s="492"/>
      <c r="J1322" s="489" t="str">
        <f>IF($C$1="ENG","Satin","Сатин")</f>
        <v>Сатин</v>
      </c>
      <c r="K1322" s="492"/>
      <c r="L1322" s="489" t="str">
        <f>IF($C$1="ENG","Satin","Сатин")</f>
        <v>Сатин</v>
      </c>
      <c r="M1322" s="492"/>
    </row>
    <row r="1323" spans="1:46" ht="35.1" customHeight="1">
      <c r="A1323" s="8"/>
      <c r="B1323" s="16" t="s">
        <v>50</v>
      </c>
      <c r="C1323" s="17"/>
      <c r="D1323" s="18">
        <f>IF(AC1323="","",(1-$W$2)*(AC1323/1.2))</f>
        <v>5658.3333333333339</v>
      </c>
      <c r="E1323" s="66">
        <f>IF($W$5=0.2,D1323*1.2,D1323)/$W$4</f>
        <v>6790.0000000000009</v>
      </c>
      <c r="F1323" s="18">
        <f>IF(AD1323="","",(1-$W$2)*(AD1323/1.2))</f>
        <v>6383.3333333333339</v>
      </c>
      <c r="G1323" s="66">
        <f>IF($W$5=0.2,F1323*1.2,F1323)/$W$4</f>
        <v>7660</v>
      </c>
      <c r="H1323" s="18">
        <f>IF(AE1323="","",(1-$W$2)*(AE1323/1.2))</f>
        <v>6575</v>
      </c>
      <c r="I1323" s="66">
        <f>IF($W$5=0.2,H1323*1.2,H1323)/$W$4</f>
        <v>7890</v>
      </c>
      <c r="J1323" s="18">
        <f>IF(AF1323="","",(1-$W$2)*(AF1323/1.2))</f>
        <v>7058.3333333333339</v>
      </c>
      <c r="K1323" s="66">
        <f>IF($W$5=0.2,J1323*1.2,J1323)/$W$4</f>
        <v>8470</v>
      </c>
      <c r="L1323" s="18">
        <f>IF(AG1323="","",(1-$W$2)*(AG1323/1.2))</f>
        <v>7391.666666666667</v>
      </c>
      <c r="M1323" s="66">
        <f>IF($W$5=0.2,L1323*1.2,L1323)/$W$4</f>
        <v>8870</v>
      </c>
      <c r="N1323" s="104"/>
      <c r="R1323" s="104"/>
      <c r="T1323" s="104"/>
      <c r="U1323" s="20"/>
      <c r="V1323" s="104"/>
      <c r="W1323" s="20"/>
      <c r="X1323" s="104"/>
      <c r="Y1323" s="104"/>
      <c r="Z1323" s="104"/>
      <c r="AA1323" s="104"/>
      <c r="AB1323" s="104"/>
      <c r="AC1323" s="332">
        <v>6790</v>
      </c>
      <c r="AD1323" s="391">
        <v>7660</v>
      </c>
      <c r="AE1323" s="332">
        <v>7890</v>
      </c>
      <c r="AF1323" s="332">
        <v>8470</v>
      </c>
      <c r="AG1323" s="332">
        <v>8870</v>
      </c>
      <c r="AH1323" s="289">
        <v>6790</v>
      </c>
      <c r="AI1323" s="289">
        <f>AH1323/AC1323-1</f>
        <v>0</v>
      </c>
      <c r="AJ1323" s="289">
        <v>7660</v>
      </c>
      <c r="AK1323" s="289">
        <f>AJ1323/AD1323-1</f>
        <v>0</v>
      </c>
      <c r="AL1323" s="289">
        <v>7890</v>
      </c>
      <c r="AM1323" s="289">
        <f>AL1323/AE1323-1</f>
        <v>0</v>
      </c>
      <c r="AN1323" s="289">
        <v>8470</v>
      </c>
      <c r="AO1323" s="289">
        <f>AN1323/AF1323-1</f>
        <v>0</v>
      </c>
      <c r="AP1323" s="289">
        <v>8870</v>
      </c>
      <c r="AQ1323" s="289">
        <f>AP1323/AG1323-1</f>
        <v>0</v>
      </c>
    </row>
    <row r="1324" spans="1:46" ht="35.1" customHeight="1">
      <c r="A1324" s="8"/>
      <c r="B1324" s="23" t="s">
        <v>51</v>
      </c>
      <c r="C1324" s="24"/>
      <c r="D1324" s="25">
        <f>IF(AC1324="","",(1-$W$2)*(AC1324/1.2))</f>
        <v>5658.3333333333339</v>
      </c>
      <c r="E1324" s="69">
        <f>IF($W$5=0.2,D1324*1.2,D1324)/$W$4</f>
        <v>6790.0000000000009</v>
      </c>
      <c r="F1324" s="25">
        <f>IF(AD1324="","",(1-$W$2)*(AD1324/1.2))</f>
        <v>6383.3333333333339</v>
      </c>
      <c r="G1324" s="69">
        <f>IF($W$5=0.2,F1324*1.2,F1324)/$W$4</f>
        <v>7660</v>
      </c>
      <c r="H1324" s="25">
        <f>IF(AE1324="","",(1-$W$2)*(AE1324/1.2))</f>
        <v>6575</v>
      </c>
      <c r="I1324" s="69">
        <f>IF($W$5=0.2,H1324*1.2,H1324)/$W$4</f>
        <v>7890</v>
      </c>
      <c r="J1324" s="25">
        <f>IF(AF1324="","",(1-$W$2)*(AF1324/1.2))</f>
        <v>7058.3333333333339</v>
      </c>
      <c r="K1324" s="69">
        <f>IF($W$5=0.2,J1324*1.2,J1324)/$W$4</f>
        <v>8470</v>
      </c>
      <c r="L1324" s="25">
        <f>IF(AG1324="","",(1-$W$2)*(AG1324/1.2))</f>
        <v>7391.666666666667</v>
      </c>
      <c r="M1324" s="69">
        <f>IF($W$5=0.2,L1324*1.2,L1324)/$W$4</f>
        <v>8870</v>
      </c>
      <c r="N1324" s="104"/>
      <c r="R1324" s="104"/>
      <c r="T1324" s="104"/>
      <c r="U1324" s="20"/>
      <c r="V1324" s="104"/>
      <c r="W1324" s="20"/>
      <c r="X1324" s="104"/>
      <c r="Y1324" s="104"/>
      <c r="Z1324" s="104"/>
      <c r="AA1324" s="104"/>
      <c r="AB1324" s="104"/>
      <c r="AC1324" s="332">
        <v>6790</v>
      </c>
      <c r="AD1324" s="391">
        <v>7660</v>
      </c>
      <c r="AE1324" s="332">
        <v>7890</v>
      </c>
      <c r="AF1324" s="332">
        <v>8470</v>
      </c>
      <c r="AG1324" s="332">
        <v>8870</v>
      </c>
      <c r="AH1324" s="289">
        <v>6790</v>
      </c>
      <c r="AI1324" s="289">
        <f>AH1324/AC1324-1</f>
        <v>0</v>
      </c>
      <c r="AJ1324" s="289">
        <v>7660</v>
      </c>
      <c r="AK1324" s="289">
        <f>AJ1324/AD1324-1</f>
        <v>0</v>
      </c>
      <c r="AL1324" s="289">
        <v>7890</v>
      </c>
      <c r="AM1324" s="289">
        <f>AL1324/AE1324-1</f>
        <v>0</v>
      </c>
      <c r="AN1324" s="289">
        <v>8470</v>
      </c>
      <c r="AO1324" s="289">
        <f>AN1324/AF1324-1</f>
        <v>0</v>
      </c>
      <c r="AP1324" s="289">
        <v>8870</v>
      </c>
      <c r="AQ1324" s="289">
        <f>AP1324/AG1324-1</f>
        <v>0</v>
      </c>
    </row>
    <row r="1325" spans="1:46">
      <c r="C1325" s="245"/>
      <c r="D1325" s="26"/>
      <c r="E1325" s="57"/>
      <c r="F1325" s="26"/>
      <c r="G1325" s="57"/>
      <c r="H1325" s="10"/>
      <c r="I1325" s="8"/>
      <c r="J1325" s="8"/>
      <c r="K1325" s="8"/>
    </row>
    <row r="1326" spans="1:46">
      <c r="B1326" s="212" t="str">
        <f>IF($C$1="ENG","For additonal charge:","Послуги за додаткову плату:")</f>
        <v>Послуги за додаткову плату:</v>
      </c>
      <c r="C1326" s="421"/>
      <c r="D1326" s="213"/>
      <c r="E1326" s="214"/>
      <c r="F1326" s="26"/>
      <c r="G1326" s="57"/>
      <c r="H1326" s="10"/>
      <c r="I1326" s="8"/>
      <c r="J1326" s="8"/>
      <c r="K1326" s="8"/>
    </row>
    <row r="1327" spans="1:46" ht="5.0999999999999996" customHeight="1">
      <c r="B1327" s="27"/>
      <c r="C1327" s="245"/>
      <c r="D1327" s="26"/>
      <c r="E1327" s="57"/>
      <c r="F1327" s="26"/>
      <c r="G1327" s="57"/>
      <c r="H1327" s="10"/>
      <c r="I1327" s="8"/>
      <c r="J1327" s="8"/>
      <c r="K1327" s="8"/>
    </row>
    <row r="1328" spans="1:46">
      <c r="B1328" s="514" t="str">
        <f>IF($C$1="ENG","door leaf with width 100","полотно розміром 100")</f>
        <v>полотно розміром 100</v>
      </c>
      <c r="C1328" s="515"/>
      <c r="D1328" s="132">
        <f t="shared" ref="D1328:D1340" si="188">IF(AC1328="","",(1-$W$2)*(AC1328/1.2))</f>
        <v>600</v>
      </c>
      <c r="E1328" s="92">
        <f t="shared" ref="E1328:E1339" si="189">IF($W$5=0.2,D1328*1.2,D1328)/$W$4</f>
        <v>720</v>
      </c>
      <c r="F1328" s="26"/>
      <c r="G1328" s="26"/>
      <c r="H1328" s="10"/>
      <c r="I1328" s="8"/>
      <c r="J1328" s="8"/>
      <c r="K1328" s="8"/>
      <c r="AC1328" s="289">
        <v>720</v>
      </c>
      <c r="AD1328" s="289">
        <v>720</v>
      </c>
      <c r="AE1328" s="289"/>
      <c r="AF1328" s="289"/>
      <c r="AG1328" s="289"/>
      <c r="AH1328" s="289"/>
      <c r="AI1328" s="289"/>
      <c r="AJ1328" s="289"/>
      <c r="AK1328" s="289"/>
      <c r="AL1328" s="289"/>
    </row>
    <row r="1329" spans="2:38">
      <c r="B1329" s="514" t="str">
        <f>IF($C$1="ENG","Ventilation cut","вентиляційний підріз")</f>
        <v>вентиляційний підріз</v>
      </c>
      <c r="C1329" s="515"/>
      <c r="D1329" s="133">
        <f t="shared" si="188"/>
        <v>141.66666666666669</v>
      </c>
      <c r="E1329" s="66">
        <f t="shared" si="189"/>
        <v>170.00000000000003</v>
      </c>
      <c r="F1329" s="26"/>
      <c r="G1329" s="26"/>
      <c r="I1329" s="59"/>
      <c r="J1329" s="28"/>
      <c r="AC1329" s="289">
        <v>170</v>
      </c>
      <c r="AD1329" s="289">
        <v>170</v>
      </c>
      <c r="AE1329" s="289"/>
      <c r="AF1329" s="289"/>
      <c r="AG1329" s="289"/>
      <c r="AH1329" s="289"/>
      <c r="AI1329" s="289"/>
      <c r="AJ1329" s="289"/>
      <c r="AK1329" s="289"/>
      <c r="AL1329" s="289"/>
    </row>
    <row r="1330" spans="2:38">
      <c r="B1330" s="501" t="str">
        <f>IF($C$1="ENG","glazing Graphite / Bronze","скло Графіт / Бронза")</f>
        <v>скло Графіт / Бронза</v>
      </c>
      <c r="C1330" s="502"/>
      <c r="D1330" s="102">
        <f t="shared" si="188"/>
        <v>458.33333333333337</v>
      </c>
      <c r="E1330" s="93">
        <f t="shared" si="189"/>
        <v>550</v>
      </c>
      <c r="F1330" s="26"/>
      <c r="G1330" s="26"/>
      <c r="H1330" s="5"/>
      <c r="AC1330" s="289">
        <v>550</v>
      </c>
      <c r="AD1330" s="289">
        <v>550</v>
      </c>
      <c r="AE1330" s="289"/>
      <c r="AF1330" s="289"/>
      <c r="AG1330" s="289"/>
      <c r="AH1330" s="289"/>
      <c r="AI1330" s="289"/>
      <c r="AJ1330" s="289"/>
      <c r="AK1330" s="289"/>
      <c r="AL1330" s="289"/>
    </row>
    <row r="1331" spans="2:38">
      <c r="B1331" s="501" t="str">
        <f>IF($C$1="ENG","glazing Lacobel black ","скло Lacobel чорне")</f>
        <v>скло Lacobel чорне</v>
      </c>
      <c r="C1331" s="502"/>
      <c r="D1331" s="407">
        <f t="shared" si="188"/>
        <v>458.33333333333337</v>
      </c>
      <c r="E1331" s="93">
        <f>IF($W$5=0.2,D1331*1.2,D1331)/$W$4</f>
        <v>550</v>
      </c>
      <c r="F1331" s="26"/>
      <c r="G1331" s="26"/>
      <c r="H1331" s="5"/>
      <c r="AC1331" s="298">
        <v>550</v>
      </c>
      <c r="AD1331" s="298">
        <v>550</v>
      </c>
      <c r="AE1331" s="289"/>
      <c r="AF1331" s="289"/>
      <c r="AG1331" s="289"/>
      <c r="AH1331" s="289"/>
      <c r="AI1331" s="289"/>
      <c r="AJ1331" s="289"/>
      <c r="AK1331" s="289"/>
      <c r="AL1331" s="289"/>
    </row>
    <row r="1332" spans="2:38">
      <c r="B1332" s="501" t="str">
        <f>IF($C$1="ENG","door lock Soft","замок Soft")</f>
        <v>замок Soft</v>
      </c>
      <c r="C1332" s="502"/>
      <c r="D1332" s="102">
        <f t="shared" si="188"/>
        <v>458.33333333333337</v>
      </c>
      <c r="E1332" s="93">
        <f t="shared" si="189"/>
        <v>550</v>
      </c>
      <c r="F1332" s="26"/>
      <c r="G1332" s="26"/>
      <c r="H1332" s="5"/>
      <c r="AC1332" s="289">
        <v>550</v>
      </c>
      <c r="AD1332" s="289">
        <v>550</v>
      </c>
      <c r="AE1332" s="289"/>
      <c r="AF1332" s="289"/>
      <c r="AG1332" s="289"/>
      <c r="AH1332" s="289"/>
      <c r="AI1332" s="289"/>
      <c r="AJ1332" s="289"/>
      <c r="AK1332" s="289"/>
      <c r="AL1332" s="289"/>
    </row>
    <row r="1333" spans="2:38">
      <c r="B1333" s="501" t="str">
        <f>IF($C$1="ENG","door lock Soft black","замок Soft чорн.")</f>
        <v>замок Soft чорн.</v>
      </c>
      <c r="C1333" s="502"/>
      <c r="D1333" s="102">
        <f t="shared" ref="D1333" si="190">IF(AC1333="","",(1-$W$2)*(AC1333/1.2))</f>
        <v>566.66666666666674</v>
      </c>
      <c r="E1333" s="93">
        <f t="shared" ref="E1333" si="191">IF($W$5=0.2,D1333*1.2,D1333)/$W$4</f>
        <v>680.00000000000011</v>
      </c>
      <c r="F1333" s="26"/>
      <c r="G1333" s="26"/>
      <c r="H1333" s="5"/>
      <c r="AC1333" s="289">
        <v>680</v>
      </c>
      <c r="AD1333" s="289"/>
      <c r="AE1333" s="289"/>
      <c r="AF1333" s="289"/>
      <c r="AG1333" s="289"/>
      <c r="AH1333" s="289"/>
      <c r="AI1333" s="289"/>
      <c r="AJ1333" s="289"/>
      <c r="AK1333" s="289"/>
      <c r="AL1333" s="289"/>
    </row>
    <row r="1334" spans="2:38">
      <c r="B1334" s="501" t="str">
        <f>IF($C$1="ENG","door lock Magnet","замок Magnet")</f>
        <v>замок Magnet</v>
      </c>
      <c r="C1334" s="502"/>
      <c r="D1334" s="102">
        <f t="shared" si="188"/>
        <v>666.66666666666674</v>
      </c>
      <c r="E1334" s="93">
        <f t="shared" si="189"/>
        <v>800.00000000000011</v>
      </c>
      <c r="F1334" s="26"/>
      <c r="G1334" s="26"/>
      <c r="H1334" s="5"/>
      <c r="AC1334" s="289">
        <v>800</v>
      </c>
      <c r="AD1334" s="289">
        <v>800</v>
      </c>
      <c r="AE1334" s="289"/>
      <c r="AF1334" s="289"/>
      <c r="AG1334" s="289"/>
      <c r="AH1334" s="289"/>
      <c r="AI1334" s="289"/>
      <c r="AJ1334" s="289"/>
      <c r="AK1334" s="289"/>
      <c r="AL1334" s="289"/>
    </row>
    <row r="1335" spans="2:38">
      <c r="B1335" s="501" t="s">
        <v>76</v>
      </c>
      <c r="C1335" s="502"/>
      <c r="D1335" s="102">
        <f t="shared" ref="D1335" si="192">IF(AC1335="","",(1-$W$2)*(AC1335/1.2))</f>
        <v>833.33333333333337</v>
      </c>
      <c r="E1335" s="93">
        <f t="shared" ref="E1335" si="193">IF($W$5=0.2,D1335*1.2,D1335)/$W$4</f>
        <v>1000</v>
      </c>
      <c r="F1335" s="26"/>
      <c r="G1335" s="26"/>
      <c r="H1335" s="5"/>
      <c r="AC1335" s="289">
        <v>1000</v>
      </c>
      <c r="AD1335" s="289"/>
      <c r="AE1335" s="289"/>
      <c r="AF1335" s="289"/>
      <c r="AG1335" s="289"/>
      <c r="AH1335" s="289"/>
      <c r="AI1335" s="289"/>
      <c r="AJ1335" s="289"/>
      <c r="AK1335" s="289"/>
      <c r="AL1335" s="289"/>
    </row>
    <row r="1336" spans="2:38">
      <c r="B1336" s="501" t="str">
        <f>IF($C$1="ENG","door handle-lock (for sliding doors)","ручка-замок (для дверей купе)")</f>
        <v>ручка-замок (для дверей купе)</v>
      </c>
      <c r="C1336" s="502"/>
      <c r="D1336" s="133">
        <f t="shared" si="188"/>
        <v>466.66666666666669</v>
      </c>
      <c r="E1336" s="93">
        <f t="shared" si="189"/>
        <v>560</v>
      </c>
      <c r="F1336" s="26"/>
      <c r="G1336" s="26"/>
      <c r="I1336" s="11"/>
      <c r="J1336" s="11"/>
      <c r="K1336" s="19"/>
      <c r="AC1336" s="289">
        <v>560</v>
      </c>
      <c r="AD1336" s="289">
        <v>560</v>
      </c>
      <c r="AE1336" s="289"/>
      <c r="AF1336" s="289"/>
      <c r="AG1336" s="289"/>
      <c r="AH1336" s="289"/>
      <c r="AI1336" s="289"/>
      <c r="AJ1336" s="289"/>
      <c r="AK1336" s="289"/>
      <c r="AL1336" s="289"/>
    </row>
    <row r="1337" spans="2:38">
      <c r="B1337" s="501" t="str">
        <f>IF($C$1="ENG","cylinder incert","циліндр несиметричний")</f>
        <v>циліндр несиметричний</v>
      </c>
      <c r="C1337" s="502"/>
      <c r="D1337" s="133">
        <f t="shared" si="188"/>
        <v>316.66666666666669</v>
      </c>
      <c r="E1337" s="93">
        <f t="shared" si="189"/>
        <v>380</v>
      </c>
      <c r="F1337" s="26"/>
      <c r="G1337" s="26"/>
      <c r="AC1337" s="289">
        <v>380</v>
      </c>
      <c r="AD1337" s="289">
        <v>380</v>
      </c>
      <c r="AE1337" s="289"/>
      <c r="AF1337" s="289"/>
      <c r="AG1337" s="289"/>
      <c r="AH1337" s="289"/>
      <c r="AI1337" s="289"/>
      <c r="AJ1337" s="289"/>
      <c r="AK1337" s="289"/>
      <c r="AL1337" s="289"/>
    </row>
    <row r="1338" spans="2:38">
      <c r="B1338" s="501" t="str">
        <f>IF($C$1="ENG","door hindge Prestige (1 unit)","завіса Prestige (1 шт)")</f>
        <v>завіса Prestige (1 шт)</v>
      </c>
      <c r="C1338" s="502"/>
      <c r="D1338" s="135">
        <f t="shared" si="188"/>
        <v>216.66666666666669</v>
      </c>
      <c r="E1338" s="93">
        <f t="shared" si="189"/>
        <v>260</v>
      </c>
      <c r="F1338" s="26"/>
      <c r="G1338" s="26"/>
      <c r="AC1338" s="289">
        <v>260</v>
      </c>
      <c r="AD1338" s="289">
        <v>260</v>
      </c>
      <c r="AE1338" s="289"/>
      <c r="AF1338" s="289"/>
      <c r="AG1338" s="289"/>
      <c r="AH1338" s="289"/>
      <c r="AI1338" s="289"/>
      <c r="AJ1338" s="289"/>
      <c r="AK1338" s="289"/>
      <c r="AL1338" s="289"/>
    </row>
    <row r="1339" spans="2:38">
      <c r="B1339" s="501" t="str">
        <f>IF($C$1="ENG","door hinge caps (1 set)","накладка на завіси (1 к-т)")</f>
        <v>накладка на завіси (1 к-т)</v>
      </c>
      <c r="C1339" s="502"/>
      <c r="D1339" s="135">
        <f t="shared" si="188"/>
        <v>66.666666666666671</v>
      </c>
      <c r="E1339" s="93">
        <f t="shared" si="189"/>
        <v>80</v>
      </c>
      <c r="F1339" s="26"/>
      <c r="G1339" s="26"/>
      <c r="AC1339" s="289">
        <v>80</v>
      </c>
      <c r="AD1339" s="289">
        <v>80</v>
      </c>
      <c r="AE1339" s="289"/>
      <c r="AF1339" s="289"/>
      <c r="AG1339" s="289"/>
      <c r="AH1339" s="289"/>
      <c r="AI1339" s="289"/>
      <c r="AJ1339" s="289"/>
      <c r="AK1339" s="289"/>
      <c r="AL1339" s="289"/>
    </row>
    <row r="1340" spans="2:38">
      <c r="B1340" s="501" t="str">
        <f>IF($C$1="ENG","door handle","дверна ручка")</f>
        <v>дверна ручка</v>
      </c>
      <c r="C1340" s="502"/>
      <c r="D1340" s="134" t="str">
        <f t="shared" si="188"/>
        <v/>
      </c>
      <c r="E1340" s="247" t="str">
        <f>IF($C$1="ENG","see Handles Price","див. Таблицю Ручки")</f>
        <v>див. Таблицю Ручки</v>
      </c>
      <c r="F1340" s="26"/>
      <c r="G1340" s="26"/>
      <c r="AC1340" s="289"/>
      <c r="AD1340" s="289"/>
      <c r="AE1340" s="289"/>
      <c r="AF1340" s="289"/>
      <c r="AG1340" s="289"/>
      <c r="AH1340" s="289"/>
      <c r="AI1340" s="289"/>
      <c r="AJ1340" s="289"/>
      <c r="AK1340" s="289"/>
      <c r="AL1340" s="289"/>
    </row>
    <row r="1341" spans="2:38" ht="14.25" customHeight="1">
      <c r="C1341" s="245"/>
      <c r="D1341" s="26"/>
      <c r="E1341" s="26"/>
      <c r="F1341" s="26"/>
      <c r="G1341" s="26"/>
      <c r="H1341" s="5"/>
      <c r="U1341" s="503" t="str">
        <f>IF($C$1="ENG",CONCATENATE("down to: ",B1391),CONCATENATE("вниз до: ",B1391))</f>
        <v>вниз до: Полотна збірні: ЄВА</v>
      </c>
      <c r="V1341" s="503"/>
      <c r="W1341" s="503"/>
      <c r="X1341" s="304"/>
      <c r="Y1341" s="304"/>
      <c r="Z1341" s="304"/>
      <c r="AA1341" s="304"/>
      <c r="AB1341" s="304"/>
    </row>
    <row r="1342" spans="2:38" ht="14.25" customHeight="1">
      <c r="C1342" s="245"/>
      <c r="D1342" s="26"/>
      <c r="E1342" s="26"/>
      <c r="F1342" s="26"/>
      <c r="G1342" s="26"/>
      <c r="H1342" s="5"/>
    </row>
    <row r="1343" spans="2:38" ht="14.25" customHeight="1">
      <c r="C1343" s="245"/>
      <c r="D1343" s="26"/>
      <c r="E1343" s="26"/>
      <c r="F1343" s="26"/>
      <c r="G1343" s="26"/>
      <c r="H1343" s="5"/>
    </row>
    <row r="1344" spans="2:38" ht="14.25" customHeight="1">
      <c r="C1344" s="245"/>
      <c r="D1344" s="26"/>
      <c r="E1344" s="26"/>
      <c r="F1344" s="26"/>
      <c r="G1344" s="26"/>
      <c r="H1344" s="5"/>
    </row>
    <row r="1345" spans="3:8" ht="14.25" customHeight="1">
      <c r="C1345" s="245"/>
      <c r="D1345" s="26"/>
      <c r="E1345" s="26"/>
      <c r="F1345" s="26"/>
      <c r="G1345" s="26"/>
      <c r="H1345" s="5"/>
    </row>
    <row r="1346" spans="3:8" ht="14.25" customHeight="1">
      <c r="C1346" s="245"/>
      <c r="D1346" s="26"/>
      <c r="E1346" s="26"/>
      <c r="F1346" s="26"/>
      <c r="G1346" s="26"/>
      <c r="H1346" s="5"/>
    </row>
    <row r="1347" spans="3:8" ht="14.25" customHeight="1">
      <c r="C1347" s="245"/>
      <c r="D1347" s="26"/>
      <c r="E1347" s="26"/>
      <c r="F1347" s="26"/>
      <c r="G1347" s="26"/>
      <c r="H1347" s="5"/>
    </row>
    <row r="1348" spans="3:8" ht="14.25" customHeight="1">
      <c r="C1348" s="245"/>
      <c r="D1348" s="26"/>
      <c r="E1348" s="26"/>
      <c r="F1348" s="26"/>
      <c r="G1348" s="26"/>
      <c r="H1348" s="5"/>
    </row>
    <row r="1349" spans="3:8" ht="14.25" customHeight="1">
      <c r="C1349" s="245"/>
      <c r="D1349" s="26"/>
      <c r="E1349" s="26"/>
      <c r="F1349" s="26"/>
      <c r="G1349" s="26"/>
      <c r="H1349" s="5"/>
    </row>
    <row r="1350" spans="3:8" ht="14.25" customHeight="1">
      <c r="C1350" s="245"/>
      <c r="D1350" s="26"/>
      <c r="E1350" s="26"/>
      <c r="F1350" s="26"/>
      <c r="G1350" s="26"/>
      <c r="H1350" s="5"/>
    </row>
    <row r="1351" spans="3:8" ht="14.25" customHeight="1">
      <c r="C1351" s="245"/>
      <c r="D1351" s="26"/>
      <c r="E1351" s="26"/>
      <c r="F1351" s="26"/>
      <c r="G1351" s="26"/>
      <c r="H1351" s="5"/>
    </row>
    <row r="1352" spans="3:8" ht="14.25" customHeight="1">
      <c r="C1352" s="245"/>
      <c r="D1352" s="26"/>
      <c r="E1352" s="26"/>
      <c r="F1352" s="26"/>
      <c r="G1352" s="26"/>
      <c r="H1352" s="5"/>
    </row>
    <row r="1353" spans="3:8" ht="14.25" customHeight="1">
      <c r="C1353" s="245"/>
      <c r="D1353" s="26"/>
      <c r="E1353" s="26"/>
      <c r="F1353" s="26"/>
      <c r="G1353" s="26"/>
      <c r="H1353" s="5"/>
    </row>
    <row r="1354" spans="3:8" ht="14.25" customHeight="1">
      <c r="C1354" s="245"/>
      <c r="D1354" s="26"/>
      <c r="E1354" s="26"/>
      <c r="F1354" s="26"/>
      <c r="G1354" s="26"/>
      <c r="H1354" s="5"/>
    </row>
    <row r="1355" spans="3:8" ht="14.25" customHeight="1">
      <c r="C1355" s="245"/>
      <c r="D1355" s="26"/>
      <c r="E1355" s="26"/>
      <c r="F1355" s="26"/>
      <c r="G1355" s="26"/>
      <c r="H1355" s="5"/>
    </row>
    <row r="1356" spans="3:8" ht="14.25" customHeight="1">
      <c r="C1356" s="245"/>
      <c r="D1356" s="26"/>
      <c r="E1356" s="26"/>
      <c r="F1356" s="26"/>
      <c r="G1356" s="26"/>
      <c r="H1356" s="5"/>
    </row>
    <row r="1357" spans="3:8" ht="14.25" customHeight="1">
      <c r="C1357" s="245"/>
      <c r="D1357" s="26"/>
      <c r="E1357" s="26"/>
      <c r="F1357" s="26"/>
      <c r="G1357" s="26"/>
      <c r="H1357" s="5"/>
    </row>
    <row r="1358" spans="3:8" ht="14.25" customHeight="1">
      <c r="C1358" s="245"/>
      <c r="D1358" s="26"/>
      <c r="E1358" s="26"/>
      <c r="F1358" s="26"/>
      <c r="G1358" s="26"/>
      <c r="H1358" s="5"/>
    </row>
    <row r="1359" spans="3:8" ht="14.25" customHeight="1">
      <c r="C1359" s="245"/>
      <c r="D1359" s="26"/>
      <c r="E1359" s="26"/>
      <c r="F1359" s="26"/>
      <c r="G1359" s="26"/>
      <c r="H1359" s="5"/>
    </row>
    <row r="1360" spans="3:8" ht="14.25" customHeight="1">
      <c r="C1360" s="245"/>
      <c r="D1360" s="26"/>
      <c r="E1360" s="26"/>
      <c r="F1360" s="26"/>
      <c r="G1360" s="26"/>
      <c r="H1360" s="5"/>
    </row>
    <row r="1361" spans="3:8" ht="14.25" customHeight="1">
      <c r="C1361" s="245"/>
      <c r="D1361" s="26"/>
      <c r="E1361" s="26"/>
      <c r="F1361" s="26"/>
      <c r="G1361" s="26"/>
      <c r="H1361" s="5"/>
    </row>
    <row r="1362" spans="3:8" ht="14.25" customHeight="1">
      <c r="C1362" s="245"/>
      <c r="D1362" s="26"/>
      <c r="E1362" s="26"/>
      <c r="F1362" s="26"/>
      <c r="G1362" s="26"/>
      <c r="H1362" s="5"/>
    </row>
    <row r="1363" spans="3:8" ht="14.25" customHeight="1">
      <c r="C1363" s="245"/>
      <c r="D1363" s="26"/>
      <c r="E1363" s="26"/>
      <c r="F1363" s="26"/>
      <c r="G1363" s="26"/>
      <c r="H1363" s="5"/>
    </row>
    <row r="1364" spans="3:8" ht="14.25" customHeight="1">
      <c r="C1364" s="245"/>
      <c r="D1364" s="26"/>
      <c r="E1364" s="26"/>
      <c r="F1364" s="26"/>
      <c r="G1364" s="26"/>
      <c r="H1364" s="5"/>
    </row>
    <row r="1365" spans="3:8" ht="14.25" customHeight="1">
      <c r="C1365" s="245"/>
      <c r="D1365" s="26"/>
      <c r="E1365" s="26"/>
      <c r="F1365" s="26"/>
      <c r="G1365" s="26"/>
      <c r="H1365" s="5"/>
    </row>
    <row r="1366" spans="3:8" ht="14.25" customHeight="1">
      <c r="C1366" s="245"/>
      <c r="D1366" s="26"/>
      <c r="E1366" s="26"/>
      <c r="F1366" s="26"/>
      <c r="G1366" s="26"/>
      <c r="H1366" s="5"/>
    </row>
    <row r="1367" spans="3:8" ht="14.25" customHeight="1">
      <c r="C1367" s="245"/>
      <c r="D1367" s="26"/>
      <c r="E1367" s="26"/>
      <c r="F1367" s="26"/>
      <c r="G1367" s="26"/>
      <c r="H1367" s="5"/>
    </row>
    <row r="1368" spans="3:8" ht="14.25" customHeight="1">
      <c r="C1368" s="245"/>
      <c r="D1368" s="26"/>
      <c r="E1368" s="26"/>
      <c r="F1368" s="26"/>
      <c r="G1368" s="26"/>
      <c r="H1368" s="5"/>
    </row>
    <row r="1369" spans="3:8" ht="14.25" customHeight="1">
      <c r="C1369" s="245"/>
      <c r="D1369" s="26"/>
      <c r="E1369" s="26"/>
      <c r="F1369" s="26"/>
      <c r="G1369" s="26"/>
      <c r="H1369" s="5"/>
    </row>
    <row r="1370" spans="3:8" ht="14.25" customHeight="1">
      <c r="C1370" s="245"/>
      <c r="D1370" s="26"/>
      <c r="E1370" s="26"/>
      <c r="F1370" s="26"/>
      <c r="G1370" s="26"/>
      <c r="H1370" s="5"/>
    </row>
    <row r="1371" spans="3:8" ht="14.25" customHeight="1">
      <c r="C1371" s="245"/>
      <c r="D1371" s="26"/>
      <c r="E1371" s="26"/>
      <c r="F1371" s="26"/>
      <c r="G1371" s="26"/>
      <c r="H1371" s="5"/>
    </row>
    <row r="1372" spans="3:8" ht="14.25" customHeight="1">
      <c r="C1372" s="245"/>
      <c r="D1372" s="26"/>
      <c r="E1372" s="26"/>
      <c r="F1372" s="26"/>
      <c r="G1372" s="26"/>
      <c r="H1372" s="5"/>
    </row>
    <row r="1373" spans="3:8" ht="14.25" customHeight="1">
      <c r="C1373" s="245"/>
      <c r="D1373" s="26"/>
      <c r="E1373" s="26"/>
      <c r="F1373" s="26"/>
      <c r="G1373" s="26"/>
      <c r="H1373" s="5"/>
    </row>
    <row r="1374" spans="3:8" ht="14.25" customHeight="1">
      <c r="C1374" s="245"/>
      <c r="D1374" s="26"/>
      <c r="E1374" s="26"/>
      <c r="F1374" s="26"/>
      <c r="G1374" s="26"/>
      <c r="H1374" s="5"/>
    </row>
    <row r="1375" spans="3:8" ht="14.25" customHeight="1">
      <c r="C1375" s="245"/>
      <c r="D1375" s="26"/>
      <c r="E1375" s="26"/>
      <c r="F1375" s="26"/>
      <c r="G1375" s="26"/>
      <c r="H1375" s="5"/>
    </row>
    <row r="1376" spans="3:8" ht="14.25" customHeight="1">
      <c r="C1376" s="245"/>
      <c r="D1376" s="26"/>
      <c r="E1376" s="26"/>
      <c r="F1376" s="26"/>
      <c r="G1376" s="26"/>
      <c r="H1376" s="5"/>
    </row>
    <row r="1377" spans="2:46" ht="14.25" customHeight="1">
      <c r="C1377" s="245"/>
      <c r="D1377" s="26"/>
      <c r="E1377" s="26"/>
      <c r="F1377" s="26"/>
      <c r="G1377" s="26"/>
      <c r="H1377" s="5"/>
    </row>
    <row r="1378" spans="2:46" ht="14.25" customHeight="1">
      <c r="C1378" s="245"/>
      <c r="D1378" s="26"/>
      <c r="E1378" s="26"/>
      <c r="F1378" s="26"/>
      <c r="G1378" s="26"/>
      <c r="H1378" s="5"/>
    </row>
    <row r="1379" spans="2:46" ht="14.25" customHeight="1">
      <c r="C1379" s="245"/>
      <c r="D1379" s="26"/>
      <c r="E1379" s="26"/>
      <c r="F1379" s="26"/>
      <c r="G1379" s="26"/>
      <c r="H1379" s="5"/>
    </row>
    <row r="1380" spans="2:46" ht="14.25" customHeight="1">
      <c r="C1380" s="245"/>
      <c r="D1380" s="26"/>
      <c r="E1380" s="26"/>
      <c r="F1380" s="26"/>
      <c r="G1380" s="26"/>
      <c r="H1380" s="5"/>
    </row>
    <row r="1381" spans="2:46" ht="14.25" customHeight="1">
      <c r="C1381" s="245"/>
      <c r="D1381" s="26"/>
      <c r="E1381" s="26"/>
      <c r="F1381" s="26"/>
      <c r="G1381" s="26"/>
      <c r="H1381" s="5"/>
    </row>
    <row r="1382" spans="2:46" ht="14.25" customHeight="1">
      <c r="C1382" s="245"/>
      <c r="D1382" s="26"/>
      <c r="E1382" s="26"/>
      <c r="F1382" s="26"/>
      <c r="G1382" s="26"/>
      <c r="H1382" s="5"/>
    </row>
    <row r="1383" spans="2:46" ht="14.25" customHeight="1">
      <c r="C1383" s="245"/>
      <c r="D1383" s="26"/>
      <c r="E1383" s="26"/>
      <c r="F1383" s="26"/>
      <c r="G1383" s="26"/>
      <c r="H1383" s="5"/>
    </row>
    <row r="1384" spans="2:46" ht="14.25" customHeight="1">
      <c r="C1384" s="245"/>
      <c r="D1384" s="26"/>
      <c r="E1384" s="26"/>
      <c r="F1384" s="26"/>
      <c r="G1384" s="26"/>
      <c r="H1384" s="5"/>
    </row>
    <row r="1385" spans="2:46" ht="14.25" customHeight="1">
      <c r="C1385" s="245"/>
      <c r="D1385" s="26"/>
      <c r="E1385" s="26"/>
      <c r="F1385" s="26"/>
      <c r="G1385" s="26"/>
      <c r="H1385" s="5"/>
    </row>
    <row r="1386" spans="2:46" ht="14.25" customHeight="1">
      <c r="C1386" s="245"/>
      <c r="D1386" s="26"/>
      <c r="E1386" s="26"/>
      <c r="F1386" s="26"/>
      <c r="G1386" s="26"/>
      <c r="H1386" s="5"/>
      <c r="AG1386" s="289">
        <f>AB1386/100*12+AB1386</f>
        <v>0</v>
      </c>
      <c r="AH1386" s="289" t="e">
        <f>AG1386/AB1386-1</f>
        <v>#DIV/0!</v>
      </c>
    </row>
    <row r="1387" spans="2:46" ht="14.25" customHeight="1">
      <c r="C1387" s="245"/>
      <c r="D1387" s="26"/>
      <c r="E1387" s="26"/>
      <c r="F1387" s="26"/>
      <c r="G1387" s="26"/>
      <c r="H1387" s="5"/>
    </row>
    <row r="1388" spans="2:46" ht="14.25" customHeight="1">
      <c r="C1388" s="245"/>
      <c r="D1388" s="26"/>
      <c r="E1388" s="26"/>
      <c r="F1388" s="26"/>
      <c r="G1388" s="26"/>
      <c r="H1388" s="5"/>
    </row>
    <row r="1389" spans="2:46" ht="14.25" customHeight="1">
      <c r="C1389" s="245"/>
      <c r="D1389" s="26"/>
      <c r="E1389" s="26"/>
      <c r="F1389" s="26"/>
      <c r="G1389" s="26"/>
      <c r="H1389" s="5"/>
    </row>
    <row r="1390" spans="2:46" ht="14.25" customHeight="1">
      <c r="C1390" s="245"/>
      <c r="D1390" s="26"/>
      <c r="E1390" s="26"/>
      <c r="F1390" s="26"/>
      <c r="G1390" s="26"/>
      <c r="H1390" s="5"/>
    </row>
    <row r="1391" spans="2:46" s="8" customFormat="1">
      <c r="B1391" s="494" t="str">
        <f>TITLE!C27</f>
        <v>Полотна збірні: ЄВА</v>
      </c>
      <c r="C1391" s="494"/>
      <c r="D1391" s="118"/>
      <c r="E1391" s="118"/>
      <c r="F1391" s="118"/>
      <c r="G1391" s="118"/>
      <c r="H1391" s="496"/>
      <c r="I1391" s="496"/>
      <c r="J1391" s="121"/>
      <c r="K1391" s="121"/>
      <c r="L1391" s="121"/>
      <c r="M1391" s="121"/>
      <c r="N1391" s="121"/>
      <c r="O1391" s="121"/>
      <c r="P1391" s="121"/>
      <c r="Q1391" s="121"/>
      <c r="R1391" s="121"/>
      <c r="S1391" s="121"/>
      <c r="T1391" s="517" t="str">
        <f>IF($C$1="ENG",CONCATENATE("up to: ",B1318),CONCATENATE("вгору до: ",B1318))</f>
        <v>вгору до: Полотна збірні: ТІАНА</v>
      </c>
      <c r="U1391" s="517"/>
      <c r="V1391" s="517"/>
      <c r="W1391" s="517"/>
      <c r="AN1391" s="280"/>
      <c r="AO1391" s="280"/>
      <c r="AP1391" s="280"/>
      <c r="AQ1391" s="280"/>
      <c r="AR1391" s="280"/>
      <c r="AS1391" s="280"/>
      <c r="AT1391" s="280"/>
    </row>
    <row r="1392" spans="2:46" s="8" customFormat="1" ht="5.0999999999999996" customHeight="1">
      <c r="B1392" s="117"/>
      <c r="C1392" s="420"/>
      <c r="D1392" s="9"/>
      <c r="E1392" s="9"/>
      <c r="F1392" s="9"/>
      <c r="G1392" s="9"/>
      <c r="H1392" s="120"/>
      <c r="I1392" s="120"/>
      <c r="T1392" s="115"/>
      <c r="U1392" s="115"/>
      <c r="V1392" s="115"/>
      <c r="W1392" s="115"/>
      <c r="AN1392" s="280"/>
      <c r="AO1392" s="280"/>
      <c r="AP1392" s="280"/>
      <c r="AQ1392" s="280"/>
      <c r="AR1392" s="280"/>
      <c r="AS1392" s="280"/>
      <c r="AT1392" s="280"/>
    </row>
    <row r="1393" spans="1:46" s="8" customFormat="1" ht="12.75" customHeight="1">
      <c r="B1393" s="509" t="str">
        <f>IF($C$1="ENG","model","модель")</f>
        <v>модель</v>
      </c>
      <c r="C1393" s="122" t="str">
        <f>IF($C$1="ENG","cover:","покриття:")</f>
        <v>покриття:</v>
      </c>
      <c r="D1393" s="498" t="str">
        <f>IF($C$1="ENG","Verto-CELL","Verto-CELL")</f>
        <v>Verto-CELL</v>
      </c>
      <c r="E1393" s="500"/>
      <c r="F1393" s="498" t="str">
        <f>IF($C$1="ENG","UNI-MAT","UNI-MAT")</f>
        <v>UNI-MAT</v>
      </c>
      <c r="G1393" s="500"/>
      <c r="H1393" s="498" t="str">
        <f>IF($C$1="ENG","RESIST","RESIST")</f>
        <v>RESIST</v>
      </c>
      <c r="I1393" s="500"/>
      <c r="J1393" s="498" t="str">
        <f>IF($C$1="ENG","Verto LINE-3D","Verto LINE-3D")</f>
        <v>Verto LINE-3D</v>
      </c>
      <c r="K1393" s="500"/>
      <c r="L1393" s="498" t="str">
        <f>IF($C$1="ENG","ECO Shpon","ЕКО Шпон")</f>
        <v>ЕКО Шпон</v>
      </c>
      <c r="M1393" s="500"/>
      <c r="P1393" s="1"/>
      <c r="Q1393" s="1"/>
      <c r="T1393" s="115"/>
      <c r="U1393" s="115"/>
      <c r="V1393" s="115"/>
      <c r="W1393" s="115"/>
      <c r="AN1393" s="280"/>
      <c r="AO1393" s="280"/>
      <c r="AP1393" s="280"/>
      <c r="AQ1393" s="280"/>
      <c r="AR1393" s="280"/>
      <c r="AS1393" s="280"/>
      <c r="AT1393" s="280"/>
    </row>
    <row r="1394" spans="1:46" s="8" customFormat="1" ht="24" customHeight="1">
      <c r="B1394" s="510"/>
      <c r="C1394" s="123" t="str">
        <f>IF($C$1="ENG","filling:","заповнення:")</f>
        <v>заповнення:</v>
      </c>
      <c r="D1394" s="505" t="str">
        <f>IF($C$1="ENG","softwood","клеєний сосновий брус")</f>
        <v>клеєний сосновий брус</v>
      </c>
      <c r="E1394" s="506"/>
      <c r="F1394" s="505" t="str">
        <f>IF($C$1="ENG","softwood","клеєний сосновий брус")</f>
        <v>клеєний сосновий брус</v>
      </c>
      <c r="G1394" s="506"/>
      <c r="H1394" s="505" t="str">
        <f>IF($C$1="ENG","softwood","клеєний сосновий брус")</f>
        <v>клеєний сосновий брус</v>
      </c>
      <c r="I1394" s="506"/>
      <c r="J1394" s="505" t="str">
        <f>IF($C$1="ENG","softwood","клеєний сосновий брус")</f>
        <v>клеєний сосновий брус</v>
      </c>
      <c r="K1394" s="506"/>
      <c r="L1394" s="505" t="str">
        <f>IF($C$1="ENG","softwood","клеєний сосновий брус")</f>
        <v>клеєний сосновий брус</v>
      </c>
      <c r="M1394" s="506"/>
      <c r="P1394" s="1"/>
      <c r="Q1394" s="1"/>
      <c r="T1394" s="115"/>
      <c r="U1394" s="115"/>
      <c r="V1394" s="115"/>
      <c r="W1394" s="115"/>
      <c r="AD1394" s="383">
        <f>AD1396/AC1396-1</f>
        <v>0.13945578231292521</v>
      </c>
      <c r="AE1394" s="383">
        <f>AE1396/AD1396-1</f>
        <v>4.6268656716417889E-2</v>
      </c>
      <c r="AF1394" s="383">
        <f>AF1396/AE1396-1</f>
        <v>9.5577746077032844E-2</v>
      </c>
      <c r="AG1394" s="383">
        <f>AG1396/AF1396-1</f>
        <v>4.8177083333333259E-2</v>
      </c>
      <c r="AH1394" s="8">
        <v>5250</v>
      </c>
      <c r="AI1394" s="8">
        <v>6260</v>
      </c>
      <c r="AJ1394" s="8">
        <v>6860</v>
      </c>
      <c r="AK1394" s="8">
        <v>7190</v>
      </c>
      <c r="AN1394" s="280"/>
      <c r="AO1394" s="280"/>
      <c r="AP1394" s="280"/>
      <c r="AQ1394" s="280"/>
      <c r="AR1394" s="280"/>
      <c r="AS1394" s="280"/>
      <c r="AT1394" s="280"/>
    </row>
    <row r="1395" spans="1:46" ht="12.75" customHeight="1">
      <c r="A1395" s="8"/>
      <c r="B1395" s="511"/>
      <c r="C1395" s="124" t="str">
        <f>IF($C$1="ENG","glazing:","скління:")</f>
        <v>скління:</v>
      </c>
      <c r="D1395" s="489" t="str">
        <f>IF($C$1="ENG","Satin","Сатин")</f>
        <v>Сатин</v>
      </c>
      <c r="E1395" s="492"/>
      <c r="F1395" s="489" t="str">
        <f>IF($C$1="ENG","Satin","Сатин")</f>
        <v>Сатин</v>
      </c>
      <c r="G1395" s="492"/>
      <c r="H1395" s="489" t="str">
        <f>IF($C$1="ENG","Satin","Сатин")</f>
        <v>Сатин</v>
      </c>
      <c r="I1395" s="492"/>
      <c r="J1395" s="489" t="str">
        <f>IF($C$1="ENG","Satin","Сатин")</f>
        <v>Сатин</v>
      </c>
      <c r="K1395" s="492"/>
      <c r="L1395" s="489" t="str">
        <f>IF($C$1="ENG","Satin","Сатин")</f>
        <v>Сатин</v>
      </c>
      <c r="M1395" s="492"/>
    </row>
    <row r="1396" spans="1:46" ht="35.1" customHeight="1">
      <c r="A1396" s="8"/>
      <c r="B1396" s="16" t="s">
        <v>28</v>
      </c>
      <c r="C1396" s="17"/>
      <c r="D1396" s="18">
        <f>IF(AC1396="","",(1-$W$2)*(AC1396/1.2))</f>
        <v>4900</v>
      </c>
      <c r="E1396" s="66">
        <f>IF($W$5=0.2,D1396*1.2,D1396)/$W$4</f>
        <v>5880</v>
      </c>
      <c r="F1396" s="18">
        <f>IF(AD1396="","",(1-$W$2)*(AD1396/1.2))</f>
        <v>5583.3333333333339</v>
      </c>
      <c r="G1396" s="66">
        <f>IF($W$5=0.2,F1396*1.2,F1396)/$W$4</f>
        <v>6700.0000000000009</v>
      </c>
      <c r="H1396" s="18">
        <f>IF(AE1396="","",(1-$W$2)*(AE1396/1.2))</f>
        <v>5841.666666666667</v>
      </c>
      <c r="I1396" s="66">
        <f>IF($W$5=0.2,H1396*1.2,H1396)/$W$4</f>
        <v>7010</v>
      </c>
      <c r="J1396" s="18">
        <f>IF(AF1396="","",(1-$W$2)*(AF1396/1.2))</f>
        <v>6400</v>
      </c>
      <c r="K1396" s="66">
        <f>IF($W$5=0.2,J1396*1.2,J1396)/$W$4</f>
        <v>7680</v>
      </c>
      <c r="L1396" s="18">
        <f>IF(AG1396="","",(1-$W$2)*(AG1396/1.2))</f>
        <v>6708.3333333333339</v>
      </c>
      <c r="M1396" s="66">
        <f>IF($W$5=0.2,L1396*1.2,L1396)/$W$4</f>
        <v>8050</v>
      </c>
      <c r="N1396" s="104"/>
      <c r="R1396" s="104"/>
      <c r="T1396" s="104"/>
      <c r="U1396" s="20"/>
      <c r="V1396" s="104"/>
      <c r="W1396" s="20"/>
      <c r="X1396" s="104"/>
      <c r="Y1396" s="104"/>
      <c r="Z1396" s="104"/>
      <c r="AA1396" s="104"/>
      <c r="AB1396" s="104"/>
      <c r="AC1396" s="332">
        <v>5880</v>
      </c>
      <c r="AD1396" s="391">
        <v>6700</v>
      </c>
      <c r="AE1396" s="332">
        <v>7010</v>
      </c>
      <c r="AF1396" s="332">
        <v>7680</v>
      </c>
      <c r="AG1396" s="332">
        <v>8050</v>
      </c>
      <c r="AH1396" s="289">
        <v>5880</v>
      </c>
      <c r="AI1396" s="289">
        <f>AH1396/AC1396-1</f>
        <v>0</v>
      </c>
      <c r="AJ1396" s="289">
        <v>6700</v>
      </c>
      <c r="AK1396" s="289">
        <f>AJ1396/AD1396-1</f>
        <v>0</v>
      </c>
      <c r="AL1396" s="289">
        <v>7010</v>
      </c>
      <c r="AM1396" s="289">
        <f>AL1396/AE1396-1</f>
        <v>0</v>
      </c>
      <c r="AN1396" s="289">
        <v>7680</v>
      </c>
      <c r="AO1396" s="289">
        <f>AN1396/AF1396-1</f>
        <v>0</v>
      </c>
      <c r="AP1396" s="289">
        <v>8050</v>
      </c>
      <c r="AQ1396" s="289">
        <f>AP1396/AG1396-1</f>
        <v>0</v>
      </c>
    </row>
    <row r="1397" spans="1:46" ht="35.1" customHeight="1">
      <c r="A1397" s="8"/>
      <c r="B1397" s="107" t="s">
        <v>23</v>
      </c>
      <c r="C1397" s="322"/>
      <c r="D1397" s="18">
        <f>IF(AC1397="","",(1-$W$2)*(AC1397/1.2))</f>
        <v>4900</v>
      </c>
      <c r="E1397" s="66">
        <f>IF($W$5=0.2,D1397*1.2,D1397)/$W$4</f>
        <v>5880</v>
      </c>
      <c r="F1397" s="18">
        <f>IF(AD1397="","",(1-$W$2)*(AD1397/1.2))</f>
        <v>5583.3333333333339</v>
      </c>
      <c r="G1397" s="66">
        <f>IF($W$5=0.2,F1397*1.2,F1397)/$W$4</f>
        <v>6700.0000000000009</v>
      </c>
      <c r="H1397" s="18">
        <f>IF(AE1397="","",(1-$W$2)*(AE1397/1.2))</f>
        <v>5841.666666666667</v>
      </c>
      <c r="I1397" s="66">
        <f>IF($W$5=0.2,H1397*1.2,H1397)/$W$4</f>
        <v>7010</v>
      </c>
      <c r="J1397" s="18">
        <f>IF(AF1397="","",(1-$W$2)*(AF1397/1.2))</f>
        <v>6400</v>
      </c>
      <c r="K1397" s="66">
        <f>IF($W$5=0.2,J1397*1.2,J1397)/$W$4</f>
        <v>7680</v>
      </c>
      <c r="L1397" s="18">
        <f>IF(AG1397="","",(1-$W$2)*(AG1397/1.2))</f>
        <v>6708.3333333333339</v>
      </c>
      <c r="M1397" s="66">
        <f>IF($W$5=0.2,L1397*1.2,L1397)/$W$4</f>
        <v>8050</v>
      </c>
      <c r="N1397" s="104"/>
      <c r="R1397" s="104"/>
      <c r="T1397" s="104"/>
      <c r="U1397" s="20"/>
      <c r="V1397" s="104"/>
      <c r="W1397" s="20"/>
      <c r="X1397" s="104"/>
      <c r="Y1397" s="104"/>
      <c r="Z1397" s="104"/>
      <c r="AA1397" s="104"/>
      <c r="AB1397" s="104"/>
      <c r="AC1397" s="332">
        <v>5880</v>
      </c>
      <c r="AD1397" s="391">
        <v>6700</v>
      </c>
      <c r="AE1397" s="332">
        <v>7010</v>
      </c>
      <c r="AF1397" s="332">
        <v>7680</v>
      </c>
      <c r="AG1397" s="332">
        <v>8050</v>
      </c>
      <c r="AH1397" s="289">
        <v>5880</v>
      </c>
      <c r="AI1397" s="289">
        <f t="shared" ref="AI1397:AI1398" si="194">AH1397/AC1397-1</f>
        <v>0</v>
      </c>
      <c r="AJ1397" s="289">
        <v>6700</v>
      </c>
      <c r="AK1397" s="289">
        <f t="shared" ref="AK1397:AK1398" si="195">AJ1397/AD1397-1</f>
        <v>0</v>
      </c>
      <c r="AL1397" s="289">
        <v>7010</v>
      </c>
      <c r="AM1397" s="289">
        <f t="shared" ref="AM1397:AM1398" si="196">AL1397/AE1397-1</f>
        <v>0</v>
      </c>
      <c r="AN1397" s="289">
        <v>7680</v>
      </c>
      <c r="AO1397" s="289">
        <f t="shared" ref="AO1397:AO1398" si="197">AN1397/AF1397-1</f>
        <v>0</v>
      </c>
      <c r="AP1397" s="289">
        <v>8050</v>
      </c>
      <c r="AQ1397" s="289">
        <f t="shared" ref="AQ1397:AQ1398" si="198">AP1397/AG1397-1</f>
        <v>0</v>
      </c>
    </row>
    <row r="1398" spans="1:46" ht="35.1" customHeight="1">
      <c r="A1398" s="8"/>
      <c r="B1398" s="23" t="s">
        <v>52</v>
      </c>
      <c r="C1398" s="24"/>
      <c r="D1398" s="25">
        <f>IF(AC1398="","",(1-$W$2)*(AC1398/1.2))</f>
        <v>4900</v>
      </c>
      <c r="E1398" s="69">
        <f>IF($W$5=0.2,D1398*1.2,D1398)/$W$4</f>
        <v>5880</v>
      </c>
      <c r="F1398" s="25">
        <f>IF(AD1398="","",(1-$W$2)*(AD1398/1.2))</f>
        <v>5583.3333333333339</v>
      </c>
      <c r="G1398" s="69">
        <f>IF($W$5=0.2,F1398*1.2,F1398)/$W$4</f>
        <v>6700.0000000000009</v>
      </c>
      <c r="H1398" s="25">
        <f>IF(AE1398="","",(1-$W$2)*(AE1398/1.2))</f>
        <v>5841.666666666667</v>
      </c>
      <c r="I1398" s="69">
        <f>IF($W$5=0.2,H1398*1.2,H1398)/$W$4</f>
        <v>7010</v>
      </c>
      <c r="J1398" s="25">
        <f>IF(AF1398="","",(1-$W$2)*(AF1398/1.2))</f>
        <v>6400</v>
      </c>
      <c r="K1398" s="69">
        <f>IF($W$5=0.2,J1398*1.2,J1398)/$W$4</f>
        <v>7680</v>
      </c>
      <c r="L1398" s="25">
        <f>IF(AG1398="","",(1-$W$2)*(AG1398/1.2))</f>
        <v>6708.3333333333339</v>
      </c>
      <c r="M1398" s="69">
        <f>IF($W$5=0.2,L1398*1.2,L1398)/$W$4</f>
        <v>8050</v>
      </c>
      <c r="N1398" s="104"/>
      <c r="R1398" s="104"/>
      <c r="T1398" s="104"/>
      <c r="U1398" s="20"/>
      <c r="V1398" s="104"/>
      <c r="W1398" s="20"/>
      <c r="X1398" s="104"/>
      <c r="Y1398" s="104"/>
      <c r="Z1398" s="104"/>
      <c r="AA1398" s="104"/>
      <c r="AB1398" s="104"/>
      <c r="AC1398" s="332">
        <v>5880</v>
      </c>
      <c r="AD1398" s="391">
        <v>6700</v>
      </c>
      <c r="AE1398" s="332">
        <v>7010</v>
      </c>
      <c r="AF1398" s="332">
        <v>7680</v>
      </c>
      <c r="AG1398" s="332">
        <v>8050</v>
      </c>
      <c r="AH1398" s="289">
        <v>5880</v>
      </c>
      <c r="AI1398" s="289">
        <f t="shared" si="194"/>
        <v>0</v>
      </c>
      <c r="AJ1398" s="289">
        <v>6700</v>
      </c>
      <c r="AK1398" s="289">
        <f t="shared" si="195"/>
        <v>0</v>
      </c>
      <c r="AL1398" s="289">
        <v>7010</v>
      </c>
      <c r="AM1398" s="289">
        <f t="shared" si="196"/>
        <v>0</v>
      </c>
      <c r="AN1398" s="289">
        <v>7680</v>
      </c>
      <c r="AO1398" s="289">
        <f t="shared" si="197"/>
        <v>0</v>
      </c>
      <c r="AP1398" s="289">
        <v>8050</v>
      </c>
      <c r="AQ1398" s="289">
        <f t="shared" si="198"/>
        <v>0</v>
      </c>
    </row>
    <row r="1399" spans="1:46">
      <c r="C1399" s="245"/>
      <c r="D1399" s="26"/>
      <c r="E1399" s="57"/>
      <c r="F1399" s="26"/>
      <c r="G1399" s="57"/>
      <c r="H1399" s="10"/>
      <c r="I1399" s="8"/>
      <c r="J1399" s="8"/>
      <c r="K1399" s="8"/>
    </row>
    <row r="1400" spans="1:46">
      <c r="B1400" s="212" t="str">
        <f>IF($C$1="ENG","For additonal charge:","Послуги за додаткову плату:")</f>
        <v>Послуги за додаткову плату:</v>
      </c>
      <c r="C1400" s="421"/>
      <c r="D1400" s="213"/>
      <c r="E1400" s="214"/>
      <c r="F1400" s="26"/>
      <c r="G1400" s="57"/>
      <c r="H1400" s="10"/>
      <c r="I1400" s="8"/>
      <c r="J1400" s="8"/>
      <c r="K1400" s="8"/>
    </row>
    <row r="1401" spans="1:46" ht="5.0999999999999996" customHeight="1">
      <c r="B1401" s="27"/>
      <c r="C1401" s="245"/>
      <c r="D1401" s="26"/>
      <c r="E1401" s="57"/>
      <c r="F1401" s="26"/>
      <c r="G1401" s="57"/>
      <c r="H1401" s="10"/>
      <c r="I1401" s="8"/>
      <c r="J1401" s="8"/>
      <c r="K1401" s="8"/>
    </row>
    <row r="1402" spans="1:46">
      <c r="B1402" s="514" t="str">
        <f>IF($C$1="ENG","door leaf with width 100","полотно розміром 100")</f>
        <v>полотно розміром 100</v>
      </c>
      <c r="C1402" s="515"/>
      <c r="D1402" s="132">
        <f t="shared" ref="D1402:D1414" si="199">IF(AC1402="","",(1-$W$2)*(AC1402/1.2))</f>
        <v>600</v>
      </c>
      <c r="E1402" s="92">
        <f t="shared" ref="E1402:E1413" si="200">IF($W$5=0.2,D1402*1.2,D1402)/$W$4</f>
        <v>720</v>
      </c>
      <c r="F1402" s="26"/>
      <c r="G1402" s="26"/>
      <c r="H1402" s="10"/>
      <c r="I1402" s="8"/>
      <c r="J1402" s="8"/>
      <c r="K1402" s="8"/>
      <c r="AC1402" s="289">
        <v>720</v>
      </c>
      <c r="AD1402" s="289">
        <v>720</v>
      </c>
      <c r="AE1402" s="289"/>
      <c r="AF1402" s="289"/>
      <c r="AG1402" s="289"/>
      <c r="AH1402" s="289"/>
      <c r="AI1402" s="289"/>
      <c r="AJ1402" s="289"/>
      <c r="AK1402" s="289"/>
      <c r="AL1402" s="289"/>
    </row>
    <row r="1403" spans="1:46">
      <c r="B1403" s="514" t="str">
        <f>IF($C$1="ENG","Ventilation cut","вентиляційний підріз")</f>
        <v>вентиляційний підріз</v>
      </c>
      <c r="C1403" s="515"/>
      <c r="D1403" s="133">
        <f t="shared" si="199"/>
        <v>141.66666666666669</v>
      </c>
      <c r="E1403" s="66">
        <f t="shared" si="200"/>
        <v>170.00000000000003</v>
      </c>
      <c r="F1403" s="26"/>
      <c r="G1403" s="26"/>
      <c r="I1403" s="59"/>
      <c r="J1403" s="28"/>
      <c r="AC1403" s="289">
        <v>170</v>
      </c>
      <c r="AD1403" s="289">
        <v>170</v>
      </c>
      <c r="AE1403" s="289"/>
      <c r="AF1403" s="289"/>
      <c r="AG1403" s="289"/>
      <c r="AH1403" s="289"/>
      <c r="AI1403" s="289"/>
      <c r="AJ1403" s="289"/>
      <c r="AK1403" s="289"/>
      <c r="AL1403" s="289"/>
    </row>
    <row r="1404" spans="1:46">
      <c r="B1404" s="501" t="str">
        <f>IF($C$1="ENG","glazing Graphite / Bronze","скло Графіт / Бронза")</f>
        <v>скло Графіт / Бронза</v>
      </c>
      <c r="C1404" s="502"/>
      <c r="D1404" s="102">
        <f t="shared" si="199"/>
        <v>458.33333333333337</v>
      </c>
      <c r="E1404" s="93">
        <f t="shared" si="200"/>
        <v>550</v>
      </c>
      <c r="F1404" s="26"/>
      <c r="G1404" s="26"/>
      <c r="H1404" s="5"/>
      <c r="AC1404" s="289">
        <v>550</v>
      </c>
      <c r="AD1404" s="289">
        <v>550</v>
      </c>
      <c r="AE1404" s="289"/>
      <c r="AF1404" s="289"/>
      <c r="AG1404" s="289"/>
      <c r="AH1404" s="289"/>
      <c r="AI1404" s="289"/>
      <c r="AJ1404" s="289"/>
      <c r="AK1404" s="289"/>
      <c r="AL1404" s="289"/>
    </row>
    <row r="1405" spans="1:46">
      <c r="B1405" s="501" t="str">
        <f>IF($C$1="ENG","glazing Lacobel black ","скло Lacobel чорне")</f>
        <v>скло Lacobel чорне</v>
      </c>
      <c r="C1405" s="502"/>
      <c r="D1405" s="407">
        <f t="shared" si="199"/>
        <v>458.33333333333337</v>
      </c>
      <c r="E1405" s="93">
        <f>IF($W$5=0.2,D1405*1.2,D1405)/$W$4</f>
        <v>550</v>
      </c>
      <c r="F1405" s="26"/>
      <c r="G1405" s="26"/>
      <c r="H1405" s="5"/>
      <c r="AC1405" s="298">
        <v>550</v>
      </c>
      <c r="AD1405" s="298">
        <v>550</v>
      </c>
      <c r="AE1405" s="289"/>
      <c r="AF1405" s="289"/>
      <c r="AG1405" s="289"/>
      <c r="AH1405" s="289"/>
      <c r="AI1405" s="289"/>
      <c r="AJ1405" s="289"/>
      <c r="AK1405" s="289"/>
      <c r="AL1405" s="289"/>
    </row>
    <row r="1406" spans="1:46">
      <c r="B1406" s="501" t="str">
        <f>IF($C$1="ENG","door lock Soft","замок Soft")</f>
        <v>замок Soft</v>
      </c>
      <c r="C1406" s="502"/>
      <c r="D1406" s="102">
        <f t="shared" si="199"/>
        <v>458.33333333333337</v>
      </c>
      <c r="E1406" s="93">
        <f t="shared" si="200"/>
        <v>550</v>
      </c>
      <c r="F1406" s="26"/>
      <c r="G1406" s="26"/>
      <c r="H1406" s="5"/>
      <c r="AC1406" s="289">
        <v>550</v>
      </c>
      <c r="AD1406" s="289">
        <v>550</v>
      </c>
      <c r="AE1406" s="289"/>
      <c r="AF1406" s="289"/>
      <c r="AG1406" s="289"/>
      <c r="AH1406" s="289"/>
      <c r="AI1406" s="289"/>
      <c r="AJ1406" s="289"/>
      <c r="AK1406" s="289"/>
      <c r="AL1406" s="289"/>
    </row>
    <row r="1407" spans="1:46">
      <c r="B1407" s="501" t="str">
        <f>IF($C$1="ENG","door lock Soft black","замок Soft чорн.")</f>
        <v>замок Soft чорн.</v>
      </c>
      <c r="C1407" s="502"/>
      <c r="D1407" s="102">
        <f t="shared" ref="D1407" si="201">IF(AC1407="","",(1-$W$2)*(AC1407/1.2))</f>
        <v>566.66666666666674</v>
      </c>
      <c r="E1407" s="93">
        <f t="shared" ref="E1407" si="202">IF($W$5=0.2,D1407*1.2,D1407)/$W$4</f>
        <v>680.00000000000011</v>
      </c>
      <c r="F1407" s="26"/>
      <c r="G1407" s="26"/>
      <c r="H1407" s="5"/>
      <c r="AC1407" s="289">
        <v>680</v>
      </c>
      <c r="AD1407" s="289"/>
      <c r="AE1407" s="289"/>
      <c r="AF1407" s="289"/>
      <c r="AG1407" s="289"/>
      <c r="AH1407" s="289"/>
      <c r="AI1407" s="289"/>
      <c r="AJ1407" s="289"/>
      <c r="AK1407" s="289"/>
      <c r="AL1407" s="289"/>
    </row>
    <row r="1408" spans="1:46">
      <c r="B1408" s="501" t="str">
        <f>IF($C$1="ENG","door lock Magnet","замок Magnet")</f>
        <v>замок Magnet</v>
      </c>
      <c r="C1408" s="502"/>
      <c r="D1408" s="102">
        <f t="shared" si="199"/>
        <v>666.66666666666674</v>
      </c>
      <c r="E1408" s="93">
        <f t="shared" si="200"/>
        <v>800.00000000000011</v>
      </c>
      <c r="F1408" s="26"/>
      <c r="G1408" s="26"/>
      <c r="H1408" s="5"/>
      <c r="AC1408" s="289">
        <v>800</v>
      </c>
      <c r="AD1408" s="289">
        <v>800</v>
      </c>
      <c r="AE1408" s="289"/>
      <c r="AF1408" s="289"/>
      <c r="AG1408" s="289"/>
      <c r="AH1408" s="289"/>
      <c r="AI1408" s="289"/>
      <c r="AJ1408" s="289"/>
      <c r="AK1408" s="289"/>
      <c r="AL1408" s="289"/>
    </row>
    <row r="1409" spans="2:38">
      <c r="B1409" s="501" t="s">
        <v>76</v>
      </c>
      <c r="C1409" s="502"/>
      <c r="D1409" s="102">
        <f t="shared" ref="D1409" si="203">IF(AC1409="","",(1-$W$2)*(AC1409/1.2))</f>
        <v>833.33333333333337</v>
      </c>
      <c r="E1409" s="93">
        <f t="shared" ref="E1409" si="204">IF($W$5=0.2,D1409*1.2,D1409)/$W$4</f>
        <v>1000</v>
      </c>
      <c r="F1409" s="26"/>
      <c r="G1409" s="26"/>
      <c r="H1409" s="5"/>
      <c r="AC1409" s="289">
        <v>1000</v>
      </c>
      <c r="AD1409" s="289"/>
      <c r="AE1409" s="289"/>
      <c r="AF1409" s="289"/>
      <c r="AG1409" s="289"/>
      <c r="AH1409" s="289"/>
      <c r="AI1409" s="289"/>
      <c r="AJ1409" s="289"/>
      <c r="AK1409" s="289"/>
      <c r="AL1409" s="289"/>
    </row>
    <row r="1410" spans="2:38">
      <c r="B1410" s="501" t="str">
        <f>IF($C$1="ENG","door handle-lock (for sliding doors)","ручка-замок (для дверей купе)")</f>
        <v>ручка-замок (для дверей купе)</v>
      </c>
      <c r="C1410" s="502"/>
      <c r="D1410" s="133">
        <f t="shared" si="199"/>
        <v>466.66666666666669</v>
      </c>
      <c r="E1410" s="93">
        <f t="shared" si="200"/>
        <v>560</v>
      </c>
      <c r="F1410" s="26"/>
      <c r="G1410" s="26"/>
      <c r="I1410" s="11"/>
      <c r="J1410" s="11"/>
      <c r="K1410" s="19"/>
      <c r="AC1410" s="289">
        <v>560</v>
      </c>
      <c r="AD1410" s="289">
        <v>560</v>
      </c>
      <c r="AE1410" s="289"/>
      <c r="AF1410" s="289"/>
      <c r="AG1410" s="289"/>
      <c r="AH1410" s="289"/>
      <c r="AI1410" s="289"/>
      <c r="AJ1410" s="289"/>
      <c r="AK1410" s="289"/>
      <c r="AL1410" s="289"/>
    </row>
    <row r="1411" spans="2:38">
      <c r="B1411" s="501" t="str">
        <f>IF($C$1="ENG","cylinder incert","циліндр несиметричний")</f>
        <v>циліндр несиметричний</v>
      </c>
      <c r="C1411" s="502"/>
      <c r="D1411" s="133">
        <f t="shared" si="199"/>
        <v>316.66666666666669</v>
      </c>
      <c r="E1411" s="93">
        <f t="shared" si="200"/>
        <v>380</v>
      </c>
      <c r="F1411" s="26"/>
      <c r="G1411" s="26"/>
      <c r="AC1411" s="289">
        <v>380</v>
      </c>
      <c r="AD1411" s="289">
        <v>380</v>
      </c>
      <c r="AE1411" s="289"/>
      <c r="AF1411" s="289"/>
      <c r="AG1411" s="289"/>
      <c r="AH1411" s="289"/>
      <c r="AI1411" s="289"/>
      <c r="AJ1411" s="289"/>
      <c r="AK1411" s="289"/>
      <c r="AL1411" s="289"/>
    </row>
    <row r="1412" spans="2:38">
      <c r="B1412" s="501" t="str">
        <f>IF($C$1="ENG","door hindge Prestige (1 unit)","завіса Prestige (1 шт)")</f>
        <v>завіса Prestige (1 шт)</v>
      </c>
      <c r="C1412" s="502"/>
      <c r="D1412" s="135">
        <f t="shared" si="199"/>
        <v>216.66666666666669</v>
      </c>
      <c r="E1412" s="93">
        <f t="shared" si="200"/>
        <v>260</v>
      </c>
      <c r="F1412" s="26"/>
      <c r="G1412" s="26"/>
      <c r="AC1412" s="289">
        <v>260</v>
      </c>
      <c r="AD1412" s="289">
        <v>260</v>
      </c>
      <c r="AE1412" s="289"/>
      <c r="AF1412" s="289"/>
      <c r="AG1412" s="289"/>
      <c r="AH1412" s="289"/>
      <c r="AI1412" s="289"/>
      <c r="AJ1412" s="289"/>
      <c r="AK1412" s="289"/>
      <c r="AL1412" s="289"/>
    </row>
    <row r="1413" spans="2:38">
      <c r="B1413" s="501" t="str">
        <f>IF($C$1="ENG","door hinge caps (1 set)","накладка на завіси (1 к-т)")</f>
        <v>накладка на завіси (1 к-т)</v>
      </c>
      <c r="C1413" s="502"/>
      <c r="D1413" s="135">
        <f t="shared" si="199"/>
        <v>66.666666666666671</v>
      </c>
      <c r="E1413" s="93">
        <f t="shared" si="200"/>
        <v>80</v>
      </c>
      <c r="F1413" s="26"/>
      <c r="G1413" s="26"/>
      <c r="AC1413" s="289">
        <v>80</v>
      </c>
      <c r="AD1413" s="289">
        <v>80</v>
      </c>
      <c r="AE1413" s="289"/>
      <c r="AF1413" s="289"/>
      <c r="AG1413" s="289"/>
      <c r="AH1413" s="289"/>
      <c r="AI1413" s="289"/>
      <c r="AJ1413" s="289"/>
      <c r="AK1413" s="289"/>
      <c r="AL1413" s="289"/>
    </row>
    <row r="1414" spans="2:38">
      <c r="B1414" s="501" t="str">
        <f>IF($C$1="ENG","door handle","дверна ручка")</f>
        <v>дверна ручка</v>
      </c>
      <c r="C1414" s="502"/>
      <c r="D1414" s="134" t="str">
        <f t="shared" si="199"/>
        <v/>
      </c>
      <c r="E1414" s="247" t="str">
        <f>IF($C$1="ENG","see Handles Price","див. Таблицю Ручки")</f>
        <v>див. Таблицю Ручки</v>
      </c>
      <c r="F1414" s="26"/>
      <c r="G1414" s="26"/>
      <c r="AC1414" s="289"/>
      <c r="AD1414" s="289"/>
      <c r="AE1414" s="289"/>
      <c r="AF1414" s="289"/>
      <c r="AG1414" s="289"/>
      <c r="AH1414" s="289"/>
      <c r="AI1414" s="289"/>
      <c r="AJ1414" s="289"/>
      <c r="AK1414" s="289"/>
      <c r="AL1414" s="289"/>
    </row>
    <row r="1415" spans="2:38" ht="14.25" customHeight="1">
      <c r="C1415" s="245"/>
      <c r="D1415" s="26"/>
      <c r="E1415" s="26"/>
      <c r="F1415" s="26"/>
      <c r="G1415" s="26"/>
      <c r="H1415" s="5"/>
      <c r="U1415" s="503" t="str">
        <f>IF($C$1="ENG",CONCATENATE("down to: ",B1465),CONCATENATE("вниз до: ",B1465))</f>
        <v>вниз до: Полотна збірні: ТРЕНД</v>
      </c>
      <c r="V1415" s="503"/>
      <c r="W1415" s="503"/>
      <c r="X1415" s="323"/>
      <c r="Y1415" s="323"/>
      <c r="Z1415" s="323"/>
      <c r="AA1415" s="323"/>
      <c r="AB1415" s="323"/>
    </row>
    <row r="1416" spans="2:38" ht="14.25" customHeight="1">
      <c r="C1416" s="245"/>
      <c r="D1416" s="26"/>
      <c r="E1416" s="26"/>
      <c r="F1416" s="26"/>
      <c r="G1416" s="26"/>
      <c r="H1416" s="5"/>
    </row>
    <row r="1417" spans="2:38" ht="14.25" customHeight="1">
      <c r="C1417" s="245"/>
      <c r="D1417" s="26"/>
      <c r="E1417" s="26"/>
      <c r="F1417" s="26"/>
      <c r="G1417" s="26"/>
      <c r="H1417" s="5"/>
    </row>
    <row r="1418" spans="2:38" ht="14.25" customHeight="1">
      <c r="C1418" s="245"/>
      <c r="D1418" s="26"/>
      <c r="E1418" s="26"/>
      <c r="F1418" s="26"/>
      <c r="G1418" s="26"/>
      <c r="H1418" s="5"/>
    </row>
    <row r="1419" spans="2:38" ht="14.25" customHeight="1">
      <c r="C1419" s="245"/>
      <c r="D1419" s="26"/>
      <c r="E1419" s="26"/>
      <c r="F1419" s="26"/>
      <c r="G1419" s="26"/>
      <c r="H1419" s="5"/>
    </row>
    <row r="1420" spans="2:38" ht="14.25" customHeight="1">
      <c r="C1420" s="245"/>
      <c r="D1420" s="26"/>
      <c r="E1420" s="26"/>
      <c r="F1420" s="26"/>
      <c r="G1420" s="26"/>
      <c r="H1420" s="5"/>
    </row>
    <row r="1421" spans="2:38" ht="14.25" customHeight="1">
      <c r="C1421" s="245"/>
      <c r="D1421" s="26"/>
      <c r="E1421" s="26"/>
      <c r="F1421" s="26"/>
      <c r="G1421" s="26"/>
      <c r="H1421" s="5"/>
    </row>
    <row r="1422" spans="2:38" ht="14.25" customHeight="1">
      <c r="C1422" s="245"/>
      <c r="D1422" s="26"/>
      <c r="E1422" s="26"/>
      <c r="F1422" s="26"/>
      <c r="G1422" s="26"/>
      <c r="H1422" s="5"/>
    </row>
    <row r="1423" spans="2:38" ht="14.25" customHeight="1">
      <c r="C1423" s="245"/>
      <c r="D1423" s="26"/>
      <c r="E1423" s="26"/>
      <c r="F1423" s="26"/>
      <c r="G1423" s="26"/>
      <c r="H1423" s="5"/>
    </row>
    <row r="1424" spans="2:38" ht="14.25" customHeight="1">
      <c r="C1424" s="245"/>
      <c r="D1424" s="26"/>
      <c r="E1424" s="26"/>
      <c r="F1424" s="26"/>
      <c r="G1424" s="26"/>
      <c r="H1424" s="5"/>
    </row>
    <row r="1425" spans="3:8" ht="14.25" customHeight="1">
      <c r="C1425" s="245"/>
      <c r="D1425" s="26"/>
      <c r="E1425" s="26"/>
      <c r="F1425" s="26"/>
      <c r="G1425" s="26"/>
      <c r="H1425" s="5"/>
    </row>
    <row r="1426" spans="3:8" ht="14.25" customHeight="1">
      <c r="C1426" s="245"/>
      <c r="D1426" s="26"/>
      <c r="E1426" s="26"/>
      <c r="F1426" s="26"/>
      <c r="G1426" s="26"/>
      <c r="H1426" s="5"/>
    </row>
    <row r="1427" spans="3:8" ht="14.25" customHeight="1">
      <c r="C1427" s="245"/>
      <c r="D1427" s="26"/>
      <c r="E1427" s="26"/>
      <c r="F1427" s="26"/>
      <c r="G1427" s="26"/>
      <c r="H1427" s="5"/>
    </row>
    <row r="1428" spans="3:8" ht="14.25" customHeight="1">
      <c r="C1428" s="245"/>
      <c r="D1428" s="26"/>
      <c r="E1428" s="26"/>
      <c r="F1428" s="26"/>
      <c r="G1428" s="26"/>
      <c r="H1428" s="5"/>
    </row>
    <row r="1429" spans="3:8" ht="14.25" customHeight="1">
      <c r="C1429" s="245"/>
      <c r="D1429" s="26"/>
      <c r="E1429" s="26"/>
      <c r="F1429" s="26"/>
      <c r="G1429" s="26"/>
      <c r="H1429" s="5"/>
    </row>
    <row r="1430" spans="3:8" ht="14.25" customHeight="1">
      <c r="C1430" s="245"/>
      <c r="D1430" s="26"/>
      <c r="E1430" s="26"/>
      <c r="F1430" s="26"/>
      <c r="G1430" s="26"/>
      <c r="H1430" s="5"/>
    </row>
    <row r="1431" spans="3:8" ht="14.25" customHeight="1">
      <c r="C1431" s="245"/>
      <c r="D1431" s="26"/>
      <c r="E1431" s="26"/>
      <c r="F1431" s="26"/>
      <c r="G1431" s="26"/>
      <c r="H1431" s="5"/>
    </row>
    <row r="1432" spans="3:8" ht="14.25" customHeight="1">
      <c r="C1432" s="245"/>
      <c r="D1432" s="26"/>
      <c r="E1432" s="26"/>
      <c r="F1432" s="26"/>
      <c r="G1432" s="26"/>
      <c r="H1432" s="5"/>
    </row>
    <row r="1433" spans="3:8" ht="14.25" customHeight="1">
      <c r="C1433" s="245"/>
      <c r="D1433" s="26"/>
      <c r="E1433" s="26"/>
      <c r="F1433" s="26"/>
      <c r="G1433" s="26"/>
      <c r="H1433" s="5"/>
    </row>
    <row r="1434" spans="3:8" ht="14.25" customHeight="1">
      <c r="C1434" s="245"/>
      <c r="D1434" s="26"/>
      <c r="E1434" s="26"/>
      <c r="F1434" s="26"/>
      <c r="G1434" s="26"/>
      <c r="H1434" s="5"/>
    </row>
    <row r="1435" spans="3:8" ht="14.25" customHeight="1">
      <c r="C1435" s="245"/>
      <c r="D1435" s="26"/>
      <c r="E1435" s="26"/>
      <c r="F1435" s="26"/>
      <c r="G1435" s="26"/>
      <c r="H1435" s="5"/>
    </row>
    <row r="1436" spans="3:8" ht="14.25" customHeight="1">
      <c r="C1436" s="245"/>
      <c r="D1436" s="26"/>
      <c r="E1436" s="26"/>
      <c r="F1436" s="26"/>
      <c r="G1436" s="26"/>
      <c r="H1436" s="5"/>
    </row>
    <row r="1437" spans="3:8" ht="14.25" customHeight="1">
      <c r="C1437" s="245"/>
      <c r="D1437" s="26"/>
      <c r="E1437" s="26"/>
      <c r="F1437" s="26"/>
      <c r="G1437" s="26"/>
      <c r="H1437" s="5"/>
    </row>
    <row r="1438" spans="3:8" ht="14.25" customHeight="1">
      <c r="C1438" s="245"/>
      <c r="D1438" s="26"/>
      <c r="E1438" s="26"/>
      <c r="F1438" s="26"/>
      <c r="G1438" s="26"/>
      <c r="H1438" s="5"/>
    </row>
    <row r="1439" spans="3:8" ht="14.25" customHeight="1">
      <c r="C1439" s="245"/>
      <c r="D1439" s="26"/>
      <c r="E1439" s="26"/>
      <c r="F1439" s="26"/>
      <c r="G1439" s="26"/>
      <c r="H1439" s="5"/>
    </row>
    <row r="1440" spans="3:8" ht="14.25" customHeight="1">
      <c r="C1440" s="245"/>
      <c r="D1440" s="26"/>
      <c r="E1440" s="26"/>
      <c r="F1440" s="26"/>
      <c r="G1440" s="26"/>
      <c r="H1440" s="5"/>
    </row>
    <row r="1441" spans="3:8" ht="14.25" customHeight="1">
      <c r="C1441" s="245"/>
      <c r="D1441" s="26"/>
      <c r="E1441" s="26"/>
      <c r="F1441" s="26"/>
      <c r="G1441" s="26"/>
      <c r="H1441" s="5"/>
    </row>
    <row r="1442" spans="3:8" ht="14.25" customHeight="1">
      <c r="C1442" s="245"/>
      <c r="D1442" s="26"/>
      <c r="E1442" s="26"/>
      <c r="F1442" s="26"/>
      <c r="G1442" s="26"/>
      <c r="H1442" s="5"/>
    </row>
    <row r="1443" spans="3:8" ht="14.25" customHeight="1">
      <c r="C1443" s="245"/>
      <c r="D1443" s="26"/>
      <c r="E1443" s="26"/>
      <c r="F1443" s="26"/>
      <c r="G1443" s="26"/>
      <c r="H1443" s="5"/>
    </row>
    <row r="1444" spans="3:8" ht="14.25" customHeight="1">
      <c r="C1444" s="245"/>
      <c r="D1444" s="26"/>
      <c r="E1444" s="26"/>
      <c r="F1444" s="26"/>
      <c r="G1444" s="26"/>
      <c r="H1444" s="5"/>
    </row>
    <row r="1445" spans="3:8" ht="14.25" customHeight="1">
      <c r="C1445" s="245"/>
      <c r="D1445" s="26"/>
      <c r="E1445" s="26"/>
      <c r="F1445" s="26"/>
      <c r="G1445" s="26"/>
      <c r="H1445" s="5"/>
    </row>
    <row r="1446" spans="3:8" ht="14.25" customHeight="1">
      <c r="C1446" s="245"/>
      <c r="D1446" s="26"/>
      <c r="E1446" s="26"/>
      <c r="F1446" s="26"/>
      <c r="G1446" s="26"/>
      <c r="H1446" s="5"/>
    </row>
    <row r="1447" spans="3:8" ht="14.25" customHeight="1">
      <c r="C1447" s="245"/>
      <c r="D1447" s="26"/>
      <c r="E1447" s="26"/>
      <c r="F1447" s="26"/>
      <c r="G1447" s="26"/>
      <c r="H1447" s="5"/>
    </row>
    <row r="1448" spans="3:8" ht="14.25" customHeight="1">
      <c r="C1448" s="245"/>
      <c r="D1448" s="26"/>
      <c r="E1448" s="26"/>
      <c r="F1448" s="26"/>
      <c r="G1448" s="26"/>
      <c r="H1448" s="5"/>
    </row>
    <row r="1449" spans="3:8" ht="14.25" customHeight="1">
      <c r="C1449" s="245"/>
      <c r="D1449" s="26"/>
      <c r="E1449" s="26"/>
      <c r="F1449" s="26"/>
      <c r="G1449" s="26"/>
      <c r="H1449" s="5"/>
    </row>
    <row r="1450" spans="3:8" ht="14.25" customHeight="1">
      <c r="C1450" s="245"/>
      <c r="D1450" s="26"/>
      <c r="E1450" s="26"/>
      <c r="F1450" s="26"/>
      <c r="G1450" s="26"/>
      <c r="H1450" s="5"/>
    </row>
    <row r="1451" spans="3:8" ht="14.25" customHeight="1">
      <c r="C1451" s="245"/>
      <c r="D1451" s="26"/>
      <c r="E1451" s="26"/>
      <c r="F1451" s="26"/>
      <c r="G1451" s="26"/>
      <c r="H1451" s="5"/>
    </row>
    <row r="1452" spans="3:8" ht="14.25" customHeight="1">
      <c r="C1452" s="245"/>
      <c r="D1452" s="26"/>
      <c r="E1452" s="26"/>
      <c r="F1452" s="26"/>
      <c r="G1452" s="26"/>
      <c r="H1452" s="5"/>
    </row>
    <row r="1453" spans="3:8" ht="14.25" customHeight="1">
      <c r="C1453" s="245"/>
      <c r="D1453" s="26"/>
      <c r="E1453" s="26"/>
      <c r="F1453" s="26"/>
      <c r="G1453" s="26"/>
      <c r="H1453" s="5"/>
    </row>
    <row r="1454" spans="3:8" ht="14.25" customHeight="1">
      <c r="C1454" s="245"/>
      <c r="D1454" s="26"/>
      <c r="E1454" s="26"/>
      <c r="F1454" s="26"/>
      <c r="G1454" s="26"/>
      <c r="H1454" s="5"/>
    </row>
    <row r="1455" spans="3:8" ht="14.25" customHeight="1">
      <c r="C1455" s="245"/>
      <c r="D1455" s="26"/>
      <c r="E1455" s="26"/>
      <c r="F1455" s="26"/>
      <c r="G1455" s="26"/>
      <c r="H1455" s="5"/>
    </row>
    <row r="1456" spans="3:8" ht="14.25" customHeight="1">
      <c r="C1456" s="245"/>
      <c r="D1456" s="26"/>
      <c r="E1456" s="26"/>
      <c r="F1456" s="26"/>
      <c r="G1456" s="26"/>
      <c r="H1456" s="5"/>
    </row>
    <row r="1457" spans="2:43" ht="14.25" customHeight="1">
      <c r="C1457" s="245"/>
      <c r="D1457" s="26"/>
      <c r="E1457" s="26"/>
      <c r="F1457" s="26"/>
      <c r="G1457" s="26"/>
      <c r="H1457" s="5"/>
    </row>
    <row r="1458" spans="2:43" ht="14.25" customHeight="1">
      <c r="C1458" s="245"/>
      <c r="D1458" s="26"/>
      <c r="E1458" s="26"/>
      <c r="F1458" s="26"/>
      <c r="G1458" s="26"/>
      <c r="H1458" s="5"/>
    </row>
    <row r="1459" spans="2:43" ht="14.25" customHeight="1">
      <c r="C1459" s="245"/>
      <c r="D1459" s="26"/>
      <c r="E1459" s="26"/>
      <c r="F1459" s="26"/>
      <c r="G1459" s="26"/>
      <c r="H1459" s="5"/>
    </row>
    <row r="1460" spans="2:43" ht="14.25" customHeight="1">
      <c r="C1460" s="245"/>
      <c r="D1460" s="26"/>
      <c r="E1460" s="26"/>
      <c r="F1460" s="26"/>
      <c r="G1460" s="26"/>
      <c r="H1460" s="5"/>
    </row>
    <row r="1461" spans="2:43" ht="14.25" customHeight="1">
      <c r="C1461" s="245"/>
      <c r="D1461" s="26"/>
      <c r="E1461" s="26"/>
      <c r="F1461" s="26"/>
      <c r="G1461" s="26"/>
      <c r="H1461" s="5"/>
    </row>
    <row r="1462" spans="2:43" ht="14.25" customHeight="1">
      <c r="C1462" s="245"/>
      <c r="D1462" s="26"/>
      <c r="E1462" s="26"/>
      <c r="F1462" s="26"/>
      <c r="G1462" s="26"/>
      <c r="H1462" s="5"/>
    </row>
    <row r="1463" spans="2:43" ht="14.25" customHeight="1">
      <c r="C1463" s="245"/>
      <c r="D1463" s="26"/>
      <c r="E1463" s="26"/>
      <c r="F1463" s="26"/>
      <c r="G1463" s="26"/>
      <c r="H1463" s="5"/>
    </row>
    <row r="1464" spans="2:43" ht="14.25" customHeight="1">
      <c r="C1464" s="245"/>
      <c r="D1464" s="26"/>
      <c r="E1464" s="26"/>
      <c r="F1464" s="26"/>
      <c r="G1464" s="26"/>
      <c r="H1464" s="5"/>
    </row>
    <row r="1465" spans="2:43" ht="14.25" customHeight="1">
      <c r="B1465" s="494" t="str">
        <f>TITLE!C28</f>
        <v>Полотна збірні: ТРЕНД</v>
      </c>
      <c r="C1465" s="494"/>
      <c r="D1465" s="118"/>
      <c r="E1465" s="118"/>
      <c r="F1465" s="118"/>
      <c r="G1465" s="118"/>
      <c r="H1465" s="496"/>
      <c r="I1465" s="496"/>
      <c r="J1465" s="121"/>
      <c r="K1465" s="121"/>
      <c r="L1465" s="121"/>
      <c r="M1465" s="121"/>
      <c r="N1465" s="121"/>
      <c r="O1465" s="121"/>
      <c r="P1465" s="121"/>
      <c r="Q1465" s="121"/>
      <c r="R1465" s="121"/>
      <c r="S1465" s="121"/>
      <c r="T1465" s="517" t="str">
        <f>IF($C$1="ENG",CONCATENATE("up to: ",B1391),CONCATENATE("вгору до: ",B1391))</f>
        <v>вгору до: Полотна збірні: ЄВА</v>
      </c>
      <c r="U1465" s="517"/>
      <c r="V1465" s="517"/>
      <c r="W1465" s="517"/>
      <c r="X1465" s="8"/>
      <c r="Y1465" s="8"/>
      <c r="Z1465" s="8"/>
      <c r="AA1465" s="8"/>
      <c r="AB1465" s="8"/>
      <c r="AC1465" s="8"/>
      <c r="AD1465" s="8"/>
      <c r="AE1465" s="8"/>
      <c r="AF1465" s="8"/>
      <c r="AG1465" s="289">
        <f>AB1465/100*12+AB1465</f>
        <v>0</v>
      </c>
      <c r="AH1465" s="289" t="e">
        <f>AG1465/AB1465-1</f>
        <v>#DIV/0!</v>
      </c>
      <c r="AI1465" s="8"/>
      <c r="AJ1465" s="8"/>
      <c r="AK1465" s="8"/>
      <c r="AL1465" s="8"/>
    </row>
    <row r="1466" spans="2:43" ht="4.5" customHeight="1">
      <c r="B1466" s="117"/>
      <c r="C1466" s="420"/>
      <c r="D1466" s="9"/>
      <c r="E1466" s="9"/>
      <c r="F1466" s="9"/>
      <c r="G1466" s="9"/>
      <c r="H1466" s="120"/>
      <c r="I1466" s="120"/>
      <c r="L1466" s="8"/>
      <c r="M1466" s="8"/>
      <c r="N1466" s="8"/>
      <c r="O1466" s="8"/>
      <c r="P1466" s="8"/>
      <c r="Q1466" s="8"/>
      <c r="R1466" s="8"/>
      <c r="S1466" s="8"/>
      <c r="T1466" s="115"/>
      <c r="U1466" s="115"/>
      <c r="V1466" s="115"/>
      <c r="W1466" s="115"/>
      <c r="X1466" s="8"/>
      <c r="Y1466" s="8"/>
      <c r="Z1466" s="8"/>
      <c r="AA1466" s="8"/>
      <c r="AB1466" s="8"/>
      <c r="AC1466" s="8"/>
      <c r="AD1466" s="8"/>
      <c r="AE1466" s="8"/>
      <c r="AF1466" s="8"/>
      <c r="AG1466" s="8"/>
      <c r="AH1466" s="8"/>
      <c r="AI1466" s="8"/>
      <c r="AJ1466" s="8"/>
      <c r="AK1466" s="8"/>
      <c r="AL1466" s="8"/>
    </row>
    <row r="1467" spans="2:43" ht="14.25" customHeight="1">
      <c r="B1467" s="509" t="str">
        <f>IF($C$1="ENG","model","модель")</f>
        <v>модель</v>
      </c>
      <c r="C1467" s="122" t="str">
        <f>IF($C$1="ENG","cover:","покриття:")</f>
        <v>покриття:</v>
      </c>
      <c r="D1467" s="498" t="str">
        <f>IF($C$1="ENG","Verto-CELL","Verto-CELL")</f>
        <v>Verto-CELL</v>
      </c>
      <c r="E1467" s="500"/>
      <c r="F1467" s="498" t="str">
        <f>IF($C$1="ENG","UNI-MAT","UNI-MAT")</f>
        <v>UNI-MAT</v>
      </c>
      <c r="G1467" s="500"/>
      <c r="H1467" s="498" t="str">
        <f>IF($C$1="ENG","RESIST","RESIST")</f>
        <v>RESIST</v>
      </c>
      <c r="I1467" s="500"/>
      <c r="J1467" s="498" t="str">
        <f>IF($C$1="ENG","Verto LINE-3D","Verto LINE-3D")</f>
        <v>Verto LINE-3D</v>
      </c>
      <c r="K1467" s="500"/>
      <c r="L1467" s="498" t="str">
        <f>IF($C$1="ENG","ECO Shpon","ЕКО Шпон")</f>
        <v>ЕКО Шпон</v>
      </c>
      <c r="M1467" s="500"/>
      <c r="N1467" s="8"/>
      <c r="O1467" s="8"/>
      <c r="P1467" s="20"/>
      <c r="Q1467" s="20"/>
      <c r="R1467" s="8"/>
      <c r="S1467" s="8"/>
      <c r="T1467" s="115"/>
      <c r="U1467" s="115"/>
      <c r="V1467" s="115"/>
      <c r="W1467" s="115"/>
      <c r="X1467" s="8"/>
      <c r="Y1467" s="8"/>
      <c r="Z1467" s="8"/>
      <c r="AA1467" s="8"/>
      <c r="AB1467" s="8"/>
      <c r="AC1467" s="8"/>
      <c r="AD1467" s="8"/>
      <c r="AE1467" s="8"/>
      <c r="AF1467" s="8"/>
      <c r="AG1467" s="8"/>
      <c r="AH1467" s="8"/>
      <c r="AI1467" s="8"/>
      <c r="AJ1467" s="8"/>
      <c r="AK1467" s="8"/>
      <c r="AL1467" s="8"/>
    </row>
    <row r="1468" spans="2:43" ht="27.75" customHeight="1">
      <c r="B1468" s="510"/>
      <c r="C1468" s="123" t="str">
        <f>IF($C$1="ENG","filling:","заповнення:")</f>
        <v>заповнення:</v>
      </c>
      <c r="D1468" s="505" t="str">
        <f>IF($C$1="ENG","softwood","клеєний сосновий брус")</f>
        <v>клеєний сосновий брус</v>
      </c>
      <c r="E1468" s="506"/>
      <c r="F1468" s="505" t="str">
        <f>IF($C$1="ENG","softwood","клеєний сосновий брус")</f>
        <v>клеєний сосновий брус</v>
      </c>
      <c r="G1468" s="506"/>
      <c r="H1468" s="505" t="str">
        <f>IF($C$1="ENG","softwood","клеєний сосновий брус")</f>
        <v>клеєний сосновий брус</v>
      </c>
      <c r="I1468" s="506"/>
      <c r="J1468" s="505" t="str">
        <f>IF($C$1="ENG","softwood","клеєний сосновий брус")</f>
        <v>клеєний сосновий брус</v>
      </c>
      <c r="K1468" s="506"/>
      <c r="L1468" s="505" t="str">
        <f>IF($C$1="ENG","softwood","клеєний сосновий брус")</f>
        <v>клеєний сосновий брус</v>
      </c>
      <c r="M1468" s="506"/>
      <c r="N1468" s="8"/>
      <c r="O1468" s="8"/>
      <c r="P1468" s="20"/>
      <c r="Q1468" s="20"/>
      <c r="R1468" s="8"/>
      <c r="S1468" s="8"/>
      <c r="T1468" s="115"/>
      <c r="U1468" s="115"/>
      <c r="V1468" s="115"/>
      <c r="W1468" s="115"/>
      <c r="X1468" s="8"/>
      <c r="Y1468" s="8"/>
      <c r="Z1468" s="8"/>
      <c r="AA1468" s="8"/>
      <c r="AB1468" s="8"/>
      <c r="AC1468" s="8"/>
      <c r="AD1468" s="383">
        <f>AD1470/AC1470-1</f>
        <v>0.1102257636122177</v>
      </c>
      <c r="AE1468" s="383">
        <f>AE1470/AD1470-1</f>
        <v>3.3492822966507241E-2</v>
      </c>
      <c r="AF1468" s="383">
        <f>AF1470/AE1470-1</f>
        <v>4.513888888888884E-2</v>
      </c>
      <c r="AG1468" s="383">
        <f>AG1470/AF1470-1</f>
        <v>4.6511627906976827E-2</v>
      </c>
      <c r="AH1468" s="8"/>
      <c r="AI1468" s="8"/>
      <c r="AJ1468" s="8"/>
      <c r="AK1468" s="8"/>
      <c r="AL1468" s="8"/>
    </row>
    <row r="1469" spans="2:43" ht="14.25" customHeight="1">
      <c r="B1469" s="511"/>
      <c r="C1469" s="124" t="str">
        <f>IF($C$1="ENG","glazing:","скління:")</f>
        <v>скління:</v>
      </c>
      <c r="D1469" s="489" t="str">
        <f>IF($C$1="ENG","Satin","Сатин")</f>
        <v>Сатин</v>
      </c>
      <c r="E1469" s="492"/>
      <c r="F1469" s="489" t="str">
        <f>IF($C$1="ENG","Satin","Сатин")</f>
        <v>Сатин</v>
      </c>
      <c r="G1469" s="492"/>
      <c r="H1469" s="489" t="str">
        <f>IF($C$1="ENG","Satin","Сатин")</f>
        <v>Сатин</v>
      </c>
      <c r="I1469" s="492"/>
      <c r="J1469" s="489" t="str">
        <f>IF($C$1="ENG","Satin","Сатин")</f>
        <v>Сатин</v>
      </c>
      <c r="K1469" s="492"/>
      <c r="L1469" s="489" t="str">
        <f>IF($C$1="ENG","Satin","Сатин")</f>
        <v>Сатин</v>
      </c>
      <c r="M1469" s="492"/>
      <c r="N1469" s="11"/>
      <c r="O1469" s="11"/>
      <c r="P1469" s="20"/>
      <c r="Q1469" s="20"/>
      <c r="R1469" s="11"/>
      <c r="S1469" s="11"/>
      <c r="T1469" s="11"/>
    </row>
    <row r="1470" spans="2:43" ht="34.5" customHeight="1">
      <c r="B1470" s="13" t="s">
        <v>24</v>
      </c>
      <c r="C1470" s="14"/>
      <c r="D1470" s="15">
        <f>IF(AC1470="","",(1-$W$2)*(AC1470/1.2))</f>
        <v>6275</v>
      </c>
      <c r="E1470" s="64">
        <f>IF($W$5=0.2,D1470*1.2,D1470)/$W$4</f>
        <v>7530</v>
      </c>
      <c r="F1470" s="15">
        <f>IF(AD1470="","",(1-$W$2)*(AD1470/1.2))</f>
        <v>6966.666666666667</v>
      </c>
      <c r="G1470" s="64">
        <f>IF($W$5=0.2,F1470*1.2,F1470)/$W$4</f>
        <v>8360</v>
      </c>
      <c r="H1470" s="15">
        <f>IF(AE1470="","",(1-$W$2)*(AE1470/1.2))</f>
        <v>7200</v>
      </c>
      <c r="I1470" s="64">
        <f>IF($W$5=0.2,H1470*1.2,H1470)/$W$4</f>
        <v>8640</v>
      </c>
      <c r="J1470" s="15">
        <f>IF(AF1470="","",(1-$W$2)*(AF1470/1.2))</f>
        <v>7525</v>
      </c>
      <c r="K1470" s="64">
        <f>IF($W$5=0.2,J1470*1.2,J1470)/$W$4</f>
        <v>9030</v>
      </c>
      <c r="L1470" s="15">
        <f>IF(AG1470="","",(1-$W$2)*(AG1470/1.2))</f>
        <v>7875</v>
      </c>
      <c r="M1470" s="64">
        <f>IF($W$5=0.2,L1470*1.2,L1470)/$W$4</f>
        <v>9450</v>
      </c>
      <c r="N1470" s="104"/>
      <c r="O1470" s="20"/>
      <c r="P1470" s="20"/>
      <c r="Q1470" s="20"/>
      <c r="R1470" s="104"/>
      <c r="S1470" s="20"/>
      <c r="T1470" s="104"/>
      <c r="U1470" s="20"/>
      <c r="V1470" s="104"/>
      <c r="W1470" s="20"/>
      <c r="X1470" s="22"/>
      <c r="Y1470" s="22"/>
      <c r="Z1470" s="22"/>
      <c r="AA1470" s="22"/>
      <c r="AB1470" s="22"/>
      <c r="AC1470" s="332">
        <v>7530</v>
      </c>
      <c r="AD1470" s="391">
        <v>8360</v>
      </c>
      <c r="AE1470" s="332">
        <v>8640</v>
      </c>
      <c r="AF1470" s="332">
        <v>9030</v>
      </c>
      <c r="AG1470" s="332">
        <v>9450</v>
      </c>
      <c r="AH1470" s="289">
        <v>7530</v>
      </c>
      <c r="AI1470" s="289">
        <f>AH1470/AC1470-1</f>
        <v>0</v>
      </c>
      <c r="AJ1470" s="289">
        <v>8360</v>
      </c>
      <c r="AK1470" s="289">
        <f>AJ1470/AD1470-1</f>
        <v>0</v>
      </c>
      <c r="AL1470" s="289">
        <v>8640</v>
      </c>
      <c r="AM1470" s="289">
        <f>AL1470/AE1470-1</f>
        <v>0</v>
      </c>
      <c r="AN1470" s="289">
        <v>9030</v>
      </c>
      <c r="AO1470" s="289">
        <f>AN1470/AF1470-1</f>
        <v>0</v>
      </c>
      <c r="AP1470" s="289">
        <v>9450</v>
      </c>
      <c r="AQ1470" s="289">
        <f>AP1470/AG1470-1</f>
        <v>0</v>
      </c>
    </row>
    <row r="1471" spans="2:43" ht="34.5" customHeight="1">
      <c r="B1471" s="16" t="s">
        <v>36</v>
      </c>
      <c r="C1471" s="17"/>
      <c r="D1471" s="18">
        <f>IF(AC1471="","",(1-$W$2)*(AC1471/1.2))</f>
        <v>6275</v>
      </c>
      <c r="E1471" s="66">
        <f>IF($W$5=0.2,D1471*1.2,D1471)/$W$4</f>
        <v>7530</v>
      </c>
      <c r="F1471" s="18">
        <f>IF(AD1471="","",(1-$W$2)*(AD1471/1.2))</f>
        <v>6966.666666666667</v>
      </c>
      <c r="G1471" s="66">
        <f>IF($W$5=0.2,F1471*1.2,F1471)/$W$4</f>
        <v>8360</v>
      </c>
      <c r="H1471" s="18">
        <f>IF(AE1471="","",(1-$W$2)*(AE1471/1.2))</f>
        <v>7200</v>
      </c>
      <c r="I1471" s="66">
        <f>IF($W$5=0.2,H1471*1.2,H1471)/$W$4</f>
        <v>8640</v>
      </c>
      <c r="J1471" s="18">
        <f>IF(AF1471="","",(1-$W$2)*(AF1471/1.2))</f>
        <v>7525</v>
      </c>
      <c r="K1471" s="66">
        <f>IF($W$5=0.2,J1471*1.2,J1471)/$W$4</f>
        <v>9030</v>
      </c>
      <c r="L1471" s="18">
        <f>IF(AG1471="","",(1-$W$2)*(AG1471/1.2))</f>
        <v>7875</v>
      </c>
      <c r="M1471" s="66">
        <f>IF($W$5=0.2,L1471*1.2,L1471)/$W$4</f>
        <v>9450</v>
      </c>
      <c r="N1471" s="104"/>
      <c r="O1471" s="20"/>
      <c r="P1471" s="20"/>
      <c r="Q1471" s="20"/>
      <c r="R1471" s="104"/>
      <c r="S1471" s="20"/>
      <c r="T1471" s="104"/>
      <c r="U1471" s="20"/>
      <c r="V1471" s="104"/>
      <c r="W1471" s="20"/>
      <c r="X1471" s="22"/>
      <c r="Y1471" s="22"/>
      <c r="Z1471" s="22"/>
      <c r="AA1471" s="22"/>
      <c r="AB1471" s="22"/>
      <c r="AC1471" s="332">
        <v>7530</v>
      </c>
      <c r="AD1471" s="391">
        <v>8360</v>
      </c>
      <c r="AE1471" s="332">
        <v>8640</v>
      </c>
      <c r="AF1471" s="332">
        <v>9030</v>
      </c>
      <c r="AG1471" s="332">
        <v>9450</v>
      </c>
      <c r="AH1471" s="289">
        <v>7530</v>
      </c>
      <c r="AI1471" s="289">
        <f t="shared" ref="AI1471:AI1472" si="205">AH1471/AC1471-1</f>
        <v>0</v>
      </c>
      <c r="AJ1471" s="289">
        <v>8360</v>
      </c>
      <c r="AK1471" s="289">
        <f t="shared" ref="AK1471:AK1472" si="206">AJ1471/AD1471-1</f>
        <v>0</v>
      </c>
      <c r="AL1471" s="289">
        <v>8640</v>
      </c>
      <c r="AM1471" s="289">
        <f t="shared" ref="AM1471:AM1472" si="207">AL1471/AE1471-1</f>
        <v>0</v>
      </c>
      <c r="AN1471" s="289">
        <v>9030</v>
      </c>
      <c r="AO1471" s="289">
        <f t="shared" ref="AO1471:AO1472" si="208">AN1471/AF1471-1</f>
        <v>0</v>
      </c>
      <c r="AP1471" s="289">
        <v>9450</v>
      </c>
      <c r="AQ1471" s="289">
        <f t="shared" ref="AQ1471:AQ1472" si="209">AP1471/AG1471-1</f>
        <v>0</v>
      </c>
    </row>
    <row r="1472" spans="2:43" ht="34.5" customHeight="1">
      <c r="B1472" s="23" t="s">
        <v>37</v>
      </c>
      <c r="C1472" s="24"/>
      <c r="D1472" s="25">
        <f>IF(AC1472="","",(1-$W$2)*(AC1472/1.2))</f>
        <v>6275</v>
      </c>
      <c r="E1472" s="69">
        <f>IF($W$5=0.2,D1472*1.2,D1472)/$W$4</f>
        <v>7530</v>
      </c>
      <c r="F1472" s="25">
        <f>IF(AD1472="","",(1-$W$2)*(AD1472/1.2))</f>
        <v>6966.666666666667</v>
      </c>
      <c r="G1472" s="69">
        <f>IF($W$5=0.2,F1472*1.2,F1472)/$W$4</f>
        <v>8360</v>
      </c>
      <c r="H1472" s="25">
        <f>IF(AE1472="","",(1-$W$2)*(AE1472/1.2))</f>
        <v>7200</v>
      </c>
      <c r="I1472" s="69">
        <f>IF($W$5=0.2,H1472*1.2,H1472)/$W$4</f>
        <v>8640</v>
      </c>
      <c r="J1472" s="25">
        <f>IF(AF1472="","",(1-$W$2)*(AF1472/1.2))</f>
        <v>7525</v>
      </c>
      <c r="K1472" s="69">
        <f>IF($W$5=0.2,J1472*1.2,J1472)/$W$4</f>
        <v>9030</v>
      </c>
      <c r="L1472" s="25">
        <f>IF(AG1472="","",(1-$W$2)*(AG1472/1.2))</f>
        <v>7875</v>
      </c>
      <c r="M1472" s="69">
        <f>IF($W$5=0.2,L1472*1.2,L1472)/$W$4</f>
        <v>9450</v>
      </c>
      <c r="N1472" s="104"/>
      <c r="O1472" s="20"/>
      <c r="P1472" s="20"/>
      <c r="Q1472" s="20"/>
      <c r="R1472" s="104"/>
      <c r="S1472" s="20"/>
      <c r="T1472" s="104"/>
      <c r="U1472" s="20"/>
      <c r="V1472" s="104"/>
      <c r="W1472" s="20"/>
      <c r="X1472" s="22"/>
      <c r="Y1472" s="22"/>
      <c r="Z1472" s="22"/>
      <c r="AA1472" s="22"/>
      <c r="AB1472" s="22"/>
      <c r="AC1472" s="332">
        <v>7530</v>
      </c>
      <c r="AD1472" s="391">
        <v>8360</v>
      </c>
      <c r="AE1472" s="332">
        <v>8640</v>
      </c>
      <c r="AF1472" s="332">
        <v>9030</v>
      </c>
      <c r="AG1472" s="332">
        <v>9450</v>
      </c>
      <c r="AH1472" s="289">
        <v>7530</v>
      </c>
      <c r="AI1472" s="289">
        <f t="shared" si="205"/>
        <v>0</v>
      </c>
      <c r="AJ1472" s="289">
        <v>8360</v>
      </c>
      <c r="AK1472" s="289">
        <f t="shared" si="206"/>
        <v>0</v>
      </c>
      <c r="AL1472" s="289">
        <v>8640</v>
      </c>
      <c r="AM1472" s="289">
        <f t="shared" si="207"/>
        <v>0</v>
      </c>
      <c r="AN1472" s="289">
        <v>9030</v>
      </c>
      <c r="AO1472" s="289">
        <f t="shared" si="208"/>
        <v>0</v>
      </c>
      <c r="AP1472" s="289">
        <v>9450</v>
      </c>
      <c r="AQ1472" s="289">
        <f t="shared" si="209"/>
        <v>0</v>
      </c>
    </row>
    <row r="1473" spans="2:38" ht="12.75" customHeight="1">
      <c r="C1473" s="245"/>
      <c r="D1473" s="26"/>
      <c r="E1473" s="57"/>
      <c r="F1473" s="26"/>
      <c r="G1473" s="57"/>
      <c r="H1473" s="5"/>
      <c r="P1473" s="20"/>
      <c r="Q1473" s="20"/>
    </row>
    <row r="1474" spans="2:38" ht="12.75" customHeight="1">
      <c r="B1474" s="212" t="str">
        <f>IF($C$1="ENG","For additonal charge:","Послуги за додаткову плату:")</f>
        <v>Послуги за додаткову плату:</v>
      </c>
      <c r="C1474" s="421"/>
      <c r="D1474" s="213"/>
      <c r="E1474" s="214"/>
      <c r="F1474" s="26"/>
      <c r="G1474" s="57"/>
      <c r="H1474" s="10"/>
      <c r="I1474" s="8"/>
      <c r="J1474" s="8"/>
      <c r="K1474" s="8"/>
    </row>
    <row r="1475" spans="2:38" ht="4.5" customHeight="1">
      <c r="B1475" s="27"/>
      <c r="C1475" s="245"/>
      <c r="D1475" s="26"/>
      <c r="E1475" s="57"/>
      <c r="F1475" s="26"/>
      <c r="G1475" s="26"/>
      <c r="H1475" s="10"/>
      <c r="I1475" s="8"/>
      <c r="J1475" s="8"/>
      <c r="K1475" s="8"/>
    </row>
    <row r="1476" spans="2:38" ht="12.75" customHeight="1">
      <c r="B1476" s="514" t="str">
        <f>IF($C$1="ENG","door leaf with width 100","полотно розміром 100")</f>
        <v>полотно розміром 100</v>
      </c>
      <c r="C1476" s="515"/>
      <c r="D1476" s="132">
        <f t="shared" ref="D1476:D1488" si="210">IF(AC1476="","",(1-$W$2)*(AC1476/1.2))</f>
        <v>600</v>
      </c>
      <c r="E1476" s="92">
        <f t="shared" ref="E1476:E1487" si="211">IF($W$5=0.2,D1476*1.2,D1476)/$W$4</f>
        <v>720</v>
      </c>
      <c r="F1476" s="26"/>
      <c r="G1476" s="26"/>
      <c r="H1476" s="10"/>
      <c r="I1476" s="8"/>
      <c r="J1476" s="8"/>
      <c r="K1476" s="8"/>
      <c r="AC1476" s="289">
        <v>720</v>
      </c>
      <c r="AD1476" s="289">
        <v>720</v>
      </c>
      <c r="AE1476" s="289"/>
      <c r="AF1476" s="289"/>
      <c r="AG1476" s="289"/>
      <c r="AH1476" s="289"/>
      <c r="AI1476" s="289"/>
      <c r="AJ1476" s="289"/>
      <c r="AK1476" s="289"/>
      <c r="AL1476" s="289"/>
    </row>
    <row r="1477" spans="2:38" ht="12.75" customHeight="1">
      <c r="B1477" s="501" t="str">
        <f>IF($C$1="ENG","Ventilation sleeves (1 row)","вентиляційні віддушини (1ряд)")</f>
        <v>вентиляційні віддушини (1ряд)</v>
      </c>
      <c r="C1477" s="502"/>
      <c r="D1477" s="133">
        <f t="shared" si="210"/>
        <v>208.33333333333334</v>
      </c>
      <c r="E1477" s="93">
        <f t="shared" si="211"/>
        <v>250</v>
      </c>
      <c r="F1477" s="26"/>
      <c r="G1477" s="26"/>
      <c r="I1477" s="11"/>
      <c r="J1477" s="11"/>
      <c r="K1477" s="11"/>
      <c r="AC1477" s="289">
        <v>250</v>
      </c>
      <c r="AD1477" s="289">
        <v>250</v>
      </c>
      <c r="AE1477" s="289"/>
      <c r="AF1477" s="289"/>
      <c r="AG1477" s="289"/>
      <c r="AH1477" s="289"/>
      <c r="AI1477" s="289"/>
      <c r="AJ1477" s="289"/>
      <c r="AK1477" s="289"/>
      <c r="AL1477" s="289"/>
    </row>
    <row r="1478" spans="2:38" ht="12.75" customHeight="1">
      <c r="B1478" s="514" t="str">
        <f>IF($C$1="ENG","Ventilation cut","вентиляційний підріз")</f>
        <v>вентиляційний підріз</v>
      </c>
      <c r="C1478" s="515"/>
      <c r="D1478" s="133">
        <f t="shared" si="210"/>
        <v>141.66666666666669</v>
      </c>
      <c r="E1478" s="66">
        <f t="shared" si="211"/>
        <v>170.00000000000003</v>
      </c>
      <c r="F1478" s="26"/>
      <c r="G1478" s="26"/>
      <c r="I1478" s="59"/>
      <c r="J1478" s="28"/>
      <c r="AC1478" s="289">
        <v>170</v>
      </c>
      <c r="AD1478" s="289">
        <v>170</v>
      </c>
      <c r="AE1478" s="289"/>
      <c r="AF1478" s="289"/>
      <c r="AG1478" s="289"/>
      <c r="AH1478" s="289"/>
      <c r="AI1478" s="289"/>
      <c r="AJ1478" s="289"/>
      <c r="AK1478" s="289"/>
      <c r="AL1478" s="289"/>
    </row>
    <row r="1479" spans="2:38" ht="12.75" customHeight="1">
      <c r="B1479" s="501" t="str">
        <f>IF($C$1="ENG","glazing Graphite / Bronze","скло Графіт / Бронза")</f>
        <v>скло Графіт / Бронза</v>
      </c>
      <c r="C1479" s="502"/>
      <c r="D1479" s="102">
        <f t="shared" si="210"/>
        <v>458.33333333333337</v>
      </c>
      <c r="E1479" s="93">
        <f t="shared" si="211"/>
        <v>550</v>
      </c>
      <c r="F1479" s="26"/>
      <c r="G1479" s="26"/>
      <c r="H1479" s="5"/>
      <c r="AC1479" s="289">
        <v>550</v>
      </c>
      <c r="AD1479" s="289">
        <v>550</v>
      </c>
      <c r="AE1479" s="289"/>
      <c r="AF1479" s="289"/>
      <c r="AG1479" s="289"/>
      <c r="AH1479" s="289"/>
      <c r="AI1479" s="289"/>
      <c r="AJ1479" s="289"/>
      <c r="AK1479" s="289"/>
      <c r="AL1479" s="289"/>
    </row>
    <row r="1480" spans="2:38" ht="12.75" customHeight="1">
      <c r="B1480" s="501" t="str">
        <f>IF($C$1="ENG","door lock Soft","замок Soft")</f>
        <v>замок Soft</v>
      </c>
      <c r="C1480" s="502"/>
      <c r="D1480" s="102">
        <f t="shared" si="210"/>
        <v>458.33333333333337</v>
      </c>
      <c r="E1480" s="93">
        <f t="shared" si="211"/>
        <v>550</v>
      </c>
      <c r="F1480" s="26"/>
      <c r="G1480" s="26"/>
      <c r="H1480" s="5"/>
      <c r="AC1480" s="289">
        <v>550</v>
      </c>
      <c r="AD1480" s="289">
        <v>550</v>
      </c>
      <c r="AE1480" s="289"/>
      <c r="AF1480" s="289"/>
      <c r="AG1480" s="289"/>
      <c r="AH1480" s="289"/>
      <c r="AI1480" s="289"/>
      <c r="AJ1480" s="289"/>
      <c r="AK1480" s="289"/>
      <c r="AL1480" s="289"/>
    </row>
    <row r="1481" spans="2:38" ht="12.75" customHeight="1">
      <c r="B1481" s="501" t="str">
        <f>IF($C$1="ENG","door lock Soft black","замок Soft чорн.")</f>
        <v>замок Soft чорн.</v>
      </c>
      <c r="C1481" s="502"/>
      <c r="D1481" s="102">
        <f t="shared" ref="D1481" si="212">IF(AC1481="","",(1-$W$2)*(AC1481/1.2))</f>
        <v>566.66666666666674</v>
      </c>
      <c r="E1481" s="93">
        <f t="shared" ref="E1481" si="213">IF($W$5=0.2,D1481*1.2,D1481)/$W$4</f>
        <v>680.00000000000011</v>
      </c>
      <c r="F1481" s="26"/>
      <c r="G1481" s="26"/>
      <c r="H1481" s="5"/>
      <c r="AC1481" s="289">
        <v>680</v>
      </c>
      <c r="AD1481" s="289"/>
      <c r="AE1481" s="289"/>
      <c r="AF1481" s="289"/>
      <c r="AG1481" s="289"/>
      <c r="AH1481" s="289"/>
      <c r="AI1481" s="289"/>
      <c r="AJ1481" s="289"/>
      <c r="AK1481" s="289"/>
      <c r="AL1481" s="289"/>
    </row>
    <row r="1482" spans="2:38" ht="12.75" customHeight="1">
      <c r="B1482" s="501" t="str">
        <f>IF($C$1="ENG","door lock Magnet","замок Magnet")</f>
        <v>замок Magnet</v>
      </c>
      <c r="C1482" s="502"/>
      <c r="D1482" s="102">
        <f t="shared" si="210"/>
        <v>666.66666666666674</v>
      </c>
      <c r="E1482" s="93">
        <f t="shared" si="211"/>
        <v>800.00000000000011</v>
      </c>
      <c r="F1482" s="26"/>
      <c r="G1482" s="26"/>
      <c r="H1482" s="5"/>
      <c r="AC1482" s="289">
        <v>800</v>
      </c>
      <c r="AD1482" s="289">
        <v>800</v>
      </c>
      <c r="AE1482" s="289"/>
      <c r="AF1482" s="289"/>
      <c r="AG1482" s="289"/>
      <c r="AH1482" s="289"/>
      <c r="AI1482" s="289"/>
      <c r="AJ1482" s="289"/>
      <c r="AK1482" s="289"/>
      <c r="AL1482" s="289"/>
    </row>
    <row r="1483" spans="2:38" ht="12.75" customHeight="1">
      <c r="B1483" s="501" t="s">
        <v>76</v>
      </c>
      <c r="C1483" s="502"/>
      <c r="D1483" s="102">
        <f t="shared" si="210"/>
        <v>833.33333333333337</v>
      </c>
      <c r="E1483" s="93">
        <f t="shared" si="211"/>
        <v>1000</v>
      </c>
      <c r="F1483" s="26"/>
      <c r="G1483" s="26"/>
      <c r="H1483" s="5"/>
      <c r="AC1483" s="289">
        <v>1000</v>
      </c>
      <c r="AD1483" s="289"/>
      <c r="AE1483" s="289"/>
      <c r="AF1483" s="289"/>
      <c r="AG1483" s="289"/>
      <c r="AH1483" s="289"/>
      <c r="AI1483" s="289"/>
      <c r="AJ1483" s="289"/>
      <c r="AK1483" s="289"/>
      <c r="AL1483" s="289"/>
    </row>
    <row r="1484" spans="2:38" ht="12.75" customHeight="1">
      <c r="B1484" s="501" t="str">
        <f>IF($C$1="ENG","door handle-lock (for sliding doors)","ручка-замок (для дверей купе)")</f>
        <v>ручка-замок (для дверей купе)</v>
      </c>
      <c r="C1484" s="502"/>
      <c r="D1484" s="133">
        <f t="shared" si="210"/>
        <v>466.66666666666669</v>
      </c>
      <c r="E1484" s="93">
        <f t="shared" si="211"/>
        <v>560</v>
      </c>
      <c r="F1484" s="26"/>
      <c r="G1484" s="26"/>
      <c r="I1484" s="11"/>
      <c r="J1484" s="11"/>
      <c r="K1484" s="19"/>
      <c r="AC1484" s="289">
        <v>560</v>
      </c>
      <c r="AD1484" s="289">
        <v>560</v>
      </c>
      <c r="AE1484" s="289"/>
      <c r="AF1484" s="289"/>
      <c r="AG1484" s="289"/>
      <c r="AH1484" s="289"/>
      <c r="AI1484" s="289"/>
      <c r="AJ1484" s="289"/>
      <c r="AK1484" s="289"/>
      <c r="AL1484" s="289"/>
    </row>
    <row r="1485" spans="2:38" ht="12.75" customHeight="1">
      <c r="B1485" s="501" t="str">
        <f>IF($C$1="ENG","cylinder incert","циліндр несиметричний")</f>
        <v>циліндр несиметричний</v>
      </c>
      <c r="C1485" s="502"/>
      <c r="D1485" s="133">
        <f t="shared" si="210"/>
        <v>316.66666666666669</v>
      </c>
      <c r="E1485" s="93">
        <f t="shared" si="211"/>
        <v>380</v>
      </c>
      <c r="F1485" s="26"/>
      <c r="G1485" s="26"/>
      <c r="I1485" s="20"/>
      <c r="AC1485" s="289">
        <v>380</v>
      </c>
      <c r="AD1485" s="289">
        <v>380</v>
      </c>
      <c r="AE1485" s="289"/>
      <c r="AF1485" s="289"/>
      <c r="AG1485" s="289"/>
      <c r="AH1485" s="289"/>
      <c r="AI1485" s="289"/>
      <c r="AJ1485" s="289"/>
      <c r="AK1485" s="289"/>
      <c r="AL1485" s="289"/>
    </row>
    <row r="1486" spans="2:38" ht="12.75" customHeight="1">
      <c r="B1486" s="501" t="str">
        <f>IF($C$1="ENG","door hindge Prestige (1 unit)","завіса Prestige (1 шт)")</f>
        <v>завіса Prestige (1 шт)</v>
      </c>
      <c r="C1486" s="502"/>
      <c r="D1486" s="135">
        <f t="shared" si="210"/>
        <v>216.66666666666669</v>
      </c>
      <c r="E1486" s="93">
        <f t="shared" si="211"/>
        <v>260</v>
      </c>
      <c r="F1486" s="26"/>
      <c r="G1486" s="26"/>
      <c r="AC1486" s="289">
        <v>260</v>
      </c>
      <c r="AD1486" s="289">
        <v>260</v>
      </c>
      <c r="AE1486" s="289"/>
      <c r="AF1486" s="289"/>
      <c r="AG1486" s="289"/>
      <c r="AH1486" s="289"/>
      <c r="AI1486" s="289"/>
      <c r="AJ1486" s="289"/>
      <c r="AK1486" s="289"/>
      <c r="AL1486" s="289"/>
    </row>
    <row r="1487" spans="2:38" ht="12.75" customHeight="1">
      <c r="B1487" s="501" t="str">
        <f>IF($C$1="ENG","door hinge caps (1 set)","накладка на завіси (1 к-т)")</f>
        <v>накладка на завіси (1 к-т)</v>
      </c>
      <c r="C1487" s="502"/>
      <c r="D1487" s="135">
        <f t="shared" si="210"/>
        <v>66.666666666666671</v>
      </c>
      <c r="E1487" s="93">
        <f t="shared" si="211"/>
        <v>80</v>
      </c>
      <c r="F1487" s="26"/>
      <c r="G1487" s="26"/>
      <c r="AC1487" s="289">
        <v>80</v>
      </c>
      <c r="AD1487" s="289">
        <v>80</v>
      </c>
      <c r="AE1487" s="289"/>
      <c r="AF1487" s="289"/>
      <c r="AG1487" s="289"/>
      <c r="AH1487" s="289"/>
      <c r="AI1487" s="289"/>
      <c r="AJ1487" s="289"/>
      <c r="AK1487" s="289"/>
      <c r="AL1487" s="289"/>
    </row>
    <row r="1488" spans="2:38" ht="12.75" customHeight="1">
      <c r="B1488" s="501" t="str">
        <f>IF($C$1="ENG","door handle","дверна ручка")</f>
        <v>дверна ручка</v>
      </c>
      <c r="C1488" s="502"/>
      <c r="D1488" s="134" t="str">
        <f t="shared" si="210"/>
        <v/>
      </c>
      <c r="E1488" s="247" t="str">
        <f>IF($C$1="ENG","see Handles Price","див. Таблицю Ручки")</f>
        <v>див. Таблицю Ручки</v>
      </c>
      <c r="F1488" s="26"/>
      <c r="G1488" s="26"/>
      <c r="AC1488" s="289"/>
      <c r="AD1488" s="289"/>
      <c r="AE1488" s="289"/>
      <c r="AF1488" s="289"/>
      <c r="AG1488" s="289"/>
      <c r="AH1488" s="289"/>
      <c r="AI1488" s="289"/>
      <c r="AJ1488" s="289"/>
      <c r="AK1488" s="289"/>
      <c r="AL1488" s="289"/>
    </row>
    <row r="1489" spans="3:23" ht="14.25" customHeight="1">
      <c r="C1489" s="245"/>
      <c r="D1489" s="26"/>
      <c r="E1489" s="26"/>
      <c r="F1489" s="26"/>
      <c r="G1489" s="26"/>
      <c r="H1489" s="5"/>
      <c r="T1489" s="503" t="str">
        <f>IF($C$1="ENG",CONCATENATE("down to: ",B1539),CONCATENATE("вниз до: ",B1539))</f>
        <v>вниз до: Полотна збірні: МОДЕРН</v>
      </c>
      <c r="U1489" s="503"/>
      <c r="V1489" s="503"/>
      <c r="W1489" s="503"/>
    </row>
    <row r="1490" spans="3:23" ht="14.25" customHeight="1">
      <c r="C1490" s="245"/>
      <c r="D1490" s="26"/>
      <c r="E1490" s="26"/>
      <c r="F1490" s="26"/>
      <c r="G1490" s="26"/>
      <c r="H1490" s="5"/>
      <c r="T1490" s="115"/>
      <c r="U1490" s="115"/>
      <c r="V1490" s="115"/>
      <c r="W1490" s="115"/>
    </row>
    <row r="1491" spans="3:23" ht="14.25" customHeight="1">
      <c r="C1491" s="245"/>
      <c r="D1491" s="26"/>
      <c r="E1491" s="26"/>
      <c r="F1491" s="26"/>
      <c r="G1491" s="26"/>
      <c r="H1491" s="5"/>
      <c r="T1491" s="115"/>
      <c r="U1491" s="115"/>
      <c r="V1491" s="115"/>
      <c r="W1491" s="115"/>
    </row>
    <row r="1492" spans="3:23" ht="14.25" customHeight="1">
      <c r="C1492" s="245"/>
      <c r="D1492" s="26"/>
      <c r="E1492" s="26"/>
      <c r="F1492" s="26"/>
      <c r="G1492" s="26"/>
      <c r="H1492" s="5"/>
      <c r="T1492" s="115"/>
      <c r="U1492" s="115"/>
      <c r="V1492" s="115"/>
      <c r="W1492" s="115"/>
    </row>
    <row r="1493" spans="3:23" ht="14.25" customHeight="1">
      <c r="C1493" s="245"/>
      <c r="D1493" s="26"/>
      <c r="E1493" s="26"/>
      <c r="F1493" s="26"/>
      <c r="G1493" s="26"/>
      <c r="H1493" s="5"/>
      <c r="T1493" s="115"/>
      <c r="U1493" s="115"/>
      <c r="V1493" s="115"/>
      <c r="W1493" s="115"/>
    </row>
    <row r="1494" spans="3:23" ht="14.25" customHeight="1">
      <c r="C1494" s="245"/>
      <c r="D1494" s="26"/>
      <c r="E1494" s="26"/>
      <c r="F1494" s="26"/>
      <c r="G1494" s="26"/>
      <c r="H1494" s="5"/>
      <c r="T1494" s="115"/>
      <c r="U1494" s="115"/>
      <c r="V1494" s="115"/>
      <c r="W1494" s="115"/>
    </row>
    <row r="1495" spans="3:23" ht="14.25" customHeight="1">
      <c r="C1495" s="245"/>
      <c r="D1495" s="26"/>
      <c r="E1495" s="26"/>
      <c r="F1495" s="26"/>
      <c r="G1495" s="26"/>
      <c r="H1495" s="5"/>
      <c r="T1495" s="115"/>
      <c r="U1495" s="115"/>
      <c r="V1495" s="115"/>
      <c r="W1495" s="115"/>
    </row>
    <row r="1496" spans="3:23" ht="14.25" customHeight="1">
      <c r="C1496" s="245"/>
      <c r="D1496" s="26"/>
      <c r="E1496" s="26"/>
      <c r="F1496" s="26"/>
      <c r="G1496" s="26"/>
      <c r="H1496" s="5"/>
      <c r="T1496" s="115"/>
      <c r="U1496" s="115"/>
      <c r="V1496" s="115"/>
      <c r="W1496" s="115"/>
    </row>
    <row r="1497" spans="3:23" ht="14.25" customHeight="1">
      <c r="C1497" s="245"/>
      <c r="D1497" s="26"/>
      <c r="E1497" s="26"/>
      <c r="F1497" s="26"/>
      <c r="G1497" s="26"/>
      <c r="H1497" s="5"/>
      <c r="T1497" s="115"/>
      <c r="U1497" s="115"/>
      <c r="V1497" s="115"/>
      <c r="W1497" s="115"/>
    </row>
    <row r="1498" spans="3:23" ht="14.25" customHeight="1">
      <c r="C1498" s="245"/>
      <c r="D1498" s="26"/>
      <c r="E1498" s="26"/>
      <c r="F1498" s="26"/>
      <c r="G1498" s="26"/>
      <c r="H1498" s="5"/>
      <c r="T1498" s="115"/>
      <c r="U1498" s="115"/>
      <c r="V1498" s="115"/>
      <c r="W1498" s="115"/>
    </row>
    <row r="1499" spans="3:23" ht="14.25" customHeight="1">
      <c r="C1499" s="245"/>
      <c r="D1499" s="26"/>
      <c r="E1499" s="26"/>
      <c r="F1499" s="26"/>
      <c r="G1499" s="26"/>
      <c r="H1499" s="5"/>
      <c r="T1499" s="115"/>
      <c r="U1499" s="115"/>
      <c r="V1499" s="115"/>
      <c r="W1499" s="115"/>
    </row>
    <row r="1500" spans="3:23" ht="14.25" customHeight="1">
      <c r="C1500" s="245"/>
      <c r="D1500" s="26"/>
      <c r="E1500" s="26"/>
      <c r="F1500" s="26"/>
      <c r="G1500" s="26"/>
      <c r="H1500" s="5"/>
      <c r="T1500" s="115"/>
      <c r="U1500" s="115"/>
      <c r="V1500" s="115"/>
      <c r="W1500" s="115"/>
    </row>
    <row r="1501" spans="3:23" ht="14.25" customHeight="1">
      <c r="C1501" s="245"/>
      <c r="D1501" s="26"/>
      <c r="E1501" s="26"/>
      <c r="F1501" s="26"/>
      <c r="G1501" s="26"/>
      <c r="H1501" s="5"/>
      <c r="T1501" s="115"/>
      <c r="U1501" s="115"/>
      <c r="V1501" s="115"/>
      <c r="W1501" s="115"/>
    </row>
    <row r="1502" spans="3:23" ht="14.25" customHeight="1">
      <c r="C1502" s="245"/>
      <c r="D1502" s="26"/>
      <c r="E1502" s="26"/>
      <c r="F1502" s="26"/>
      <c r="G1502" s="26"/>
      <c r="H1502" s="5"/>
      <c r="T1502" s="115"/>
      <c r="U1502" s="115"/>
      <c r="V1502" s="115"/>
      <c r="W1502" s="115"/>
    </row>
    <row r="1503" spans="3:23" ht="14.25" customHeight="1">
      <c r="C1503" s="245"/>
      <c r="D1503" s="26"/>
      <c r="E1503" s="26"/>
      <c r="F1503" s="26"/>
      <c r="G1503" s="26"/>
      <c r="H1503" s="5"/>
      <c r="T1503" s="115"/>
      <c r="U1503" s="115"/>
      <c r="V1503" s="115"/>
      <c r="W1503" s="115"/>
    </row>
    <row r="1504" spans="3:23" ht="14.25" customHeight="1">
      <c r="C1504" s="245"/>
      <c r="D1504" s="26"/>
      <c r="E1504" s="26"/>
      <c r="F1504" s="26"/>
      <c r="G1504" s="26"/>
      <c r="H1504" s="5"/>
      <c r="T1504" s="115"/>
      <c r="U1504" s="115"/>
      <c r="V1504" s="115"/>
      <c r="W1504" s="115"/>
    </row>
    <row r="1505" spans="3:23" ht="14.25" customHeight="1">
      <c r="C1505" s="245"/>
      <c r="D1505" s="26"/>
      <c r="E1505" s="26"/>
      <c r="F1505" s="26"/>
      <c r="G1505" s="26"/>
      <c r="H1505" s="5"/>
      <c r="T1505" s="115"/>
      <c r="U1505" s="115"/>
      <c r="V1505" s="115"/>
      <c r="W1505" s="115"/>
    </row>
    <row r="1506" spans="3:23" ht="14.25" customHeight="1">
      <c r="C1506" s="245"/>
      <c r="D1506" s="26"/>
      <c r="E1506" s="26"/>
      <c r="F1506" s="26"/>
      <c r="G1506" s="26"/>
      <c r="H1506" s="5"/>
      <c r="T1506" s="115"/>
      <c r="U1506" s="115"/>
      <c r="V1506" s="115"/>
      <c r="W1506" s="115"/>
    </row>
    <row r="1507" spans="3:23" ht="14.25" customHeight="1">
      <c r="C1507" s="245"/>
      <c r="D1507" s="26"/>
      <c r="E1507" s="26"/>
      <c r="F1507" s="26"/>
      <c r="G1507" s="26"/>
      <c r="H1507" s="5"/>
      <c r="T1507" s="115"/>
      <c r="U1507" s="115"/>
      <c r="V1507" s="115"/>
      <c r="W1507" s="115"/>
    </row>
    <row r="1508" spans="3:23" ht="14.25" customHeight="1">
      <c r="C1508" s="245"/>
      <c r="D1508" s="26"/>
      <c r="E1508" s="26"/>
      <c r="F1508" s="26"/>
      <c r="G1508" s="26"/>
      <c r="H1508" s="5"/>
      <c r="T1508" s="115"/>
      <c r="U1508" s="115"/>
      <c r="V1508" s="115"/>
      <c r="W1508" s="115"/>
    </row>
    <row r="1509" spans="3:23" ht="14.25" customHeight="1">
      <c r="C1509" s="245"/>
      <c r="D1509" s="26"/>
      <c r="E1509" s="26"/>
      <c r="F1509" s="26"/>
      <c r="G1509" s="26"/>
      <c r="H1509" s="5"/>
      <c r="T1509" s="115"/>
      <c r="U1509" s="115"/>
      <c r="V1509" s="115"/>
      <c r="W1509" s="115"/>
    </row>
    <row r="1510" spans="3:23" ht="14.25" customHeight="1">
      <c r="C1510" s="245"/>
      <c r="D1510" s="26"/>
      <c r="E1510" s="26"/>
      <c r="F1510" s="26"/>
      <c r="G1510" s="26"/>
      <c r="H1510" s="5"/>
      <c r="T1510" s="115"/>
      <c r="U1510" s="115"/>
      <c r="V1510" s="115"/>
      <c r="W1510" s="115"/>
    </row>
    <row r="1511" spans="3:23" ht="14.25" customHeight="1">
      <c r="C1511" s="245"/>
      <c r="D1511" s="26"/>
      <c r="E1511" s="26"/>
      <c r="F1511" s="26"/>
      <c r="G1511" s="26"/>
      <c r="H1511" s="5"/>
      <c r="T1511" s="115"/>
      <c r="U1511" s="115"/>
      <c r="V1511" s="115"/>
      <c r="W1511" s="115"/>
    </row>
    <row r="1512" spans="3:23" ht="14.25" customHeight="1">
      <c r="C1512" s="245"/>
      <c r="D1512" s="26"/>
      <c r="E1512" s="26"/>
      <c r="F1512" s="26"/>
      <c r="G1512" s="26"/>
      <c r="H1512" s="5"/>
      <c r="T1512" s="115"/>
      <c r="U1512" s="115"/>
      <c r="V1512" s="115"/>
      <c r="W1512" s="115"/>
    </row>
    <row r="1513" spans="3:23" ht="14.25" customHeight="1">
      <c r="C1513" s="245"/>
      <c r="D1513" s="26"/>
      <c r="E1513" s="26"/>
      <c r="F1513" s="26"/>
      <c r="G1513" s="26"/>
      <c r="H1513" s="5"/>
      <c r="T1513" s="115"/>
      <c r="U1513" s="115"/>
      <c r="V1513" s="115"/>
      <c r="W1513" s="115"/>
    </row>
    <row r="1514" spans="3:23" ht="14.25" customHeight="1">
      <c r="C1514" s="245"/>
      <c r="D1514" s="26"/>
      <c r="E1514" s="26"/>
      <c r="F1514" s="26"/>
      <c r="G1514" s="26"/>
      <c r="H1514" s="5"/>
      <c r="T1514" s="115"/>
      <c r="U1514" s="115"/>
      <c r="V1514" s="115"/>
      <c r="W1514" s="115"/>
    </row>
    <row r="1515" spans="3:23" ht="14.25" customHeight="1">
      <c r="C1515" s="245"/>
      <c r="D1515" s="26"/>
      <c r="E1515" s="26"/>
      <c r="F1515" s="26"/>
      <c r="G1515" s="26"/>
      <c r="H1515" s="5"/>
      <c r="T1515" s="115"/>
      <c r="U1515" s="115"/>
      <c r="V1515" s="115"/>
      <c r="W1515" s="115"/>
    </row>
    <row r="1516" spans="3:23" ht="14.25" customHeight="1">
      <c r="C1516" s="245"/>
      <c r="D1516" s="26"/>
      <c r="E1516" s="26"/>
      <c r="F1516" s="26"/>
      <c r="G1516" s="26"/>
      <c r="H1516" s="5"/>
      <c r="T1516" s="115"/>
      <c r="U1516" s="115"/>
      <c r="V1516" s="115"/>
      <c r="W1516" s="115"/>
    </row>
    <row r="1517" spans="3:23" ht="14.25" customHeight="1">
      <c r="C1517" s="245"/>
      <c r="D1517" s="26"/>
      <c r="E1517" s="26"/>
      <c r="F1517" s="26"/>
      <c r="G1517" s="26"/>
      <c r="H1517" s="5"/>
      <c r="T1517" s="115"/>
      <c r="U1517" s="115"/>
      <c r="V1517" s="115"/>
      <c r="W1517" s="115"/>
    </row>
    <row r="1518" spans="3:23" ht="14.25" customHeight="1">
      <c r="C1518" s="245"/>
      <c r="D1518" s="26"/>
      <c r="E1518" s="26"/>
      <c r="F1518" s="26"/>
      <c r="G1518" s="26"/>
      <c r="H1518" s="5"/>
      <c r="T1518" s="115"/>
      <c r="U1518" s="115"/>
      <c r="V1518" s="115"/>
      <c r="W1518" s="115"/>
    </row>
    <row r="1519" spans="3:23" ht="14.25" customHeight="1">
      <c r="C1519" s="245"/>
      <c r="D1519" s="26"/>
      <c r="E1519" s="26"/>
      <c r="F1519" s="26"/>
      <c r="G1519" s="26"/>
      <c r="H1519" s="5"/>
      <c r="T1519" s="115"/>
      <c r="U1519" s="115"/>
      <c r="V1519" s="115"/>
      <c r="W1519" s="115"/>
    </row>
    <row r="1520" spans="3:23" ht="14.25" customHeight="1">
      <c r="C1520" s="245"/>
      <c r="D1520" s="26"/>
      <c r="E1520" s="26"/>
      <c r="F1520" s="26"/>
      <c r="G1520" s="26"/>
      <c r="H1520" s="5"/>
      <c r="T1520" s="115"/>
      <c r="U1520" s="115"/>
      <c r="V1520" s="115"/>
      <c r="W1520" s="115"/>
    </row>
    <row r="1521" spans="3:23" ht="14.25" customHeight="1">
      <c r="C1521" s="245"/>
      <c r="D1521" s="26"/>
      <c r="E1521" s="26"/>
      <c r="F1521" s="26"/>
      <c r="G1521" s="26"/>
      <c r="H1521" s="5"/>
      <c r="T1521" s="115"/>
      <c r="U1521" s="115"/>
      <c r="V1521" s="115"/>
      <c r="W1521" s="115"/>
    </row>
    <row r="1522" spans="3:23" ht="14.25" customHeight="1">
      <c r="C1522" s="245"/>
      <c r="D1522" s="26"/>
      <c r="E1522" s="26"/>
      <c r="F1522" s="26"/>
      <c r="G1522" s="26"/>
      <c r="H1522" s="5"/>
      <c r="T1522" s="115"/>
      <c r="U1522" s="115"/>
      <c r="V1522" s="115"/>
      <c r="W1522" s="115"/>
    </row>
    <row r="1523" spans="3:23" ht="14.25" customHeight="1">
      <c r="C1523" s="245"/>
      <c r="D1523" s="26"/>
      <c r="E1523" s="26"/>
      <c r="F1523" s="26"/>
      <c r="G1523" s="26"/>
      <c r="H1523" s="5"/>
      <c r="T1523" s="115"/>
      <c r="U1523" s="115"/>
      <c r="V1523" s="115"/>
      <c r="W1523" s="115"/>
    </row>
    <row r="1524" spans="3:23" ht="14.25" customHeight="1">
      <c r="C1524" s="245"/>
      <c r="D1524" s="26"/>
      <c r="E1524" s="26"/>
      <c r="F1524" s="26"/>
      <c r="G1524" s="26"/>
      <c r="H1524" s="5"/>
      <c r="T1524" s="115"/>
      <c r="U1524" s="115"/>
      <c r="V1524" s="115"/>
      <c r="W1524" s="115"/>
    </row>
    <row r="1525" spans="3:23" ht="14.25" customHeight="1">
      <c r="C1525" s="245"/>
      <c r="D1525" s="26"/>
      <c r="E1525" s="26"/>
      <c r="F1525" s="26"/>
      <c r="G1525" s="26"/>
      <c r="H1525" s="5"/>
      <c r="T1525" s="115"/>
      <c r="U1525" s="115"/>
      <c r="V1525" s="115"/>
      <c r="W1525" s="115"/>
    </row>
    <row r="1526" spans="3:23" ht="14.25" customHeight="1">
      <c r="C1526" s="245"/>
      <c r="D1526" s="26"/>
      <c r="E1526" s="26"/>
      <c r="F1526" s="26"/>
      <c r="G1526" s="26"/>
      <c r="H1526" s="5"/>
      <c r="T1526" s="115"/>
      <c r="U1526" s="115"/>
      <c r="V1526" s="115"/>
      <c r="W1526" s="115"/>
    </row>
    <row r="1527" spans="3:23" ht="14.25" customHeight="1">
      <c r="C1527" s="245"/>
      <c r="D1527" s="26"/>
      <c r="E1527" s="26"/>
      <c r="F1527" s="26"/>
      <c r="G1527" s="26"/>
      <c r="H1527" s="5"/>
      <c r="T1527" s="115"/>
      <c r="U1527" s="115"/>
      <c r="V1527" s="115"/>
      <c r="W1527" s="115"/>
    </row>
    <row r="1528" spans="3:23" ht="14.25" customHeight="1">
      <c r="C1528" s="245"/>
      <c r="D1528" s="26"/>
      <c r="E1528" s="26"/>
      <c r="F1528" s="26"/>
      <c r="G1528" s="26"/>
      <c r="H1528" s="5"/>
      <c r="T1528" s="115"/>
      <c r="U1528" s="115"/>
      <c r="V1528" s="115"/>
      <c r="W1528" s="115"/>
    </row>
    <row r="1529" spans="3:23" ht="14.25" customHeight="1">
      <c r="C1529" s="245"/>
      <c r="D1529" s="26"/>
      <c r="E1529" s="26"/>
      <c r="F1529" s="26"/>
      <c r="G1529" s="26"/>
      <c r="H1529" s="5"/>
      <c r="T1529" s="115"/>
      <c r="U1529" s="115"/>
      <c r="V1529" s="115"/>
      <c r="W1529" s="115"/>
    </row>
    <row r="1530" spans="3:23" ht="14.25" customHeight="1">
      <c r="C1530" s="245"/>
      <c r="D1530" s="26"/>
      <c r="E1530" s="26"/>
      <c r="F1530" s="26"/>
      <c r="G1530" s="26"/>
      <c r="H1530" s="5"/>
      <c r="T1530" s="115"/>
      <c r="U1530" s="115"/>
      <c r="V1530" s="115"/>
      <c r="W1530" s="115"/>
    </row>
    <row r="1531" spans="3:23" ht="14.25" customHeight="1">
      <c r="C1531" s="245"/>
      <c r="D1531" s="26"/>
      <c r="E1531" s="26"/>
      <c r="F1531" s="26"/>
      <c r="G1531" s="26"/>
      <c r="H1531" s="5"/>
      <c r="T1531" s="115"/>
      <c r="U1531" s="115"/>
      <c r="V1531" s="115"/>
      <c r="W1531" s="115"/>
    </row>
    <row r="1532" spans="3:23" ht="14.25" customHeight="1">
      <c r="C1532" s="245"/>
      <c r="D1532" s="26"/>
      <c r="E1532" s="26"/>
      <c r="F1532" s="26"/>
      <c r="G1532" s="26"/>
      <c r="H1532" s="5"/>
      <c r="T1532" s="115"/>
      <c r="U1532" s="115"/>
      <c r="V1532" s="115"/>
      <c r="W1532" s="115"/>
    </row>
    <row r="1533" spans="3:23" ht="14.25" customHeight="1">
      <c r="C1533" s="245"/>
      <c r="D1533" s="26"/>
      <c r="E1533" s="26"/>
      <c r="F1533" s="26"/>
      <c r="G1533" s="26"/>
      <c r="H1533" s="5"/>
      <c r="T1533" s="115"/>
      <c r="U1533" s="115"/>
      <c r="V1533" s="115"/>
      <c r="W1533" s="115"/>
    </row>
    <row r="1534" spans="3:23" ht="14.25" customHeight="1">
      <c r="C1534" s="245"/>
      <c r="D1534" s="26"/>
      <c r="E1534" s="26"/>
      <c r="F1534" s="26"/>
      <c r="G1534" s="26"/>
      <c r="H1534" s="5"/>
      <c r="T1534" s="115"/>
      <c r="U1534" s="115"/>
      <c r="V1534" s="115"/>
      <c r="W1534" s="115"/>
    </row>
    <row r="1535" spans="3:23" ht="14.25" customHeight="1">
      <c r="C1535" s="245"/>
      <c r="D1535" s="26"/>
      <c r="E1535" s="26"/>
      <c r="F1535" s="26"/>
      <c r="G1535" s="26"/>
      <c r="H1535" s="5"/>
      <c r="T1535" s="115"/>
      <c r="U1535" s="115"/>
      <c r="V1535" s="115"/>
      <c r="W1535" s="115"/>
    </row>
    <row r="1536" spans="3:23" ht="14.25" customHeight="1">
      <c r="C1536" s="245"/>
      <c r="D1536" s="26"/>
      <c r="E1536" s="26"/>
      <c r="F1536" s="26"/>
      <c r="G1536" s="26"/>
      <c r="H1536" s="5"/>
      <c r="T1536" s="115"/>
      <c r="U1536" s="115"/>
      <c r="V1536" s="115"/>
      <c r="W1536" s="115"/>
    </row>
    <row r="1537" spans="2:43" ht="14.25" customHeight="1">
      <c r="C1537" s="245"/>
      <c r="D1537" s="26"/>
      <c r="E1537" s="26"/>
      <c r="F1537" s="26"/>
      <c r="G1537" s="26"/>
      <c r="H1537" s="5"/>
      <c r="T1537" s="115"/>
      <c r="U1537" s="115"/>
      <c r="V1537" s="115"/>
      <c r="W1537" s="115"/>
    </row>
    <row r="1538" spans="2:43" ht="14.25" customHeight="1">
      <c r="C1538" s="245"/>
      <c r="D1538" s="26"/>
      <c r="E1538" s="26"/>
      <c r="F1538" s="26"/>
      <c r="G1538" s="26"/>
      <c r="H1538" s="5"/>
      <c r="T1538" s="115"/>
      <c r="U1538" s="115"/>
      <c r="V1538" s="115"/>
      <c r="W1538" s="115"/>
    </row>
    <row r="1539" spans="2:43" ht="14.25" customHeight="1">
      <c r="B1539" s="494" t="str">
        <f>TITLE!C29</f>
        <v>Полотна збірні: МОДЕРН</v>
      </c>
      <c r="C1539" s="494"/>
      <c r="D1539" s="118"/>
      <c r="E1539" s="118"/>
      <c r="F1539" s="118"/>
      <c r="G1539" s="118"/>
      <c r="H1539" s="496"/>
      <c r="I1539" s="496"/>
      <c r="J1539" s="121"/>
      <c r="K1539" s="121"/>
      <c r="L1539" s="121"/>
      <c r="M1539" s="121"/>
      <c r="N1539" s="121"/>
      <c r="O1539" s="121"/>
      <c r="P1539" s="121"/>
      <c r="Q1539" s="121"/>
      <c r="R1539" s="121"/>
      <c r="S1539" s="121"/>
      <c r="T1539" s="517" t="str">
        <f>IF($C$1="ENG",CONCATENATE("up to: ",B1465),CONCATENATE("вгору до: ",B1465))</f>
        <v>вгору до: Полотна збірні: ТРЕНД</v>
      </c>
      <c r="U1539" s="517"/>
      <c r="V1539" s="517"/>
      <c r="W1539" s="517"/>
      <c r="X1539" s="8"/>
      <c r="Y1539" s="8"/>
      <c r="Z1539" s="8"/>
      <c r="AA1539" s="8"/>
      <c r="AB1539" s="8"/>
      <c r="AC1539" s="8"/>
      <c r="AD1539" s="8"/>
      <c r="AE1539" s="8"/>
      <c r="AF1539" s="8"/>
      <c r="AG1539" s="8"/>
      <c r="AH1539" s="8"/>
      <c r="AI1539" s="8"/>
      <c r="AJ1539" s="8"/>
      <c r="AK1539" s="8"/>
      <c r="AL1539" s="8"/>
    </row>
    <row r="1540" spans="2:43" ht="4.5" customHeight="1">
      <c r="B1540" s="117"/>
      <c r="C1540" s="420"/>
      <c r="D1540" s="9"/>
      <c r="E1540" s="9"/>
      <c r="F1540" s="9"/>
      <c r="G1540" s="9"/>
      <c r="H1540" s="120"/>
      <c r="I1540" s="120"/>
      <c r="L1540" s="8"/>
      <c r="M1540" s="8"/>
      <c r="N1540" s="8"/>
      <c r="O1540" s="8"/>
      <c r="P1540" s="8"/>
      <c r="Q1540" s="8"/>
      <c r="R1540" s="8"/>
      <c r="S1540" s="8"/>
      <c r="T1540" s="115"/>
      <c r="U1540" s="115"/>
      <c r="V1540" s="115"/>
      <c r="W1540" s="115"/>
      <c r="X1540" s="8"/>
      <c r="Y1540" s="8"/>
      <c r="Z1540" s="8"/>
      <c r="AA1540" s="8"/>
      <c r="AB1540" s="8"/>
      <c r="AC1540" s="8"/>
      <c r="AD1540" s="8"/>
      <c r="AE1540" s="8"/>
      <c r="AF1540" s="8"/>
      <c r="AG1540" s="8"/>
      <c r="AH1540" s="8"/>
      <c r="AI1540" s="8"/>
      <c r="AJ1540" s="8"/>
      <c r="AK1540" s="8"/>
      <c r="AL1540" s="8"/>
    </row>
    <row r="1541" spans="2:43" ht="13.5" customHeight="1">
      <c r="B1541" s="509" t="str">
        <f>IF($C$1="ENG","model","модель")</f>
        <v>модель</v>
      </c>
      <c r="C1541" s="122" t="str">
        <f>IF($C$1="ENG","cover:","покриття:")</f>
        <v>покриття:</v>
      </c>
      <c r="D1541" s="498" t="str">
        <f>IF($C$1="ENG","VERTO-CELL","VERTO-CELL")</f>
        <v>VERTO-CELL</v>
      </c>
      <c r="E1541" s="500"/>
      <c r="F1541" s="498" t="str">
        <f>IF($C$1="ENG","UNI-MAT","UNI-MAT")</f>
        <v>UNI-MAT</v>
      </c>
      <c r="G1541" s="500"/>
      <c r="H1541" s="498" t="str">
        <f>IF($C$1="ENG","RESIST","RESIST")</f>
        <v>RESIST</v>
      </c>
      <c r="I1541" s="500"/>
      <c r="J1541" s="498" t="str">
        <f>IF($C$1="ENG","Verto LINE-3D","Verto LINE-3D")</f>
        <v>Verto LINE-3D</v>
      </c>
      <c r="K1541" s="500"/>
      <c r="L1541" s="498" t="str">
        <f>IF($C$1="ENG","ECO Shpon","ЕКО Шпон")</f>
        <v>ЕКО Шпон</v>
      </c>
      <c r="M1541" s="500"/>
      <c r="N1541" s="8"/>
      <c r="O1541" s="8"/>
      <c r="P1541" s="20"/>
      <c r="Q1541" s="20"/>
      <c r="R1541" s="8"/>
      <c r="S1541" s="8"/>
      <c r="T1541" s="115"/>
      <c r="U1541" s="115"/>
      <c r="V1541" s="115"/>
      <c r="W1541" s="115"/>
      <c r="X1541" s="8"/>
      <c r="Y1541" s="8"/>
      <c r="Z1541" s="8"/>
      <c r="AA1541" s="8"/>
      <c r="AB1541" s="8"/>
      <c r="AC1541" s="8"/>
      <c r="AD1541" s="8"/>
      <c r="AE1541" s="8"/>
      <c r="AF1541" s="8"/>
      <c r="AG1541" s="8"/>
      <c r="AH1541" s="8"/>
      <c r="AI1541" s="8"/>
      <c r="AJ1541" s="8"/>
      <c r="AK1541" s="8"/>
      <c r="AL1541" s="8"/>
    </row>
    <row r="1542" spans="2:43" ht="24.75" customHeight="1">
      <c r="B1542" s="510"/>
      <c r="C1542" s="123" t="str">
        <f>IF($C$1="ENG","filling:","заповнення:")</f>
        <v>заповнення:</v>
      </c>
      <c r="D1542" s="505" t="str">
        <f>IF($C$1="ENG","softwood","клеєний сосновий брус")</f>
        <v>клеєний сосновий брус</v>
      </c>
      <c r="E1542" s="506"/>
      <c r="F1542" s="505" t="str">
        <f>IF($C$1="ENG","softwood","клеєний сосновий брус")</f>
        <v>клеєний сосновий брус</v>
      </c>
      <c r="G1542" s="506"/>
      <c r="H1542" s="505" t="str">
        <f>IF($C$1="ENG","softwood","клеєний сосновий брус")</f>
        <v>клеєний сосновий брус</v>
      </c>
      <c r="I1542" s="506"/>
      <c r="J1542" s="505" t="str">
        <f>IF($C$1="ENG","softwood","клеєний сосновий брус")</f>
        <v>клеєний сосновий брус</v>
      </c>
      <c r="K1542" s="506"/>
      <c r="L1542" s="505" t="str">
        <f>IF($C$1="ENG","softwood","клеєний сосновий брус")</f>
        <v>клеєний сосновий брус</v>
      </c>
      <c r="M1542" s="506"/>
      <c r="N1542" s="8"/>
      <c r="O1542" s="8"/>
      <c r="P1542" s="20"/>
      <c r="Q1542" s="20"/>
      <c r="R1542" s="8"/>
      <c r="S1542" s="8"/>
      <c r="T1542" s="115"/>
      <c r="U1542" s="115"/>
      <c r="V1542" s="115"/>
      <c r="W1542" s="115"/>
      <c r="X1542" s="8"/>
      <c r="Y1542" s="8"/>
      <c r="Z1542" s="8"/>
      <c r="AA1542" s="8"/>
      <c r="AB1542" s="8"/>
      <c r="AC1542" s="8"/>
      <c r="AD1542" s="383">
        <f>AD1544/AC1544-1</f>
        <v>0.120253164556962</v>
      </c>
      <c r="AE1542" s="383">
        <f>AE1544/AD1544-1</f>
        <v>4.2372881355932313E-2</v>
      </c>
      <c r="AF1542" s="383">
        <f>AF1544/AE1544-1</f>
        <v>7.3170731707317138E-2</v>
      </c>
      <c r="AG1542" s="383">
        <f>AG1544/AF1544-1</f>
        <v>4.7979797979798011E-2</v>
      </c>
      <c r="AH1542" s="8"/>
      <c r="AI1542" s="8"/>
      <c r="AJ1542" s="8"/>
      <c r="AK1542" s="8"/>
      <c r="AL1542" s="8"/>
    </row>
    <row r="1543" spans="2:43" ht="13.5" customHeight="1">
      <c r="B1543" s="511"/>
      <c r="C1543" s="124" t="str">
        <f>IF($C$1="ENG","glazing:","скління:")</f>
        <v>скління:</v>
      </c>
      <c r="D1543" s="489" t="str">
        <f>IF($C$1="ENG","Satin","Сатин")</f>
        <v>Сатин</v>
      </c>
      <c r="E1543" s="492"/>
      <c r="F1543" s="489" t="str">
        <f>IF($C$1="ENG","Satin","Сатин")</f>
        <v>Сатин</v>
      </c>
      <c r="G1543" s="492"/>
      <c r="H1543" s="489" t="str">
        <f>IF($C$1="ENG","Satin","Сатин")</f>
        <v>Сатин</v>
      </c>
      <c r="I1543" s="492"/>
      <c r="J1543" s="489" t="str">
        <f>IF($C$1="ENG","Satin","Сатин")</f>
        <v>Сатин</v>
      </c>
      <c r="K1543" s="492"/>
      <c r="L1543" s="489" t="str">
        <f>IF($C$1="ENG","Satin","Сатин")</f>
        <v>Сатин</v>
      </c>
      <c r="M1543" s="492"/>
      <c r="N1543" s="11"/>
      <c r="O1543" s="11"/>
      <c r="P1543" s="20"/>
      <c r="Q1543" s="20"/>
      <c r="R1543" s="11"/>
      <c r="S1543" s="11"/>
      <c r="T1543" s="11"/>
    </row>
    <row r="1544" spans="2:43" ht="34.5" customHeight="1">
      <c r="B1544" s="13" t="s">
        <v>19</v>
      </c>
      <c r="C1544" s="14"/>
      <c r="D1544" s="15">
        <f>IF(AC1544="","",(1-$W$2)*(AC1544/1.2))</f>
        <v>5266.666666666667</v>
      </c>
      <c r="E1544" s="64">
        <f>IF($W$5=0.2,D1544*1.2,D1544)/$W$4</f>
        <v>6320</v>
      </c>
      <c r="F1544" s="15">
        <f>IF(AD1544="","",(1-$W$2)*(AD1544/1.2))</f>
        <v>5900</v>
      </c>
      <c r="G1544" s="64">
        <f>IF($W$5=0.2,F1544*1.2,F1544)/$W$4</f>
        <v>7080</v>
      </c>
      <c r="H1544" s="15">
        <f>IF(AE1544="","",(1-$W$2)*(AE1544/1.2))</f>
        <v>6150</v>
      </c>
      <c r="I1544" s="64">
        <f>IF($W$5=0.2,H1544*1.2,H1544)/$W$4</f>
        <v>7380</v>
      </c>
      <c r="J1544" s="15">
        <f>IF(AF1544="","",(1-$W$2)*(AF1544/1.2))</f>
        <v>6600</v>
      </c>
      <c r="K1544" s="64">
        <f>IF($W$5=0.2,J1544*1.2,J1544)/$W$4</f>
        <v>7920</v>
      </c>
      <c r="L1544" s="15">
        <f>IF(AG1544="","",(1-$W$2)*(AG1544/1.2))</f>
        <v>6916.666666666667</v>
      </c>
      <c r="M1544" s="64">
        <f>IF($W$5=0.2,L1544*1.2,L1544)/$W$4</f>
        <v>8300</v>
      </c>
      <c r="N1544" s="104"/>
      <c r="O1544" s="20"/>
      <c r="P1544" s="20"/>
      <c r="Q1544" s="20"/>
      <c r="R1544" s="104"/>
      <c r="S1544" s="20"/>
      <c r="T1544" s="104"/>
      <c r="U1544" s="20"/>
      <c r="V1544" s="104"/>
      <c r="W1544" s="20"/>
      <c r="X1544" s="22"/>
      <c r="Y1544" s="22"/>
      <c r="Z1544" s="22"/>
      <c r="AA1544" s="22"/>
      <c r="AB1544" s="22"/>
      <c r="AC1544" s="332">
        <v>6320</v>
      </c>
      <c r="AD1544" s="391">
        <v>7080</v>
      </c>
      <c r="AE1544" s="332">
        <v>7380</v>
      </c>
      <c r="AF1544" s="332">
        <v>7920</v>
      </c>
      <c r="AG1544" s="332">
        <v>8300</v>
      </c>
      <c r="AH1544" s="289">
        <v>6320</v>
      </c>
      <c r="AI1544" s="289">
        <f>AH1544/AC1544-1</f>
        <v>0</v>
      </c>
      <c r="AJ1544" s="289">
        <v>7080</v>
      </c>
      <c r="AK1544" s="289">
        <f>AJ1544/AD1544-1</f>
        <v>0</v>
      </c>
      <c r="AL1544" s="289">
        <v>7380</v>
      </c>
      <c r="AM1544" s="289">
        <f>AL1544/AE1544-1</f>
        <v>0</v>
      </c>
      <c r="AN1544" s="289">
        <v>7920</v>
      </c>
      <c r="AO1544" s="289">
        <f>AN1544/AF1544-1</f>
        <v>0</v>
      </c>
      <c r="AP1544" s="289">
        <v>8300</v>
      </c>
      <c r="AQ1544" s="289">
        <f>AP1544/AG1544-1</f>
        <v>0</v>
      </c>
    </row>
    <row r="1545" spans="2:43" ht="34.5" customHeight="1">
      <c r="B1545" s="16" t="s">
        <v>22</v>
      </c>
      <c r="C1545" s="17"/>
      <c r="D1545" s="18">
        <f>IF(AC1545="","",(1-$W$2)*(AC1545/1.2))</f>
        <v>6200</v>
      </c>
      <c r="E1545" s="66">
        <f>IF($W$5=0.2,D1545*1.2,D1545)/$W$4</f>
        <v>7440</v>
      </c>
      <c r="F1545" s="18">
        <f>IF(AD1545="","",(1-$W$2)*(AD1545/1.2))</f>
        <v>6950</v>
      </c>
      <c r="G1545" s="66">
        <f>IF($W$5=0.2,F1545*1.2,F1545)/$W$4</f>
        <v>8340</v>
      </c>
      <c r="H1545" s="18">
        <f>IF(AE1545="","",(1-$W$2)*(AE1545/1.2))</f>
        <v>7250</v>
      </c>
      <c r="I1545" s="66">
        <f>IF($W$5=0.2,H1545*1.2,H1545)/$W$4</f>
        <v>8700</v>
      </c>
      <c r="J1545" s="18">
        <f>IF(AF1545="","",(1-$W$2)*(AF1545/1.2))</f>
        <v>7708.3333333333339</v>
      </c>
      <c r="K1545" s="66">
        <f>IF($W$5=0.2,J1545*1.2,J1545)/$W$4</f>
        <v>9250</v>
      </c>
      <c r="L1545" s="18">
        <f>IF(AG1545="","",(1-$W$2)*(AG1545/1.2))</f>
        <v>8075</v>
      </c>
      <c r="M1545" s="66">
        <f>IF($W$5=0.2,L1545*1.2,L1545)/$W$4</f>
        <v>9690</v>
      </c>
      <c r="N1545" s="104"/>
      <c r="O1545" s="20"/>
      <c r="P1545" s="20"/>
      <c r="Q1545" s="20"/>
      <c r="R1545" s="104"/>
      <c r="S1545" s="20"/>
      <c r="T1545" s="104"/>
      <c r="U1545" s="20"/>
      <c r="V1545" s="104"/>
      <c r="W1545" s="20"/>
      <c r="X1545" s="22"/>
      <c r="Y1545" s="22"/>
      <c r="Z1545" s="22"/>
      <c r="AA1545" s="22"/>
      <c r="AB1545" s="22"/>
      <c r="AC1545" s="332">
        <v>7440</v>
      </c>
      <c r="AD1545" s="391">
        <v>8340</v>
      </c>
      <c r="AE1545" s="332">
        <v>8700</v>
      </c>
      <c r="AF1545" s="332">
        <v>9250</v>
      </c>
      <c r="AG1545" s="332">
        <v>9690</v>
      </c>
      <c r="AH1545" s="289">
        <v>7440</v>
      </c>
      <c r="AI1545" s="289">
        <f t="shared" ref="AI1545:AI1546" si="214">AH1545/AC1545-1</f>
        <v>0</v>
      </c>
      <c r="AJ1545" s="289">
        <v>8340</v>
      </c>
      <c r="AK1545" s="289">
        <f t="shared" ref="AK1545:AK1546" si="215">AJ1545/AD1545-1</f>
        <v>0</v>
      </c>
      <c r="AL1545" s="289">
        <v>8700</v>
      </c>
      <c r="AM1545" s="289">
        <f t="shared" ref="AM1545:AM1546" si="216">AL1545/AE1545-1</f>
        <v>0</v>
      </c>
      <c r="AN1545" s="289">
        <v>9250</v>
      </c>
      <c r="AO1545" s="289">
        <f t="shared" ref="AO1545:AO1546" si="217">AN1545/AF1545-1</f>
        <v>0</v>
      </c>
      <c r="AP1545" s="289">
        <v>9690</v>
      </c>
      <c r="AQ1545" s="289">
        <f t="shared" ref="AQ1545:AQ1546" si="218">AP1545/AG1545-1</f>
        <v>0</v>
      </c>
    </row>
    <row r="1546" spans="2:43" ht="34.5" customHeight="1">
      <c r="B1546" s="23" t="s">
        <v>38</v>
      </c>
      <c r="C1546" s="24"/>
      <c r="D1546" s="25">
        <f>IF(AC1546="","",(1-$W$2)*(AC1546/1.2))</f>
        <v>6200</v>
      </c>
      <c r="E1546" s="69">
        <f>IF($W$5=0.2,D1546*1.2,D1546)/$W$4</f>
        <v>7440</v>
      </c>
      <c r="F1546" s="25">
        <f>IF(AD1546="","",(1-$W$2)*(AD1546/1.2))</f>
        <v>6950</v>
      </c>
      <c r="G1546" s="69">
        <f>IF($W$5=0.2,F1546*1.2,F1546)/$W$4</f>
        <v>8340</v>
      </c>
      <c r="H1546" s="25">
        <f>IF(AE1546="","",(1-$W$2)*(AE1546/1.2))</f>
        <v>7250</v>
      </c>
      <c r="I1546" s="69">
        <f>IF($W$5=0.2,H1546*1.2,H1546)/$W$4</f>
        <v>8700</v>
      </c>
      <c r="J1546" s="25">
        <f>IF(AF1546="","",(1-$W$2)*(AF1546/1.2))</f>
        <v>7708.3333333333339</v>
      </c>
      <c r="K1546" s="69">
        <f>IF($W$5=0.2,J1546*1.2,J1546)/$W$4</f>
        <v>9250</v>
      </c>
      <c r="L1546" s="25">
        <f>IF(AG1546="","",(1-$W$2)*(AG1546/1.2))</f>
        <v>8075</v>
      </c>
      <c r="M1546" s="69">
        <f>IF($W$5=0.2,L1546*1.2,L1546)/$W$4</f>
        <v>9690</v>
      </c>
      <c r="P1546" s="20"/>
      <c r="Q1546" s="20"/>
      <c r="AC1546" s="332">
        <v>7440</v>
      </c>
      <c r="AD1546" s="391">
        <v>8340</v>
      </c>
      <c r="AE1546" s="332">
        <v>8700</v>
      </c>
      <c r="AF1546" s="332">
        <v>9250</v>
      </c>
      <c r="AG1546" s="332">
        <v>9690</v>
      </c>
      <c r="AH1546" s="289">
        <v>7440</v>
      </c>
      <c r="AI1546" s="289">
        <f t="shared" si="214"/>
        <v>0</v>
      </c>
      <c r="AJ1546" s="289">
        <v>8340</v>
      </c>
      <c r="AK1546" s="289">
        <f t="shared" si="215"/>
        <v>0</v>
      </c>
      <c r="AL1546" s="289">
        <v>8700</v>
      </c>
      <c r="AM1546" s="289">
        <f t="shared" si="216"/>
        <v>0</v>
      </c>
      <c r="AN1546" s="289">
        <v>9250</v>
      </c>
      <c r="AO1546" s="289">
        <f t="shared" si="217"/>
        <v>0</v>
      </c>
      <c r="AP1546" s="289">
        <v>9690</v>
      </c>
      <c r="AQ1546" s="289">
        <f t="shared" si="218"/>
        <v>0</v>
      </c>
    </row>
    <row r="1547" spans="2:43" ht="12.75" customHeight="1">
      <c r="C1547" s="245"/>
      <c r="D1547" s="26"/>
      <c r="E1547" s="57"/>
      <c r="F1547" s="26"/>
      <c r="G1547" s="57"/>
      <c r="H1547" s="5"/>
    </row>
    <row r="1548" spans="2:43" ht="12.75" customHeight="1">
      <c r="B1548" s="212" t="str">
        <f>IF($C$1="ENG","For additonal charge:","Послуги за додаткову плату:")</f>
        <v>Послуги за додаткову плату:</v>
      </c>
      <c r="C1548" s="421"/>
      <c r="D1548" s="213"/>
      <c r="E1548" s="214"/>
      <c r="F1548" s="26"/>
      <c r="G1548" s="57"/>
      <c r="H1548" s="10"/>
      <c r="I1548" s="8"/>
      <c r="J1548" s="8"/>
      <c r="K1548" s="8"/>
    </row>
    <row r="1549" spans="2:43" ht="4.5" customHeight="1">
      <c r="B1549" s="27"/>
      <c r="C1549" s="245"/>
      <c r="D1549" s="26"/>
      <c r="E1549" s="57"/>
      <c r="F1549" s="26"/>
      <c r="G1549" s="26"/>
      <c r="H1549" s="10"/>
      <c r="I1549" s="8"/>
      <c r="J1549" s="8"/>
      <c r="K1549" s="8"/>
    </row>
    <row r="1550" spans="2:43" ht="12.75" customHeight="1">
      <c r="B1550" s="514" t="str">
        <f>IF($C$1="ENG","door leaf with width 100","полотно розміром 100")</f>
        <v>полотно розміром 100</v>
      </c>
      <c r="C1550" s="515"/>
      <c r="D1550" s="132">
        <f t="shared" ref="D1550:D1562" si="219">IF(AC1550="","",(1-$W$2)*(AC1550/1.2))</f>
        <v>600</v>
      </c>
      <c r="E1550" s="92">
        <f t="shared" ref="E1550:E1561" si="220">IF($W$5=0.2,D1550*1.2,D1550)/$W$4</f>
        <v>720</v>
      </c>
      <c r="F1550" s="26"/>
      <c r="G1550" s="26"/>
      <c r="H1550" s="10"/>
      <c r="I1550" s="8"/>
      <c r="J1550" s="8"/>
      <c r="K1550" s="8"/>
      <c r="AC1550" s="289">
        <v>720</v>
      </c>
      <c r="AD1550" s="289">
        <v>720</v>
      </c>
      <c r="AE1550" s="289"/>
      <c r="AF1550" s="289"/>
      <c r="AG1550" s="289"/>
      <c r="AH1550" s="289"/>
      <c r="AI1550" s="289"/>
      <c r="AJ1550" s="289"/>
      <c r="AK1550" s="289"/>
      <c r="AL1550" s="289"/>
    </row>
    <row r="1551" spans="2:43" ht="12.75" customHeight="1">
      <c r="B1551" s="501" t="str">
        <f>IF($C$1="ENG","Ventilation sleeves (1 row)","вентиляційні віддушини (1ряд)")</f>
        <v>вентиляційні віддушини (1ряд)</v>
      </c>
      <c r="C1551" s="502"/>
      <c r="D1551" s="133">
        <f t="shared" si="219"/>
        <v>208.33333333333334</v>
      </c>
      <c r="E1551" s="93">
        <f t="shared" si="220"/>
        <v>250</v>
      </c>
      <c r="F1551" s="26"/>
      <c r="G1551" s="26"/>
      <c r="I1551" s="11"/>
      <c r="J1551" s="11"/>
      <c r="K1551" s="11"/>
      <c r="AC1551" s="289">
        <v>250</v>
      </c>
      <c r="AD1551" s="289">
        <v>250</v>
      </c>
      <c r="AE1551" s="289"/>
      <c r="AF1551" s="289"/>
      <c r="AG1551" s="289"/>
      <c r="AH1551" s="289"/>
      <c r="AI1551" s="289"/>
      <c r="AJ1551" s="289"/>
      <c r="AK1551" s="289"/>
      <c r="AL1551" s="289"/>
    </row>
    <row r="1552" spans="2:43" ht="12.75" customHeight="1">
      <c r="B1552" s="514" t="str">
        <f>IF($C$1="ENG","Ventilation cut","вентиляційний підріз")</f>
        <v>вентиляційний підріз</v>
      </c>
      <c r="C1552" s="515"/>
      <c r="D1552" s="133">
        <f t="shared" si="219"/>
        <v>141.66666666666669</v>
      </c>
      <c r="E1552" s="66">
        <f t="shared" si="220"/>
        <v>170.00000000000003</v>
      </c>
      <c r="F1552" s="26"/>
      <c r="G1552" s="26"/>
      <c r="I1552" s="59"/>
      <c r="J1552" s="28"/>
      <c r="AC1552" s="289">
        <v>170</v>
      </c>
      <c r="AD1552" s="289">
        <v>170</v>
      </c>
      <c r="AE1552" s="289"/>
      <c r="AF1552" s="289"/>
      <c r="AG1552" s="289"/>
      <c r="AH1552" s="289"/>
      <c r="AI1552" s="289"/>
      <c r="AJ1552" s="289"/>
      <c r="AK1552" s="289"/>
      <c r="AL1552" s="289"/>
    </row>
    <row r="1553" spans="2:38" ht="12.75" customHeight="1">
      <c r="B1553" s="501" t="str">
        <f>IF($C$1="ENG","glazing Graphite / Bronze","скло Графіт / Бронза")</f>
        <v>скло Графіт / Бронза</v>
      </c>
      <c r="C1553" s="502"/>
      <c r="D1553" s="102">
        <f t="shared" si="219"/>
        <v>458.33333333333337</v>
      </c>
      <c r="E1553" s="93">
        <f t="shared" si="220"/>
        <v>550</v>
      </c>
      <c r="F1553" s="26"/>
      <c r="G1553" s="26"/>
      <c r="H1553" s="5"/>
      <c r="AC1553" s="289">
        <v>550</v>
      </c>
      <c r="AD1553" s="289">
        <v>550</v>
      </c>
      <c r="AE1553" s="289"/>
      <c r="AF1553" s="289"/>
      <c r="AG1553" s="289"/>
      <c r="AH1553" s="289"/>
      <c r="AI1553" s="289"/>
      <c r="AJ1553" s="289"/>
      <c r="AK1553" s="289"/>
      <c r="AL1553" s="289"/>
    </row>
    <row r="1554" spans="2:38" ht="12.75" customHeight="1">
      <c r="B1554" s="501" t="str">
        <f>IF($C$1="ENG","door lock Soft","замок Soft")</f>
        <v>замок Soft</v>
      </c>
      <c r="C1554" s="502"/>
      <c r="D1554" s="102">
        <f t="shared" si="219"/>
        <v>458.33333333333337</v>
      </c>
      <c r="E1554" s="93">
        <f t="shared" si="220"/>
        <v>550</v>
      </c>
      <c r="F1554" s="26"/>
      <c r="G1554" s="26"/>
      <c r="H1554" s="5"/>
      <c r="AC1554" s="289">
        <v>550</v>
      </c>
      <c r="AD1554" s="289">
        <v>550</v>
      </c>
      <c r="AE1554" s="289"/>
      <c r="AF1554" s="289"/>
      <c r="AG1554" s="289"/>
      <c r="AH1554" s="289"/>
      <c r="AI1554" s="289"/>
      <c r="AJ1554" s="289"/>
      <c r="AK1554" s="289"/>
      <c r="AL1554" s="289"/>
    </row>
    <row r="1555" spans="2:38" ht="12.75" customHeight="1">
      <c r="B1555" s="501" t="str">
        <f>IF($C$1="ENG","door lock Soft black","замок Soft чорн.")</f>
        <v>замок Soft чорн.</v>
      </c>
      <c r="C1555" s="502"/>
      <c r="D1555" s="102">
        <f t="shared" ref="D1555" si="221">IF(AC1555="","",(1-$W$2)*(AC1555/1.2))</f>
        <v>566.66666666666674</v>
      </c>
      <c r="E1555" s="93">
        <f t="shared" ref="E1555" si="222">IF($W$5=0.2,D1555*1.2,D1555)/$W$4</f>
        <v>680.00000000000011</v>
      </c>
      <c r="F1555" s="26"/>
      <c r="G1555" s="26"/>
      <c r="H1555" s="5"/>
      <c r="AC1555" s="289">
        <v>680</v>
      </c>
      <c r="AD1555" s="289"/>
      <c r="AE1555" s="289"/>
      <c r="AF1555" s="289"/>
      <c r="AG1555" s="289"/>
      <c r="AH1555" s="289"/>
      <c r="AI1555" s="289"/>
      <c r="AJ1555" s="289"/>
      <c r="AK1555" s="289"/>
      <c r="AL1555" s="289"/>
    </row>
    <row r="1556" spans="2:38" ht="12.75" customHeight="1">
      <c r="B1556" s="501" t="str">
        <f>IF($C$1="ENG","door lock Magnet","замок Magnet")</f>
        <v>замок Magnet</v>
      </c>
      <c r="C1556" s="502"/>
      <c r="D1556" s="102">
        <f t="shared" si="219"/>
        <v>666.66666666666674</v>
      </c>
      <c r="E1556" s="93">
        <f t="shared" si="220"/>
        <v>800.00000000000011</v>
      </c>
      <c r="F1556" s="26"/>
      <c r="G1556" s="26"/>
      <c r="H1556" s="5"/>
      <c r="AC1556" s="289">
        <v>800</v>
      </c>
      <c r="AD1556" s="289">
        <v>800</v>
      </c>
      <c r="AE1556" s="289"/>
      <c r="AF1556" s="289"/>
      <c r="AG1556" s="289"/>
      <c r="AH1556" s="289"/>
      <c r="AI1556" s="289"/>
      <c r="AJ1556" s="289"/>
      <c r="AK1556" s="289"/>
      <c r="AL1556" s="289"/>
    </row>
    <row r="1557" spans="2:38" ht="12.75" customHeight="1">
      <c r="B1557" s="501" t="s">
        <v>76</v>
      </c>
      <c r="C1557" s="502"/>
      <c r="D1557" s="102">
        <f t="shared" ref="D1557" si="223">IF(AC1557="","",(1-$W$2)*(AC1557/1.2))</f>
        <v>833.33333333333337</v>
      </c>
      <c r="E1557" s="93">
        <f t="shared" ref="E1557" si="224">IF($W$5=0.2,D1557*1.2,D1557)/$W$4</f>
        <v>1000</v>
      </c>
      <c r="F1557" s="26"/>
      <c r="G1557" s="26"/>
      <c r="H1557" s="5"/>
      <c r="AC1557" s="289">
        <v>1000</v>
      </c>
      <c r="AD1557" s="289"/>
      <c r="AE1557" s="289"/>
      <c r="AF1557" s="289"/>
      <c r="AG1557" s="289"/>
      <c r="AH1557" s="289"/>
      <c r="AI1557" s="289"/>
      <c r="AJ1557" s="289"/>
      <c r="AK1557" s="289"/>
      <c r="AL1557" s="289"/>
    </row>
    <row r="1558" spans="2:38" ht="12.75" customHeight="1">
      <c r="B1558" s="501" t="str">
        <f>IF($C$1="ENG","door handle-lock (for sliding doors)","ручка-замок (для дверей купе)")</f>
        <v>ручка-замок (для дверей купе)</v>
      </c>
      <c r="C1558" s="502"/>
      <c r="D1558" s="133">
        <f t="shared" si="219"/>
        <v>466.66666666666669</v>
      </c>
      <c r="E1558" s="93">
        <f t="shared" si="220"/>
        <v>560</v>
      </c>
      <c r="F1558" s="26"/>
      <c r="G1558" s="26"/>
      <c r="I1558" s="11"/>
      <c r="J1558" s="11"/>
      <c r="K1558" s="19"/>
      <c r="AC1558" s="289">
        <v>560</v>
      </c>
      <c r="AD1558" s="289">
        <v>560</v>
      </c>
      <c r="AE1558" s="289"/>
      <c r="AF1558" s="289"/>
      <c r="AG1558" s="289"/>
      <c r="AH1558" s="289"/>
      <c r="AI1558" s="289"/>
      <c r="AJ1558" s="289"/>
      <c r="AK1558" s="289"/>
      <c r="AL1558" s="289"/>
    </row>
    <row r="1559" spans="2:38" ht="12.75" customHeight="1">
      <c r="B1559" s="501" t="str">
        <f>IF($C$1="ENG","cylinder incert","циліндр несиметричний")</f>
        <v>циліндр несиметричний</v>
      </c>
      <c r="C1559" s="502"/>
      <c r="D1559" s="133">
        <f t="shared" si="219"/>
        <v>316.66666666666669</v>
      </c>
      <c r="E1559" s="93">
        <f t="shared" si="220"/>
        <v>380</v>
      </c>
      <c r="F1559" s="26"/>
      <c r="G1559" s="26"/>
      <c r="I1559" s="20"/>
      <c r="AC1559" s="289">
        <v>380</v>
      </c>
      <c r="AD1559" s="289">
        <v>380</v>
      </c>
      <c r="AE1559" s="289"/>
      <c r="AF1559" s="289"/>
      <c r="AG1559" s="289"/>
      <c r="AH1559" s="289"/>
      <c r="AI1559" s="289"/>
      <c r="AJ1559" s="289"/>
      <c r="AK1559" s="289"/>
      <c r="AL1559" s="289"/>
    </row>
    <row r="1560" spans="2:38" ht="12.75" customHeight="1">
      <c r="B1560" s="501" t="str">
        <f>IF($C$1="ENG","door hindge Prestige (1 unit)","завіса Prestige (1 шт)")</f>
        <v>завіса Prestige (1 шт)</v>
      </c>
      <c r="C1560" s="502"/>
      <c r="D1560" s="135">
        <f t="shared" si="219"/>
        <v>216.66666666666669</v>
      </c>
      <c r="E1560" s="93">
        <f t="shared" si="220"/>
        <v>260</v>
      </c>
      <c r="F1560" s="26"/>
      <c r="G1560" s="26"/>
      <c r="AC1560" s="289">
        <v>260</v>
      </c>
      <c r="AD1560" s="289">
        <v>260</v>
      </c>
      <c r="AE1560" s="289"/>
      <c r="AF1560" s="289"/>
      <c r="AG1560" s="289"/>
      <c r="AH1560" s="289"/>
      <c r="AI1560" s="289"/>
      <c r="AJ1560" s="289"/>
      <c r="AK1560" s="289"/>
      <c r="AL1560" s="289"/>
    </row>
    <row r="1561" spans="2:38" ht="12.75" customHeight="1">
      <c r="B1561" s="501" t="str">
        <f>IF($C$1="ENG","door hinge caps (1 set)","накладка на завіси (1 к-т)")</f>
        <v>накладка на завіси (1 к-т)</v>
      </c>
      <c r="C1561" s="502"/>
      <c r="D1561" s="135">
        <f t="shared" si="219"/>
        <v>66.666666666666671</v>
      </c>
      <c r="E1561" s="93">
        <f t="shared" si="220"/>
        <v>80</v>
      </c>
      <c r="F1561" s="26"/>
      <c r="G1561" s="26"/>
      <c r="AC1561" s="289">
        <v>80</v>
      </c>
      <c r="AD1561" s="289">
        <v>80</v>
      </c>
      <c r="AE1561" s="289"/>
      <c r="AF1561" s="289"/>
      <c r="AG1561" s="289"/>
      <c r="AH1561" s="289"/>
      <c r="AI1561" s="289"/>
      <c r="AJ1561" s="289"/>
      <c r="AK1561" s="289"/>
      <c r="AL1561" s="289"/>
    </row>
    <row r="1562" spans="2:38" ht="14.25" customHeight="1">
      <c r="B1562" s="501" t="str">
        <f>IF($C$1="ENG","door handle","дверна ручка")</f>
        <v>дверна ручка</v>
      </c>
      <c r="C1562" s="502"/>
      <c r="D1562" s="134" t="str">
        <f t="shared" si="219"/>
        <v/>
      </c>
      <c r="E1562" s="247" t="str">
        <f>IF($C$1="ENG","see Handles Price","див. Таблицю Ручки")</f>
        <v>див. Таблицю Ручки</v>
      </c>
      <c r="F1562" s="26"/>
      <c r="G1562" s="26"/>
      <c r="AC1562" s="298"/>
      <c r="AD1562" s="289"/>
      <c r="AE1562" s="289"/>
      <c r="AF1562" s="289"/>
      <c r="AG1562" s="289"/>
      <c r="AH1562" s="289"/>
      <c r="AI1562" s="289"/>
      <c r="AJ1562" s="289"/>
      <c r="AK1562" s="289"/>
      <c r="AL1562" s="289"/>
    </row>
    <row r="1563" spans="2:38" ht="14.25" customHeight="1">
      <c r="C1563" s="245"/>
      <c r="D1563" s="26"/>
      <c r="E1563" s="26"/>
      <c r="F1563" s="26"/>
      <c r="G1563" s="26"/>
      <c r="H1563" s="5"/>
      <c r="T1563" s="115"/>
      <c r="U1563" s="503" t="str">
        <f>IF($C$1="ENG",CONCATENATE("down to: ",B1613),CONCATENATE("вниз до: ",B1613))</f>
        <v>вниз до: Полотна збірні: ПОЛО</v>
      </c>
      <c r="V1563" s="503"/>
      <c r="W1563" s="503"/>
      <c r="X1563" s="304"/>
      <c r="Y1563" s="304"/>
      <c r="Z1563" s="304"/>
      <c r="AA1563" s="304"/>
      <c r="AB1563" s="304"/>
    </row>
    <row r="1564" spans="2:38" ht="14.25" customHeight="1">
      <c r="C1564" s="245"/>
      <c r="D1564" s="26"/>
      <c r="E1564" s="26"/>
      <c r="F1564" s="26"/>
      <c r="G1564" s="26"/>
      <c r="H1564" s="5"/>
      <c r="T1564" s="115"/>
      <c r="U1564" s="115"/>
      <c r="V1564" s="115"/>
      <c r="W1564" s="115"/>
      <c r="X1564" s="304"/>
      <c r="Y1564" s="304"/>
      <c r="Z1564" s="304"/>
      <c r="AA1564" s="304"/>
      <c r="AB1564" s="304"/>
    </row>
    <row r="1565" spans="2:38" ht="14.25" customHeight="1">
      <c r="C1565" s="245"/>
      <c r="D1565" s="26"/>
      <c r="E1565" s="26"/>
      <c r="F1565" s="26"/>
      <c r="G1565" s="26"/>
      <c r="H1565" s="5"/>
      <c r="T1565" s="115"/>
      <c r="U1565" s="115"/>
      <c r="V1565" s="115"/>
      <c r="W1565" s="115"/>
      <c r="X1565" s="304"/>
      <c r="Y1565" s="304"/>
      <c r="Z1565" s="304"/>
      <c r="AA1565" s="304"/>
      <c r="AB1565" s="304"/>
    </row>
    <row r="1566" spans="2:38" ht="14.25" customHeight="1">
      <c r="C1566" s="245"/>
      <c r="D1566" s="26"/>
      <c r="E1566" s="26"/>
      <c r="F1566" s="26"/>
      <c r="G1566" s="26"/>
      <c r="H1566" s="5"/>
      <c r="T1566" s="115"/>
      <c r="U1566" s="115"/>
      <c r="V1566" s="115"/>
      <c r="W1566" s="115"/>
      <c r="X1566" s="304"/>
      <c r="Y1566" s="304"/>
      <c r="Z1566" s="304"/>
      <c r="AA1566" s="304"/>
      <c r="AB1566" s="304"/>
    </row>
    <row r="1567" spans="2:38" ht="14.25" customHeight="1">
      <c r="C1567" s="245"/>
      <c r="D1567" s="26"/>
      <c r="E1567" s="26"/>
      <c r="F1567" s="26"/>
      <c r="G1567" s="26"/>
      <c r="H1567" s="5"/>
      <c r="T1567" s="115"/>
      <c r="U1567" s="115"/>
      <c r="V1567" s="115"/>
      <c r="W1567" s="115"/>
      <c r="X1567" s="304"/>
      <c r="Y1567" s="304"/>
      <c r="Z1567" s="304"/>
      <c r="AA1567" s="304"/>
      <c r="AB1567" s="304"/>
    </row>
    <row r="1568" spans="2:38" ht="14.25" customHeight="1">
      <c r="C1568" s="245"/>
      <c r="D1568" s="26"/>
      <c r="E1568" s="26"/>
      <c r="F1568" s="26"/>
      <c r="G1568" s="26"/>
      <c r="H1568" s="5"/>
      <c r="T1568" s="115"/>
      <c r="U1568" s="115"/>
      <c r="V1568" s="115"/>
      <c r="W1568" s="115"/>
      <c r="X1568" s="304"/>
      <c r="Y1568" s="304"/>
      <c r="Z1568" s="304"/>
      <c r="AA1568" s="304"/>
      <c r="AB1568" s="304"/>
    </row>
    <row r="1569" spans="3:28" ht="14.25" customHeight="1">
      <c r="C1569" s="245"/>
      <c r="D1569" s="26"/>
      <c r="E1569" s="26"/>
      <c r="F1569" s="26"/>
      <c r="G1569" s="26"/>
      <c r="H1569" s="5"/>
      <c r="T1569" s="115"/>
      <c r="U1569" s="115"/>
      <c r="V1569" s="115"/>
      <c r="W1569" s="115"/>
      <c r="X1569" s="304"/>
      <c r="Y1569" s="304"/>
      <c r="Z1569" s="304"/>
      <c r="AA1569" s="304"/>
      <c r="AB1569" s="304"/>
    </row>
    <row r="1570" spans="3:28" ht="14.25" customHeight="1">
      <c r="C1570" s="245"/>
      <c r="D1570" s="26"/>
      <c r="E1570" s="26"/>
      <c r="F1570" s="26"/>
      <c r="G1570" s="26"/>
      <c r="H1570" s="5"/>
      <c r="T1570" s="115"/>
      <c r="U1570" s="115"/>
      <c r="V1570" s="115"/>
      <c r="W1570" s="115"/>
      <c r="X1570" s="304"/>
      <c r="Y1570" s="304"/>
      <c r="Z1570" s="304"/>
      <c r="AA1570" s="304"/>
      <c r="AB1570" s="304"/>
    </row>
    <row r="1571" spans="3:28" ht="14.25" customHeight="1">
      <c r="C1571" s="245"/>
      <c r="D1571" s="26"/>
      <c r="E1571" s="26"/>
      <c r="F1571" s="26"/>
      <c r="G1571" s="26"/>
      <c r="H1571" s="5"/>
      <c r="T1571" s="115"/>
      <c r="U1571" s="115"/>
      <c r="V1571" s="115"/>
      <c r="W1571" s="115"/>
      <c r="X1571" s="304"/>
      <c r="Y1571" s="304"/>
      <c r="Z1571" s="304"/>
      <c r="AA1571" s="304"/>
      <c r="AB1571" s="304"/>
    </row>
    <row r="1572" spans="3:28" ht="14.25" customHeight="1">
      <c r="C1572" s="245"/>
      <c r="D1572" s="26"/>
      <c r="E1572" s="26"/>
      <c r="F1572" s="26"/>
      <c r="G1572" s="26"/>
      <c r="H1572" s="5"/>
      <c r="T1572" s="115"/>
      <c r="U1572" s="115"/>
      <c r="V1572" s="115"/>
      <c r="W1572" s="115"/>
      <c r="X1572" s="304"/>
      <c r="Y1572" s="304"/>
      <c r="Z1572" s="304"/>
      <c r="AA1572" s="304"/>
      <c r="AB1572" s="304"/>
    </row>
    <row r="1573" spans="3:28" ht="14.25" customHeight="1">
      <c r="C1573" s="245"/>
      <c r="D1573" s="26"/>
      <c r="E1573" s="26"/>
      <c r="F1573" s="26"/>
      <c r="G1573" s="26"/>
      <c r="H1573" s="5"/>
      <c r="T1573" s="115"/>
      <c r="U1573" s="115"/>
      <c r="V1573" s="115"/>
      <c r="W1573" s="115"/>
      <c r="X1573" s="304"/>
      <c r="Y1573" s="304"/>
      <c r="Z1573" s="304"/>
      <c r="AA1573" s="304"/>
      <c r="AB1573" s="304"/>
    </row>
    <row r="1574" spans="3:28" ht="14.25" customHeight="1">
      <c r="C1574" s="245"/>
      <c r="D1574" s="26"/>
      <c r="E1574" s="26"/>
      <c r="F1574" s="26"/>
      <c r="G1574" s="26"/>
      <c r="H1574" s="5"/>
      <c r="T1574" s="115"/>
      <c r="U1574" s="115"/>
      <c r="V1574" s="115"/>
      <c r="W1574" s="115"/>
      <c r="X1574" s="304"/>
      <c r="Y1574" s="304"/>
      <c r="Z1574" s="304"/>
      <c r="AA1574" s="304"/>
      <c r="AB1574" s="304"/>
    </row>
    <row r="1575" spans="3:28" ht="14.25" customHeight="1">
      <c r="C1575" s="245"/>
      <c r="D1575" s="26"/>
      <c r="E1575" s="26"/>
      <c r="F1575" s="26"/>
      <c r="G1575" s="26"/>
      <c r="H1575" s="5"/>
      <c r="T1575" s="115"/>
      <c r="U1575" s="115"/>
      <c r="V1575" s="115"/>
      <c r="W1575" s="115"/>
      <c r="X1575" s="304"/>
      <c r="Y1575" s="304"/>
      <c r="Z1575" s="304"/>
      <c r="AA1575" s="304"/>
      <c r="AB1575" s="304"/>
    </row>
    <row r="1576" spans="3:28" ht="14.25" customHeight="1">
      <c r="C1576" s="245"/>
      <c r="D1576" s="26"/>
      <c r="E1576" s="26"/>
      <c r="F1576" s="26"/>
      <c r="G1576" s="26"/>
      <c r="H1576" s="5"/>
      <c r="T1576" s="115"/>
      <c r="U1576" s="115"/>
      <c r="V1576" s="115"/>
      <c r="W1576" s="115"/>
      <c r="X1576" s="304"/>
      <c r="Y1576" s="304"/>
      <c r="Z1576" s="304"/>
      <c r="AA1576" s="304"/>
      <c r="AB1576" s="304"/>
    </row>
    <row r="1577" spans="3:28" ht="14.25" customHeight="1">
      <c r="C1577" s="245"/>
      <c r="D1577" s="26"/>
      <c r="E1577" s="26"/>
      <c r="F1577" s="26"/>
      <c r="G1577" s="26"/>
      <c r="H1577" s="5"/>
      <c r="T1577" s="115"/>
      <c r="U1577" s="115"/>
      <c r="V1577" s="115"/>
      <c r="W1577" s="115"/>
      <c r="X1577" s="304"/>
      <c r="Y1577" s="304"/>
      <c r="Z1577" s="304"/>
      <c r="AA1577" s="304"/>
      <c r="AB1577" s="304"/>
    </row>
    <row r="1578" spans="3:28" ht="14.25" customHeight="1">
      <c r="C1578" s="245"/>
      <c r="D1578" s="26"/>
      <c r="E1578" s="26"/>
      <c r="F1578" s="26"/>
      <c r="G1578" s="26"/>
      <c r="H1578" s="5"/>
      <c r="T1578" s="115"/>
      <c r="U1578" s="115"/>
      <c r="V1578" s="115"/>
      <c r="W1578" s="115"/>
      <c r="X1578" s="304"/>
      <c r="Y1578" s="304"/>
      <c r="Z1578" s="304"/>
      <c r="AA1578" s="304"/>
      <c r="AB1578" s="304"/>
    </row>
    <row r="1579" spans="3:28" ht="14.25" customHeight="1">
      <c r="C1579" s="245"/>
      <c r="D1579" s="26"/>
      <c r="E1579" s="26"/>
      <c r="F1579" s="26"/>
      <c r="G1579" s="26"/>
      <c r="H1579" s="5"/>
      <c r="T1579" s="115"/>
      <c r="U1579" s="115"/>
      <c r="V1579" s="115"/>
      <c r="W1579" s="115"/>
      <c r="X1579" s="304"/>
      <c r="Y1579" s="304"/>
      <c r="Z1579" s="304"/>
      <c r="AA1579" s="304"/>
      <c r="AB1579" s="304"/>
    </row>
    <row r="1580" spans="3:28" ht="14.25" customHeight="1">
      <c r="C1580" s="245"/>
      <c r="D1580" s="26"/>
      <c r="E1580" s="26"/>
      <c r="F1580" s="26"/>
      <c r="G1580" s="26"/>
      <c r="H1580" s="5"/>
      <c r="T1580" s="115"/>
      <c r="U1580" s="115"/>
      <c r="V1580" s="115"/>
      <c r="W1580" s="115"/>
      <c r="X1580" s="304"/>
      <c r="Y1580" s="304"/>
      <c r="Z1580" s="304"/>
      <c r="AA1580" s="304"/>
      <c r="AB1580" s="304"/>
    </row>
    <row r="1581" spans="3:28" ht="14.25" customHeight="1">
      <c r="C1581" s="245"/>
      <c r="D1581" s="26"/>
      <c r="E1581" s="26"/>
      <c r="F1581" s="26"/>
      <c r="G1581" s="26"/>
      <c r="H1581" s="5"/>
      <c r="T1581" s="115"/>
      <c r="U1581" s="115"/>
      <c r="V1581" s="115"/>
      <c r="W1581" s="115"/>
      <c r="X1581" s="304"/>
      <c r="Y1581" s="304"/>
      <c r="Z1581" s="304"/>
      <c r="AA1581" s="304"/>
      <c r="AB1581" s="304"/>
    </row>
    <row r="1582" spans="3:28" ht="14.25" customHeight="1">
      <c r="C1582" s="245"/>
      <c r="D1582" s="26"/>
      <c r="E1582" s="26"/>
      <c r="F1582" s="26"/>
      <c r="G1582" s="26"/>
      <c r="H1582" s="5"/>
      <c r="T1582" s="115"/>
      <c r="U1582" s="115"/>
      <c r="V1582" s="115"/>
      <c r="W1582" s="115"/>
      <c r="X1582" s="304"/>
      <c r="Y1582" s="304"/>
      <c r="Z1582" s="304"/>
      <c r="AA1582" s="304"/>
      <c r="AB1582" s="304"/>
    </row>
    <row r="1583" spans="3:28" ht="14.25" customHeight="1">
      <c r="C1583" s="245"/>
      <c r="D1583" s="26"/>
      <c r="E1583" s="26"/>
      <c r="F1583" s="26"/>
      <c r="G1583" s="26"/>
      <c r="H1583" s="5"/>
      <c r="T1583" s="115"/>
      <c r="U1583" s="115"/>
      <c r="V1583" s="115"/>
      <c r="W1583" s="115"/>
      <c r="X1583" s="304"/>
      <c r="Y1583" s="304"/>
      <c r="Z1583" s="304"/>
      <c r="AA1583" s="304"/>
      <c r="AB1583" s="304"/>
    </row>
    <row r="1584" spans="3:28" ht="14.25" customHeight="1">
      <c r="C1584" s="245"/>
      <c r="D1584" s="26"/>
      <c r="E1584" s="26"/>
      <c r="F1584" s="26"/>
      <c r="G1584" s="26"/>
      <c r="H1584" s="5"/>
      <c r="T1584" s="115"/>
      <c r="U1584" s="115"/>
      <c r="V1584" s="115"/>
      <c r="W1584" s="115"/>
      <c r="X1584" s="304"/>
      <c r="Y1584" s="304"/>
      <c r="Z1584" s="304"/>
      <c r="AA1584" s="304"/>
      <c r="AB1584" s="304"/>
    </row>
    <row r="1585" spans="3:28" ht="14.25" customHeight="1">
      <c r="C1585" s="245"/>
      <c r="D1585" s="26"/>
      <c r="E1585" s="26"/>
      <c r="F1585" s="26"/>
      <c r="G1585" s="26"/>
      <c r="H1585" s="5"/>
      <c r="T1585" s="115"/>
      <c r="U1585" s="115"/>
      <c r="V1585" s="115"/>
      <c r="W1585" s="115"/>
      <c r="X1585" s="304"/>
      <c r="Y1585" s="304"/>
      <c r="Z1585" s="304"/>
      <c r="AA1585" s="304"/>
      <c r="AB1585" s="304"/>
    </row>
    <row r="1586" spans="3:28" ht="14.25" customHeight="1">
      <c r="C1586" s="245"/>
      <c r="D1586" s="26"/>
      <c r="E1586" s="26"/>
      <c r="F1586" s="26"/>
      <c r="G1586" s="26"/>
      <c r="H1586" s="5"/>
      <c r="T1586" s="115"/>
      <c r="U1586" s="115"/>
      <c r="V1586" s="115"/>
      <c r="W1586" s="115"/>
      <c r="X1586" s="304"/>
      <c r="Y1586" s="304"/>
      <c r="Z1586" s="304"/>
      <c r="AA1586" s="304"/>
      <c r="AB1586" s="304"/>
    </row>
    <row r="1587" spans="3:28" ht="14.25" customHeight="1">
      <c r="C1587" s="245"/>
      <c r="D1587" s="26"/>
      <c r="E1587" s="26"/>
      <c r="F1587" s="26"/>
      <c r="G1587" s="26"/>
      <c r="H1587" s="5"/>
      <c r="T1587" s="115"/>
      <c r="U1587" s="115"/>
      <c r="V1587" s="115"/>
      <c r="W1587" s="115"/>
      <c r="X1587" s="304"/>
      <c r="Y1587" s="304"/>
      <c r="Z1587" s="304"/>
      <c r="AA1587" s="304"/>
      <c r="AB1587" s="304"/>
    </row>
    <row r="1588" spans="3:28" ht="14.25" customHeight="1">
      <c r="C1588" s="245"/>
      <c r="D1588" s="26"/>
      <c r="E1588" s="26"/>
      <c r="F1588" s="26"/>
      <c r="G1588" s="26"/>
      <c r="H1588" s="5"/>
      <c r="T1588" s="115"/>
      <c r="U1588" s="115"/>
      <c r="V1588" s="115"/>
      <c r="W1588" s="115"/>
      <c r="X1588" s="304"/>
      <c r="Y1588" s="304"/>
      <c r="Z1588" s="304"/>
      <c r="AA1588" s="304"/>
      <c r="AB1588" s="304"/>
    </row>
    <row r="1589" spans="3:28" ht="14.25" customHeight="1">
      <c r="C1589" s="245"/>
      <c r="D1589" s="26"/>
      <c r="E1589" s="26"/>
      <c r="F1589" s="26"/>
      <c r="G1589" s="26"/>
      <c r="H1589" s="5"/>
      <c r="T1589" s="115"/>
      <c r="U1589" s="115"/>
      <c r="V1589" s="115"/>
      <c r="W1589" s="115"/>
      <c r="X1589" s="304"/>
      <c r="Y1589" s="304"/>
      <c r="Z1589" s="304"/>
      <c r="AA1589" s="304"/>
      <c r="AB1589" s="304"/>
    </row>
    <row r="1590" spans="3:28" ht="14.25" customHeight="1">
      <c r="C1590" s="245"/>
      <c r="D1590" s="26"/>
      <c r="E1590" s="26"/>
      <c r="F1590" s="26"/>
      <c r="G1590" s="26"/>
      <c r="H1590" s="5"/>
      <c r="T1590" s="115"/>
      <c r="U1590" s="115"/>
      <c r="V1590" s="115"/>
      <c r="W1590" s="115"/>
      <c r="X1590" s="304"/>
      <c r="Y1590" s="304"/>
      <c r="Z1590" s="304"/>
      <c r="AA1590" s="304"/>
      <c r="AB1590" s="304"/>
    </row>
    <row r="1591" spans="3:28" ht="14.25" customHeight="1">
      <c r="C1591" s="245"/>
      <c r="D1591" s="26"/>
      <c r="E1591" s="26"/>
      <c r="F1591" s="26"/>
      <c r="G1591" s="26"/>
      <c r="H1591" s="5"/>
      <c r="T1591" s="115"/>
      <c r="U1591" s="115"/>
      <c r="V1591" s="115"/>
      <c r="W1591" s="115"/>
      <c r="X1591" s="304"/>
      <c r="Y1591" s="304"/>
      <c r="Z1591" s="304"/>
      <c r="AA1591" s="304"/>
      <c r="AB1591" s="304"/>
    </row>
    <row r="1592" spans="3:28" ht="14.25" customHeight="1">
      <c r="C1592" s="245"/>
      <c r="D1592" s="26"/>
      <c r="E1592" s="26"/>
      <c r="F1592" s="26"/>
      <c r="G1592" s="26"/>
      <c r="H1592" s="5"/>
      <c r="T1592" s="115"/>
      <c r="U1592" s="115"/>
      <c r="V1592" s="115"/>
      <c r="W1592" s="115"/>
      <c r="X1592" s="304"/>
      <c r="Y1592" s="304"/>
      <c r="Z1592" s="304"/>
      <c r="AA1592" s="304"/>
      <c r="AB1592" s="304"/>
    </row>
    <row r="1593" spans="3:28" ht="14.25" customHeight="1">
      <c r="C1593" s="245"/>
      <c r="D1593" s="26"/>
      <c r="E1593" s="26"/>
      <c r="F1593" s="26"/>
      <c r="G1593" s="26"/>
      <c r="H1593" s="5"/>
      <c r="T1593" s="115"/>
      <c r="U1593" s="115"/>
      <c r="V1593" s="115"/>
      <c r="W1593" s="115"/>
      <c r="X1593" s="304"/>
      <c r="Y1593" s="304"/>
      <c r="Z1593" s="304"/>
      <c r="AA1593" s="304"/>
      <c r="AB1593" s="304"/>
    </row>
    <row r="1594" spans="3:28" ht="14.25" customHeight="1">
      <c r="C1594" s="245"/>
      <c r="D1594" s="26"/>
      <c r="E1594" s="26"/>
      <c r="F1594" s="26"/>
      <c r="G1594" s="26"/>
      <c r="H1594" s="5"/>
      <c r="T1594" s="115"/>
      <c r="U1594" s="115"/>
      <c r="V1594" s="115"/>
      <c r="W1594" s="115"/>
      <c r="X1594" s="304"/>
      <c r="Y1594" s="304"/>
      <c r="Z1594" s="304"/>
      <c r="AA1594" s="304"/>
      <c r="AB1594" s="304"/>
    </row>
    <row r="1595" spans="3:28" ht="14.25" customHeight="1">
      <c r="C1595" s="245"/>
      <c r="D1595" s="26"/>
      <c r="E1595" s="26"/>
      <c r="F1595" s="26"/>
      <c r="G1595" s="26"/>
      <c r="H1595" s="5"/>
      <c r="T1595" s="115"/>
      <c r="U1595" s="115"/>
      <c r="V1595" s="115"/>
      <c r="W1595" s="115"/>
      <c r="X1595" s="304"/>
      <c r="Y1595" s="304"/>
      <c r="Z1595" s="304"/>
      <c r="AA1595" s="304"/>
      <c r="AB1595" s="304"/>
    </row>
    <row r="1596" spans="3:28" ht="14.25" customHeight="1">
      <c r="C1596" s="245"/>
      <c r="D1596" s="26"/>
      <c r="E1596" s="26"/>
      <c r="F1596" s="26"/>
      <c r="G1596" s="26"/>
      <c r="H1596" s="5"/>
      <c r="T1596" s="115"/>
      <c r="U1596" s="115"/>
      <c r="V1596" s="115"/>
      <c r="W1596" s="115"/>
      <c r="X1596" s="304"/>
      <c r="Y1596" s="304"/>
      <c r="Z1596" s="304"/>
      <c r="AA1596" s="304"/>
      <c r="AB1596" s="304"/>
    </row>
    <row r="1597" spans="3:28" ht="14.25" customHeight="1">
      <c r="C1597" s="245"/>
      <c r="D1597" s="26"/>
      <c r="E1597" s="26"/>
      <c r="F1597" s="26"/>
      <c r="G1597" s="26"/>
      <c r="H1597" s="5"/>
      <c r="T1597" s="115"/>
      <c r="U1597" s="115"/>
      <c r="V1597" s="115"/>
      <c r="W1597" s="115"/>
      <c r="X1597" s="304"/>
      <c r="Y1597" s="304"/>
      <c r="Z1597" s="304"/>
      <c r="AA1597" s="304"/>
      <c r="AB1597" s="304"/>
    </row>
    <row r="1598" spans="3:28" ht="14.25" customHeight="1">
      <c r="C1598" s="245"/>
      <c r="D1598" s="26"/>
      <c r="E1598" s="26"/>
      <c r="F1598" s="26"/>
      <c r="G1598" s="26"/>
      <c r="H1598" s="5"/>
      <c r="T1598" s="115"/>
      <c r="U1598" s="115"/>
      <c r="V1598" s="115"/>
      <c r="W1598" s="115"/>
      <c r="X1598" s="304"/>
      <c r="Y1598" s="304"/>
      <c r="Z1598" s="304"/>
      <c r="AA1598" s="304"/>
      <c r="AB1598" s="304"/>
    </row>
    <row r="1599" spans="3:28" ht="14.25" customHeight="1">
      <c r="C1599" s="245"/>
      <c r="D1599" s="26"/>
      <c r="E1599" s="26"/>
      <c r="F1599" s="26"/>
      <c r="G1599" s="26"/>
      <c r="H1599" s="5"/>
      <c r="T1599" s="115"/>
      <c r="U1599" s="115"/>
      <c r="V1599" s="115"/>
      <c r="W1599" s="115"/>
      <c r="X1599" s="304"/>
      <c r="Y1599" s="304"/>
      <c r="Z1599" s="304"/>
      <c r="AA1599" s="304"/>
      <c r="AB1599" s="304"/>
    </row>
    <row r="1600" spans="3:28" ht="14.25" customHeight="1">
      <c r="C1600" s="245"/>
      <c r="D1600" s="26"/>
      <c r="E1600" s="26"/>
      <c r="F1600" s="26"/>
      <c r="G1600" s="26"/>
      <c r="H1600" s="5"/>
      <c r="T1600" s="115"/>
      <c r="U1600" s="115"/>
      <c r="V1600" s="115"/>
      <c r="W1600" s="115"/>
      <c r="X1600" s="304"/>
      <c r="Y1600" s="304"/>
      <c r="Z1600" s="304"/>
      <c r="AA1600" s="304"/>
      <c r="AB1600" s="304"/>
    </row>
    <row r="1601" spans="2:46" ht="14.25" customHeight="1">
      <c r="C1601" s="245"/>
      <c r="D1601" s="26"/>
      <c r="E1601" s="26"/>
      <c r="F1601" s="26"/>
      <c r="G1601" s="26"/>
      <c r="H1601" s="5"/>
      <c r="T1601" s="115"/>
      <c r="U1601" s="115"/>
      <c r="V1601" s="115"/>
      <c r="W1601" s="115"/>
      <c r="X1601" s="304"/>
      <c r="Y1601" s="304"/>
      <c r="Z1601" s="304"/>
      <c r="AA1601" s="304"/>
      <c r="AB1601" s="304"/>
    </row>
    <row r="1602" spans="2:46" ht="14.25" customHeight="1">
      <c r="C1602" s="245"/>
      <c r="D1602" s="26"/>
      <c r="E1602" s="26"/>
      <c r="F1602" s="26"/>
      <c r="G1602" s="26"/>
      <c r="H1602" s="5"/>
      <c r="T1602" s="115"/>
      <c r="U1602" s="115"/>
      <c r="V1602" s="115"/>
      <c r="W1602" s="115"/>
      <c r="X1602" s="304"/>
      <c r="Y1602" s="304"/>
      <c r="Z1602" s="304"/>
      <c r="AA1602" s="304"/>
      <c r="AB1602" s="304"/>
    </row>
    <row r="1603" spans="2:46" ht="14.25" customHeight="1">
      <c r="C1603" s="245"/>
      <c r="D1603" s="26"/>
      <c r="E1603" s="26"/>
      <c r="F1603" s="26"/>
      <c r="G1603" s="26"/>
      <c r="H1603" s="5"/>
      <c r="T1603" s="115"/>
      <c r="U1603" s="115"/>
      <c r="V1603" s="115"/>
      <c r="W1603" s="115"/>
      <c r="X1603" s="304"/>
      <c r="Y1603" s="304"/>
      <c r="Z1603" s="304"/>
      <c r="AA1603" s="304"/>
      <c r="AB1603" s="304"/>
    </row>
    <row r="1604" spans="2:46" ht="14.25" customHeight="1">
      <c r="C1604" s="245"/>
      <c r="D1604" s="26"/>
      <c r="E1604" s="26"/>
      <c r="F1604" s="26"/>
      <c r="G1604" s="26"/>
      <c r="H1604" s="5"/>
      <c r="T1604" s="115"/>
      <c r="U1604" s="115"/>
      <c r="V1604" s="115"/>
      <c r="W1604" s="115"/>
      <c r="X1604" s="304"/>
      <c r="Y1604" s="304"/>
      <c r="Z1604" s="304"/>
      <c r="AA1604" s="304"/>
      <c r="AB1604" s="304"/>
    </row>
    <row r="1605" spans="2:46" ht="14.25" customHeight="1">
      <c r="C1605" s="245"/>
      <c r="D1605" s="26"/>
      <c r="E1605" s="26"/>
      <c r="F1605" s="26"/>
      <c r="G1605" s="26"/>
      <c r="H1605" s="5"/>
      <c r="T1605" s="115"/>
      <c r="U1605" s="115"/>
      <c r="V1605" s="115"/>
      <c r="W1605" s="115"/>
      <c r="X1605" s="304"/>
      <c r="Y1605" s="304"/>
      <c r="Z1605" s="304"/>
      <c r="AA1605" s="304"/>
      <c r="AB1605" s="304"/>
    </row>
    <row r="1606" spans="2:46" ht="14.25" customHeight="1">
      <c r="C1606" s="245"/>
      <c r="D1606" s="26"/>
      <c r="E1606" s="26"/>
      <c r="F1606" s="26"/>
      <c r="G1606" s="26"/>
      <c r="H1606" s="5"/>
      <c r="T1606" s="115"/>
      <c r="U1606" s="115"/>
      <c r="V1606" s="115"/>
      <c r="W1606" s="115"/>
      <c r="X1606" s="304"/>
      <c r="Y1606" s="304"/>
      <c r="Z1606" s="304"/>
      <c r="AA1606" s="304"/>
      <c r="AB1606" s="304"/>
    </row>
    <row r="1607" spans="2:46" ht="14.25" customHeight="1">
      <c r="C1607" s="245"/>
      <c r="D1607" s="26"/>
      <c r="E1607" s="26"/>
      <c r="F1607" s="26"/>
      <c r="G1607" s="26"/>
      <c r="H1607" s="5"/>
      <c r="T1607" s="115"/>
      <c r="U1607" s="115"/>
      <c r="V1607" s="115"/>
      <c r="W1607" s="115"/>
      <c r="X1607" s="304"/>
      <c r="Y1607" s="304"/>
      <c r="Z1607" s="304"/>
      <c r="AA1607" s="304"/>
      <c r="AB1607" s="304"/>
    </row>
    <row r="1608" spans="2:46" ht="14.25" customHeight="1">
      <c r="C1608" s="245"/>
      <c r="D1608" s="26"/>
      <c r="E1608" s="26"/>
      <c r="F1608" s="26"/>
      <c r="G1608" s="26"/>
      <c r="H1608" s="5"/>
      <c r="T1608" s="115"/>
      <c r="U1608" s="115"/>
      <c r="V1608" s="115"/>
      <c r="W1608" s="115"/>
      <c r="X1608" s="304"/>
      <c r="Y1608" s="304"/>
      <c r="Z1608" s="304"/>
      <c r="AA1608" s="304"/>
      <c r="AB1608" s="304"/>
    </row>
    <row r="1609" spans="2:46" ht="14.25" customHeight="1">
      <c r="C1609" s="245"/>
      <c r="D1609" s="26"/>
      <c r="E1609" s="26"/>
      <c r="F1609" s="26"/>
      <c r="G1609" s="26"/>
      <c r="H1609" s="5"/>
      <c r="T1609" s="115"/>
      <c r="U1609" s="115"/>
      <c r="V1609" s="115"/>
      <c r="W1609" s="115"/>
      <c r="X1609" s="304"/>
      <c r="Y1609" s="304"/>
      <c r="Z1609" s="304"/>
      <c r="AA1609" s="304"/>
      <c r="AB1609" s="304"/>
    </row>
    <row r="1610" spans="2:46" ht="14.25" customHeight="1">
      <c r="C1610" s="245"/>
      <c r="D1610" s="26"/>
      <c r="E1610" s="26"/>
      <c r="F1610" s="26"/>
      <c r="G1610" s="26"/>
      <c r="H1610" s="5"/>
      <c r="T1610" s="115"/>
      <c r="U1610" s="115"/>
      <c r="V1610" s="115"/>
      <c r="W1610" s="115"/>
      <c r="X1610" s="304"/>
      <c r="Y1610" s="304"/>
      <c r="Z1610" s="304"/>
      <c r="AA1610" s="304"/>
      <c r="AB1610" s="304"/>
    </row>
    <row r="1611" spans="2:46" ht="14.25" customHeight="1">
      <c r="C1611" s="245"/>
      <c r="D1611" s="26"/>
      <c r="E1611" s="26"/>
      <c r="F1611" s="26"/>
      <c r="G1611" s="26"/>
      <c r="H1611" s="5"/>
      <c r="T1611" s="115"/>
      <c r="U1611" s="115"/>
      <c r="V1611" s="115"/>
      <c r="W1611" s="115"/>
      <c r="X1611" s="304"/>
      <c r="Y1611" s="304"/>
      <c r="Z1611" s="304"/>
      <c r="AA1611" s="304"/>
      <c r="AB1611" s="304"/>
    </row>
    <row r="1612" spans="2:46" ht="14.25" customHeight="1">
      <c r="C1612" s="245"/>
      <c r="D1612" s="26"/>
      <c r="E1612" s="26"/>
      <c r="F1612" s="26"/>
      <c r="G1612" s="26"/>
      <c r="H1612" s="5"/>
      <c r="T1612" s="115"/>
      <c r="U1612" s="115"/>
      <c r="V1612" s="115"/>
      <c r="W1612" s="115"/>
      <c r="X1612" s="304"/>
      <c r="Y1612" s="304"/>
      <c r="Z1612" s="304"/>
      <c r="AA1612" s="304"/>
      <c r="AB1612" s="304"/>
    </row>
    <row r="1613" spans="2:46" s="8" customFormat="1">
      <c r="B1613" s="494" t="str">
        <f>TITLE!C30</f>
        <v>Полотна збірні: ПОЛО</v>
      </c>
      <c r="C1613" s="494"/>
      <c r="D1613" s="118"/>
      <c r="E1613" s="118"/>
      <c r="F1613" s="118"/>
      <c r="G1613" s="118"/>
      <c r="H1613" s="496"/>
      <c r="I1613" s="496"/>
      <c r="J1613" s="121"/>
      <c r="K1613" s="121"/>
      <c r="L1613" s="121"/>
      <c r="M1613" s="121"/>
      <c r="N1613" s="121"/>
      <c r="O1613" s="121"/>
      <c r="P1613" s="121"/>
      <c r="Q1613" s="121"/>
      <c r="R1613" s="121"/>
      <c r="S1613" s="121"/>
      <c r="T1613" s="517" t="str">
        <f>IF($C$1="ENG",CONCATENATE("up to: ",B1539),CONCATENATE("вгору до: ",B1539))</f>
        <v>вгору до: Полотна збірні: МОДЕРН</v>
      </c>
      <c r="U1613" s="517"/>
      <c r="V1613" s="517"/>
      <c r="W1613" s="517"/>
      <c r="AG1613" s="289">
        <f>AB1613/100*12+AB1613</f>
        <v>0</v>
      </c>
      <c r="AH1613" s="289" t="e">
        <f>AG1613/AB1613-1</f>
        <v>#DIV/0!</v>
      </c>
      <c r="AN1613" s="280"/>
      <c r="AO1613" s="280"/>
      <c r="AP1613" s="280"/>
      <c r="AQ1613" s="280"/>
      <c r="AR1613" s="280"/>
      <c r="AS1613" s="280"/>
      <c r="AT1613" s="280"/>
    </row>
    <row r="1614" spans="2:46" s="8" customFormat="1" ht="5.0999999999999996" customHeight="1">
      <c r="B1614" s="117"/>
      <c r="C1614" s="420"/>
      <c r="D1614" s="9"/>
      <c r="E1614" s="9"/>
      <c r="F1614" s="9"/>
      <c r="G1614" s="9"/>
      <c r="H1614" s="120"/>
      <c r="I1614" s="120"/>
      <c r="J1614" s="1"/>
      <c r="K1614" s="1"/>
      <c r="T1614" s="115"/>
      <c r="U1614" s="115"/>
      <c r="V1614" s="115"/>
      <c r="W1614" s="115"/>
      <c r="AN1614" s="280"/>
      <c r="AO1614" s="280"/>
      <c r="AP1614" s="280"/>
      <c r="AQ1614" s="280"/>
      <c r="AR1614" s="280"/>
      <c r="AS1614" s="280"/>
      <c r="AT1614" s="280"/>
    </row>
    <row r="1615" spans="2:46" s="8" customFormat="1" ht="12.75" customHeight="1">
      <c r="B1615" s="509" t="str">
        <f>IF($C$1="ENG","model","модель")</f>
        <v>модель</v>
      </c>
      <c r="C1615" s="122" t="str">
        <f>IF($C$1="ENG","cover:","покриття:")</f>
        <v>покриття:</v>
      </c>
      <c r="D1615" s="498" t="str">
        <f>IF($C$1="ENG","Verto-CELL","Verto-CELL")</f>
        <v>Verto-CELL</v>
      </c>
      <c r="E1615" s="500"/>
      <c r="F1615" s="498" t="str">
        <f>IF($C$1="ENG","UNI-MAT","UNI-MAT")</f>
        <v>UNI-MAT</v>
      </c>
      <c r="G1615" s="500"/>
      <c r="H1615" s="498" t="str">
        <f>IF($C$1="ENG","RESIST","RESIST")</f>
        <v>RESIST</v>
      </c>
      <c r="I1615" s="500"/>
      <c r="J1615" s="498" t="str">
        <f>IF($C$1="ENG","Verto LINE-3D","Verto LINE-3D")</f>
        <v>Verto LINE-3D</v>
      </c>
      <c r="K1615" s="500"/>
      <c r="L1615" s="498" t="str">
        <f>IF($C$1="ENG","ECO Shpon","ЕКО Шпон")</f>
        <v>ЕКО Шпон</v>
      </c>
      <c r="M1615" s="500"/>
      <c r="P1615" s="20"/>
      <c r="Q1615" s="20"/>
      <c r="T1615" s="115"/>
      <c r="U1615" s="115"/>
      <c r="V1615" s="115"/>
      <c r="W1615" s="115"/>
      <c r="AN1615" s="280"/>
      <c r="AO1615" s="280"/>
      <c r="AP1615" s="280"/>
      <c r="AQ1615" s="280"/>
      <c r="AR1615" s="280"/>
      <c r="AS1615" s="280"/>
      <c r="AT1615" s="280"/>
    </row>
    <row r="1616" spans="2:46" s="8" customFormat="1" ht="24" customHeight="1">
      <c r="B1616" s="510"/>
      <c r="C1616" s="123" t="str">
        <f>IF($C$1="ENG","filling:","заповнення:")</f>
        <v>заповнення:</v>
      </c>
      <c r="D1616" s="505" t="str">
        <f>IF($C$1="ENG","softwood","клеєний сосновий брус")</f>
        <v>клеєний сосновий брус</v>
      </c>
      <c r="E1616" s="506"/>
      <c r="F1616" s="505" t="str">
        <f>IF($C$1="ENG","softwood","клеєний сосновий брус")</f>
        <v>клеєний сосновий брус</v>
      </c>
      <c r="G1616" s="506"/>
      <c r="H1616" s="505" t="str">
        <f>IF($C$1="ENG","softwood","клеєний сосновий брус")</f>
        <v>клеєний сосновий брус</v>
      </c>
      <c r="I1616" s="506"/>
      <c r="J1616" s="505" t="str">
        <f>IF($C$1="ENG","softwood","клеєний сосновий брус")</f>
        <v>клеєний сосновий брус</v>
      </c>
      <c r="K1616" s="506"/>
      <c r="L1616" s="505" t="str">
        <f>IF($C$1="ENG","softwood","клеєний сосновий брус")</f>
        <v>клеєний сосновий брус</v>
      </c>
      <c r="M1616" s="506"/>
      <c r="P1616" s="20"/>
      <c r="Q1616" s="20"/>
      <c r="T1616" s="115"/>
      <c r="U1616" s="115"/>
      <c r="V1616" s="115"/>
      <c r="W1616" s="115"/>
      <c r="AD1616" s="383">
        <f>AD1618/AC1618-1</f>
        <v>0.11024844720496896</v>
      </c>
      <c r="AE1616" s="383">
        <f>AE1618/AD1618-1</f>
        <v>4.8951048951048959E-2</v>
      </c>
      <c r="AF1616" s="383">
        <f>AF1618/AE1618-1</f>
        <v>8.1333333333333258E-2</v>
      </c>
      <c r="AG1616" s="383">
        <f>AG1618/AF1618-1</f>
        <v>5.3020961775585684E-2</v>
      </c>
      <c r="AN1616" s="280"/>
      <c r="AO1616" s="280"/>
      <c r="AP1616" s="280"/>
      <c r="AQ1616" s="280"/>
      <c r="AR1616" s="280"/>
      <c r="AS1616" s="280"/>
      <c r="AT1616" s="280"/>
    </row>
    <row r="1617" spans="1:43" ht="12.75" customHeight="1">
      <c r="A1617" s="8"/>
      <c r="B1617" s="511"/>
      <c r="C1617" s="124" t="str">
        <f>IF($C$1="ENG","glazing:","скління:")</f>
        <v>скління:</v>
      </c>
      <c r="D1617" s="489" t="str">
        <f>IF($C$1="ENG","Satin","Сатин")</f>
        <v>Сатин</v>
      </c>
      <c r="E1617" s="492"/>
      <c r="F1617" s="489" t="str">
        <f>IF($C$1="ENG","Satin","Сатин")</f>
        <v>Сатин</v>
      </c>
      <c r="G1617" s="492"/>
      <c r="H1617" s="489" t="str">
        <f>IF($C$1="ENG","Satin","Сатин")</f>
        <v>Сатин</v>
      </c>
      <c r="I1617" s="492"/>
      <c r="J1617" s="489" t="str">
        <f>IF($C$1="ENG","Satin","Сатин")</f>
        <v>Сатин</v>
      </c>
      <c r="K1617" s="492"/>
      <c r="L1617" s="489" t="str">
        <f>IF($C$1="ENG","Satin","Сатин")</f>
        <v>Сатин</v>
      </c>
      <c r="M1617" s="492"/>
      <c r="N1617" s="11"/>
      <c r="O1617" s="11"/>
      <c r="P1617" s="20"/>
      <c r="Q1617" s="20"/>
      <c r="R1617" s="11"/>
      <c r="S1617" s="11"/>
      <c r="T1617" s="11"/>
    </row>
    <row r="1618" spans="1:43" ht="35.1" customHeight="1">
      <c r="A1618" s="8"/>
      <c r="B1618" s="13" t="s">
        <v>32</v>
      </c>
      <c r="C1618" s="14"/>
      <c r="D1618" s="15">
        <f>IF(AC1618="","",(1-$W$2)*(AC1618/1.2))</f>
        <v>5366.666666666667</v>
      </c>
      <c r="E1618" s="64">
        <f>IF($W$5=0.2,D1618*1.2,D1618)/$W$4</f>
        <v>6440</v>
      </c>
      <c r="F1618" s="15">
        <f>IF(AD1618="","",(1-$W$2)*(AD1618/1.2))</f>
        <v>5958.3333333333339</v>
      </c>
      <c r="G1618" s="64">
        <f>IF($W$5=0.2,F1618*1.2,F1618)/$W$4</f>
        <v>7150.0000000000009</v>
      </c>
      <c r="H1618" s="15">
        <f>IF(AE1618="","",(1-$W$2)*(AE1618/1.2))</f>
        <v>6250</v>
      </c>
      <c r="I1618" s="64">
        <f>IF($W$5=0.2,H1618*1.2,H1618)/$W$4</f>
        <v>7500</v>
      </c>
      <c r="J1618" s="15">
        <f>IF(AF1618="","",(1-$W$2)*(AF1618/1.2))</f>
        <v>6758.3333333333339</v>
      </c>
      <c r="K1618" s="64">
        <f>IF($W$5=0.2,J1618*1.2,J1618)/$W$4</f>
        <v>8110</v>
      </c>
      <c r="L1618" s="15">
        <f>IF(AG1618="","",(1-$W$2)*(AG1618/1.2))</f>
        <v>7116.666666666667</v>
      </c>
      <c r="M1618" s="64">
        <f>IF($W$5=0.2,L1618*1.2,L1618)/$W$4</f>
        <v>8540</v>
      </c>
      <c r="N1618" s="104"/>
      <c r="O1618" s="20"/>
      <c r="P1618" s="20"/>
      <c r="Q1618" s="20"/>
      <c r="R1618" s="104"/>
      <c r="S1618" s="20"/>
      <c r="T1618" s="104"/>
      <c r="U1618" s="20"/>
      <c r="V1618" s="104"/>
      <c r="W1618" s="20"/>
      <c r="X1618" s="22"/>
      <c r="Y1618" s="22"/>
      <c r="Z1618" s="22"/>
      <c r="AA1618" s="22"/>
      <c r="AB1618" s="22"/>
      <c r="AC1618" s="332">
        <v>6440</v>
      </c>
      <c r="AD1618" s="391">
        <v>7150</v>
      </c>
      <c r="AE1618" s="332">
        <v>7500</v>
      </c>
      <c r="AF1618" s="332">
        <v>8110</v>
      </c>
      <c r="AG1618" s="332">
        <v>8540</v>
      </c>
      <c r="AH1618" s="289">
        <v>6440</v>
      </c>
      <c r="AI1618" s="289">
        <f>AH1618/AC1618-1</f>
        <v>0</v>
      </c>
      <c r="AJ1618" s="289">
        <v>7150</v>
      </c>
      <c r="AK1618" s="289">
        <f>AJ1618/AD1618-1</f>
        <v>0</v>
      </c>
      <c r="AL1618" s="289">
        <v>7500</v>
      </c>
      <c r="AM1618" s="289">
        <f>AL1618/AE1618-1</f>
        <v>0</v>
      </c>
      <c r="AN1618" s="289">
        <v>8110</v>
      </c>
      <c r="AO1618" s="289">
        <f>AN1618/AF1618-1</f>
        <v>0</v>
      </c>
      <c r="AP1618" s="289">
        <v>8540</v>
      </c>
      <c r="AQ1618" s="289">
        <f>AP1618/AG1618-1</f>
        <v>0</v>
      </c>
    </row>
    <row r="1619" spans="1:43" ht="35.1" customHeight="1">
      <c r="A1619" s="8"/>
      <c r="B1619" s="16" t="s">
        <v>15</v>
      </c>
      <c r="C1619" s="17"/>
      <c r="D1619" s="18">
        <f>IF(AC1619="","",(1-$W$2)*(AC1619/1.2))</f>
        <v>4983.3333333333339</v>
      </c>
      <c r="E1619" s="66">
        <f>IF($W$5=0.2,D1619*1.2,D1619)/$W$4</f>
        <v>5980.0000000000009</v>
      </c>
      <c r="F1619" s="18">
        <f>IF(AD1619="","",(1-$W$2)*(AD1619/1.2))</f>
        <v>5533.3333333333339</v>
      </c>
      <c r="G1619" s="66">
        <f>IF($W$5=0.2,F1619*1.2,F1619)/$W$4</f>
        <v>6640.0000000000009</v>
      </c>
      <c r="H1619" s="18">
        <f>IF(AE1619="","",(1-$W$2)*(AE1619/1.2))</f>
        <v>5750</v>
      </c>
      <c r="I1619" s="66">
        <f>IF($W$5=0.2,H1619*1.2,H1619)/$W$4</f>
        <v>6900</v>
      </c>
      <c r="J1619" s="18">
        <f>IF(AF1619="","",(1-$W$2)*(AF1619/1.2))</f>
        <v>6225</v>
      </c>
      <c r="K1619" s="66">
        <f>IF($W$5=0.2,J1619*1.2,J1619)/$W$4</f>
        <v>7470</v>
      </c>
      <c r="L1619" s="18">
        <f>IF(AG1619="","",(1-$W$2)*(AG1619/1.2))</f>
        <v>6525</v>
      </c>
      <c r="M1619" s="66">
        <f>IF($W$5=0.2,L1619*1.2,L1619)/$W$4</f>
        <v>7830</v>
      </c>
      <c r="N1619" s="104"/>
      <c r="O1619" s="20"/>
      <c r="P1619" s="20"/>
      <c r="Q1619" s="20"/>
      <c r="R1619" s="104"/>
      <c r="S1619" s="20"/>
      <c r="T1619" s="104"/>
      <c r="U1619" s="20"/>
      <c r="V1619" s="104"/>
      <c r="W1619" s="20"/>
      <c r="X1619" s="22"/>
      <c r="Y1619" s="22"/>
      <c r="Z1619" s="22"/>
      <c r="AA1619" s="22"/>
      <c r="AB1619" s="22"/>
      <c r="AC1619" s="332">
        <v>5980</v>
      </c>
      <c r="AD1619" s="391">
        <v>6640</v>
      </c>
      <c r="AE1619" s="332">
        <v>6900</v>
      </c>
      <c r="AF1619" s="332">
        <v>7470</v>
      </c>
      <c r="AG1619" s="332">
        <v>7830</v>
      </c>
      <c r="AH1619" s="289">
        <v>5980</v>
      </c>
      <c r="AI1619" s="289">
        <f t="shared" ref="AI1619:AI1621" si="225">AH1619/AC1619-1</f>
        <v>0</v>
      </c>
      <c r="AJ1619" s="289">
        <v>6640</v>
      </c>
      <c r="AK1619" s="289">
        <f t="shared" ref="AK1619:AK1621" si="226">AJ1619/AD1619-1</f>
        <v>0</v>
      </c>
      <c r="AL1619" s="289">
        <v>6900</v>
      </c>
      <c r="AM1619" s="289">
        <f t="shared" ref="AM1619:AM1621" si="227">AL1619/AE1619-1</f>
        <v>0</v>
      </c>
      <c r="AN1619" s="289">
        <v>7470</v>
      </c>
      <c r="AO1619" s="289">
        <f t="shared" ref="AO1619:AO1621" si="228">AN1619/AF1619-1</f>
        <v>0</v>
      </c>
      <c r="AP1619" s="289">
        <v>7830</v>
      </c>
      <c r="AQ1619" s="289">
        <f t="shared" ref="AQ1619:AQ1621" si="229">AP1619/AG1619-1</f>
        <v>0</v>
      </c>
    </row>
    <row r="1620" spans="1:43" ht="35.1" customHeight="1">
      <c r="A1620" s="8"/>
      <c r="B1620" s="16" t="s">
        <v>16</v>
      </c>
      <c r="C1620" s="17"/>
      <c r="D1620" s="18">
        <f>IF(AC1620="","",(1-$W$2)*(AC1620/1.2))</f>
        <v>4650</v>
      </c>
      <c r="E1620" s="66">
        <f>IF($W$5=0.2,D1620*1.2,D1620)/$W$4</f>
        <v>5580</v>
      </c>
      <c r="F1620" s="18">
        <f>IF(AD1620="","",(1-$W$2)*(AD1620/1.2))</f>
        <v>5158.3333333333339</v>
      </c>
      <c r="G1620" s="66">
        <f>IF($W$5=0.2,F1620*1.2,F1620)/$W$4</f>
        <v>6190.0000000000009</v>
      </c>
      <c r="H1620" s="18">
        <f>IF(AE1620="","",(1-$W$2)*(AE1620/1.2))</f>
        <v>5283.3333333333339</v>
      </c>
      <c r="I1620" s="66">
        <f>IF($W$5=0.2,H1620*1.2,H1620)/$W$4</f>
        <v>6340.0000000000009</v>
      </c>
      <c r="J1620" s="18">
        <f>IF(AF1620="","",(1-$W$2)*(AF1620/1.2))</f>
        <v>5741.666666666667</v>
      </c>
      <c r="K1620" s="66">
        <f>IF($W$5=0.2,J1620*1.2,J1620)/$W$4</f>
        <v>6890</v>
      </c>
      <c r="L1620" s="18">
        <f>IF(AG1620="","",(1-$W$2)*(AG1620/1.2))</f>
        <v>6025</v>
      </c>
      <c r="M1620" s="66">
        <f>IF($W$5=0.2,L1620*1.2,L1620)/$W$4</f>
        <v>7230</v>
      </c>
      <c r="N1620" s="104"/>
      <c r="O1620" s="20"/>
      <c r="P1620" s="20"/>
      <c r="Q1620" s="20"/>
      <c r="R1620" s="104"/>
      <c r="S1620" s="20"/>
      <c r="T1620" s="104"/>
      <c r="U1620" s="20"/>
      <c r="V1620" s="104"/>
      <c r="W1620" s="20"/>
      <c r="X1620" s="22"/>
      <c r="Y1620" s="22"/>
      <c r="Z1620" s="22"/>
      <c r="AA1620" s="22"/>
      <c r="AB1620" s="22"/>
      <c r="AC1620" s="332">
        <v>5580</v>
      </c>
      <c r="AD1620" s="391">
        <v>6190</v>
      </c>
      <c r="AE1620" s="332">
        <v>6340</v>
      </c>
      <c r="AF1620" s="332">
        <v>6890</v>
      </c>
      <c r="AG1620" s="332">
        <v>7230</v>
      </c>
      <c r="AH1620" s="289">
        <v>5580</v>
      </c>
      <c r="AI1620" s="289">
        <f t="shared" si="225"/>
        <v>0</v>
      </c>
      <c r="AJ1620" s="289">
        <v>6190</v>
      </c>
      <c r="AK1620" s="289">
        <f t="shared" si="226"/>
        <v>0</v>
      </c>
      <c r="AL1620" s="289">
        <v>6340</v>
      </c>
      <c r="AM1620" s="289">
        <f t="shared" si="227"/>
        <v>0</v>
      </c>
      <c r="AN1620" s="289">
        <v>6890</v>
      </c>
      <c r="AO1620" s="289">
        <f t="shared" si="228"/>
        <v>0</v>
      </c>
      <c r="AP1620" s="289">
        <v>7230</v>
      </c>
      <c r="AQ1620" s="289">
        <f t="shared" si="229"/>
        <v>0</v>
      </c>
    </row>
    <row r="1621" spans="1:43" ht="35.1" customHeight="1">
      <c r="A1621" s="8"/>
      <c r="B1621" s="23" t="s">
        <v>14</v>
      </c>
      <c r="C1621" s="24"/>
      <c r="D1621" s="25">
        <f>IF(AC1621="","",(1-$W$2)*(AC1621/1.2))</f>
        <v>4983.3333333333339</v>
      </c>
      <c r="E1621" s="69">
        <f>IF($W$5=0.2,D1621*1.2,D1621)/$W$4</f>
        <v>5980.0000000000009</v>
      </c>
      <c r="F1621" s="25">
        <f>IF(AD1621="","",(1-$W$2)*(AD1621/1.2))</f>
        <v>5533.3333333333339</v>
      </c>
      <c r="G1621" s="69">
        <f>IF($W$5=0.2,F1621*1.2,F1621)/$W$4</f>
        <v>6640.0000000000009</v>
      </c>
      <c r="H1621" s="25">
        <f>IF(AE1621="","",(1-$W$2)*(AE1621/1.2))</f>
        <v>5750</v>
      </c>
      <c r="I1621" s="69">
        <f>IF($W$5=0.2,H1621*1.2,H1621)/$W$4</f>
        <v>6900</v>
      </c>
      <c r="J1621" s="25">
        <f>IF(AF1621="","",(1-$W$2)*(AF1621/1.2))</f>
        <v>6225</v>
      </c>
      <c r="K1621" s="69">
        <f>IF($W$5=0.2,J1621*1.2,J1621)/$W$4</f>
        <v>7470</v>
      </c>
      <c r="L1621" s="25">
        <f>IF(AG1621="","",(1-$W$2)*(AG1621/1.2))</f>
        <v>6525</v>
      </c>
      <c r="M1621" s="69">
        <f>IF($W$5=0.2,L1621*1.2,L1621)/$W$4</f>
        <v>7830</v>
      </c>
      <c r="N1621" s="104"/>
      <c r="O1621" s="20"/>
      <c r="P1621" s="20"/>
      <c r="Q1621" s="20"/>
      <c r="R1621" s="104"/>
      <c r="S1621" s="20"/>
      <c r="T1621" s="104"/>
      <c r="U1621" s="20"/>
      <c r="V1621" s="104"/>
      <c r="W1621" s="20"/>
      <c r="X1621" s="22"/>
      <c r="Y1621" s="22"/>
      <c r="Z1621" s="22"/>
      <c r="AA1621" s="22"/>
      <c r="AB1621" s="22"/>
      <c r="AC1621" s="332">
        <v>5980</v>
      </c>
      <c r="AD1621" s="391">
        <v>6640</v>
      </c>
      <c r="AE1621" s="332">
        <v>6900</v>
      </c>
      <c r="AF1621" s="332">
        <v>7470</v>
      </c>
      <c r="AG1621" s="332">
        <v>7830</v>
      </c>
      <c r="AH1621" s="289">
        <v>5980</v>
      </c>
      <c r="AI1621" s="289">
        <f t="shared" si="225"/>
        <v>0</v>
      </c>
      <c r="AJ1621" s="289">
        <v>6640</v>
      </c>
      <c r="AK1621" s="289">
        <f t="shared" si="226"/>
        <v>0</v>
      </c>
      <c r="AL1621" s="289">
        <v>6900</v>
      </c>
      <c r="AM1621" s="289">
        <f t="shared" si="227"/>
        <v>0</v>
      </c>
      <c r="AN1621" s="289">
        <v>7470</v>
      </c>
      <c r="AO1621" s="289">
        <f t="shared" si="228"/>
        <v>0</v>
      </c>
      <c r="AP1621" s="289">
        <v>7830</v>
      </c>
      <c r="AQ1621" s="289">
        <f t="shared" si="229"/>
        <v>0</v>
      </c>
    </row>
    <row r="1622" spans="1:43">
      <c r="C1622" s="245"/>
      <c r="D1622" s="26"/>
      <c r="E1622" s="57"/>
      <c r="F1622" s="26"/>
      <c r="G1622" s="57"/>
      <c r="H1622" s="5"/>
      <c r="P1622" s="20"/>
      <c r="Q1622" s="20"/>
    </row>
    <row r="1623" spans="1:43">
      <c r="B1623" s="212" t="str">
        <f>IF($C$1="ENG","For additonal charge:","Послуги за додаткову плату:")</f>
        <v>Послуги за додаткову плату:</v>
      </c>
      <c r="C1623" s="421"/>
      <c r="D1623" s="213"/>
      <c r="E1623" s="214"/>
      <c r="F1623" s="26"/>
      <c r="G1623" s="57"/>
      <c r="H1623" s="10"/>
      <c r="I1623" s="8"/>
      <c r="J1623" s="8"/>
      <c r="K1623" s="8"/>
    </row>
    <row r="1624" spans="1:43" ht="5.0999999999999996" customHeight="1">
      <c r="B1624" s="27"/>
      <c r="C1624" s="245"/>
      <c r="D1624" s="26"/>
      <c r="E1624" s="57"/>
      <c r="F1624" s="26"/>
      <c r="G1624" s="26"/>
      <c r="H1624" s="10"/>
      <c r="I1624" s="8"/>
      <c r="J1624" s="8"/>
      <c r="K1624" s="8"/>
    </row>
    <row r="1625" spans="1:43">
      <c r="B1625" s="514" t="str">
        <f>IF($C$1="ENG","door leaf with width 100","полотно розміром 100")</f>
        <v>полотно розміром 100</v>
      </c>
      <c r="C1625" s="515"/>
      <c r="D1625" s="132">
        <f t="shared" ref="D1625:D1637" si="230">IF(AC1625="","",(1-$W$2)*(AC1625/1.2))</f>
        <v>600</v>
      </c>
      <c r="E1625" s="92">
        <f t="shared" ref="E1625:E1636" si="231">IF($W$5=0.2,D1625*1.2,D1625)/$W$4</f>
        <v>720</v>
      </c>
      <c r="F1625" s="26"/>
      <c r="G1625" s="26"/>
      <c r="H1625" s="10"/>
      <c r="I1625" s="8"/>
      <c r="J1625" s="8"/>
      <c r="K1625" s="8"/>
      <c r="AC1625" s="289">
        <v>720</v>
      </c>
      <c r="AD1625" s="289">
        <v>720</v>
      </c>
      <c r="AE1625" s="289"/>
      <c r="AF1625" s="289"/>
      <c r="AG1625" s="289"/>
      <c r="AH1625" s="289"/>
      <c r="AI1625" s="289"/>
      <c r="AJ1625" s="289"/>
      <c r="AK1625" s="289"/>
      <c r="AL1625" s="289"/>
    </row>
    <row r="1626" spans="1:43">
      <c r="B1626" s="501" t="str">
        <f>IF($C$1="ENG","Ventilation sleeves (1 row)","вентиляційні віддушини (1ряд)")</f>
        <v>вентиляційні віддушини (1ряд)</v>
      </c>
      <c r="C1626" s="502"/>
      <c r="D1626" s="133">
        <f t="shared" si="230"/>
        <v>208.33333333333334</v>
      </c>
      <c r="E1626" s="93">
        <f t="shared" si="231"/>
        <v>250</v>
      </c>
      <c r="F1626" s="26"/>
      <c r="G1626" s="26"/>
      <c r="I1626" s="11"/>
      <c r="J1626" s="11"/>
      <c r="K1626" s="11"/>
      <c r="AC1626" s="289">
        <v>250</v>
      </c>
      <c r="AD1626" s="289">
        <v>250</v>
      </c>
      <c r="AE1626" s="289"/>
      <c r="AF1626" s="289"/>
      <c r="AG1626" s="289"/>
      <c r="AH1626" s="289"/>
      <c r="AI1626" s="289"/>
      <c r="AJ1626" s="289"/>
      <c r="AK1626" s="289"/>
      <c r="AL1626" s="289"/>
    </row>
    <row r="1627" spans="1:43">
      <c r="B1627" s="514" t="str">
        <f>IF($C$1="ENG","Ventilation cut","вентиляційний підріз")</f>
        <v>вентиляційний підріз</v>
      </c>
      <c r="C1627" s="515"/>
      <c r="D1627" s="133">
        <f t="shared" si="230"/>
        <v>141.66666666666669</v>
      </c>
      <c r="E1627" s="66">
        <f t="shared" si="231"/>
        <v>170.00000000000003</v>
      </c>
      <c r="F1627" s="26"/>
      <c r="G1627" s="26"/>
      <c r="I1627" s="59"/>
      <c r="J1627" s="28"/>
      <c r="AC1627" s="289">
        <v>170</v>
      </c>
      <c r="AD1627" s="289">
        <v>170</v>
      </c>
      <c r="AE1627" s="289"/>
      <c r="AF1627" s="289"/>
      <c r="AG1627" s="289"/>
      <c r="AH1627" s="289"/>
      <c r="AI1627" s="289"/>
      <c r="AJ1627" s="289"/>
      <c r="AK1627" s="289"/>
      <c r="AL1627" s="289"/>
    </row>
    <row r="1628" spans="1:43">
      <c r="B1628" s="501" t="str">
        <f>IF($C$1="ENG","glazing Graphite / Bronze","скло Графіт / Бронза")</f>
        <v>скло Графіт / Бронза</v>
      </c>
      <c r="C1628" s="502"/>
      <c r="D1628" s="102">
        <f t="shared" si="230"/>
        <v>458.33333333333337</v>
      </c>
      <c r="E1628" s="93">
        <f t="shared" si="231"/>
        <v>550</v>
      </c>
      <c r="F1628" s="26"/>
      <c r="G1628" s="26"/>
      <c r="H1628" s="5"/>
      <c r="AC1628" s="289">
        <v>550</v>
      </c>
      <c r="AD1628" s="289">
        <v>550</v>
      </c>
      <c r="AE1628" s="289"/>
      <c r="AF1628" s="289"/>
      <c r="AG1628" s="289"/>
      <c r="AH1628" s="289"/>
      <c r="AI1628" s="289"/>
      <c r="AJ1628" s="289"/>
      <c r="AK1628" s="289"/>
      <c r="AL1628" s="289"/>
    </row>
    <row r="1629" spans="1:43">
      <c r="B1629" s="501" t="str">
        <f>IF($C$1="ENG","door lock Soft","замок Soft")</f>
        <v>замок Soft</v>
      </c>
      <c r="C1629" s="502"/>
      <c r="D1629" s="102">
        <f t="shared" si="230"/>
        <v>458.33333333333337</v>
      </c>
      <c r="E1629" s="93">
        <f t="shared" si="231"/>
        <v>550</v>
      </c>
      <c r="F1629" s="26"/>
      <c r="G1629" s="26"/>
      <c r="H1629" s="5"/>
      <c r="AC1629" s="289">
        <v>550</v>
      </c>
      <c r="AD1629" s="289">
        <v>550</v>
      </c>
      <c r="AE1629" s="289"/>
      <c r="AF1629" s="289"/>
      <c r="AG1629" s="289"/>
      <c r="AH1629" s="289"/>
      <c r="AI1629" s="289"/>
      <c r="AJ1629" s="289"/>
      <c r="AK1629" s="289"/>
      <c r="AL1629" s="289"/>
    </row>
    <row r="1630" spans="1:43">
      <c r="B1630" s="501" t="str">
        <f>IF($C$1="ENG","door lock Soft black","замок Soft чорн.")</f>
        <v>замок Soft чорн.</v>
      </c>
      <c r="C1630" s="502"/>
      <c r="D1630" s="102">
        <f t="shared" ref="D1630" si="232">IF(AC1630="","",(1-$W$2)*(AC1630/1.2))</f>
        <v>566.66666666666674</v>
      </c>
      <c r="E1630" s="93">
        <f t="shared" ref="E1630" si="233">IF($W$5=0.2,D1630*1.2,D1630)/$W$4</f>
        <v>680.00000000000011</v>
      </c>
      <c r="F1630" s="26"/>
      <c r="G1630" s="26"/>
      <c r="H1630" s="5"/>
      <c r="AC1630" s="289">
        <v>680</v>
      </c>
      <c r="AD1630" s="289"/>
      <c r="AE1630" s="289"/>
      <c r="AF1630" s="289"/>
      <c r="AG1630" s="289"/>
      <c r="AH1630" s="289"/>
      <c r="AI1630" s="289"/>
      <c r="AJ1630" s="289"/>
      <c r="AK1630" s="289"/>
      <c r="AL1630" s="289"/>
    </row>
    <row r="1631" spans="1:43">
      <c r="B1631" s="501" t="str">
        <f>IF($C$1="ENG","door lock Magnet","замок Magnet")</f>
        <v>замок Magnet</v>
      </c>
      <c r="C1631" s="502"/>
      <c r="D1631" s="102">
        <f t="shared" si="230"/>
        <v>666.66666666666674</v>
      </c>
      <c r="E1631" s="93">
        <f t="shared" si="231"/>
        <v>800.00000000000011</v>
      </c>
      <c r="F1631" s="26"/>
      <c r="G1631" s="26"/>
      <c r="H1631" s="5"/>
      <c r="AC1631" s="289">
        <v>800</v>
      </c>
      <c r="AD1631" s="289">
        <v>800</v>
      </c>
      <c r="AE1631" s="289"/>
      <c r="AF1631" s="289"/>
      <c r="AG1631" s="289"/>
      <c r="AH1631" s="289"/>
      <c r="AI1631" s="289"/>
      <c r="AJ1631" s="289"/>
      <c r="AK1631" s="289"/>
      <c r="AL1631" s="289"/>
    </row>
    <row r="1632" spans="1:43">
      <c r="B1632" s="501" t="s">
        <v>76</v>
      </c>
      <c r="C1632" s="502"/>
      <c r="D1632" s="102">
        <f t="shared" ref="D1632" si="234">IF(AC1632="","",(1-$W$2)*(AC1632/1.2))</f>
        <v>833.33333333333337</v>
      </c>
      <c r="E1632" s="93">
        <f t="shared" ref="E1632" si="235">IF($W$5=0.2,D1632*1.2,D1632)/$W$4</f>
        <v>1000</v>
      </c>
      <c r="F1632" s="26"/>
      <c r="G1632" s="26"/>
      <c r="H1632" s="5"/>
      <c r="AC1632" s="289">
        <v>1000</v>
      </c>
      <c r="AD1632" s="289"/>
      <c r="AE1632" s="289"/>
      <c r="AF1632" s="289"/>
      <c r="AG1632" s="289"/>
      <c r="AH1632" s="289"/>
      <c r="AI1632" s="289"/>
      <c r="AJ1632" s="289"/>
      <c r="AK1632" s="289"/>
      <c r="AL1632" s="289"/>
    </row>
    <row r="1633" spans="2:38">
      <c r="B1633" s="501" t="str">
        <f>IF($C$1="ENG","door handle-lock (for sliding doors)","ручка-замок (для дверей купе)")</f>
        <v>ручка-замок (для дверей купе)</v>
      </c>
      <c r="C1633" s="502"/>
      <c r="D1633" s="133">
        <f t="shared" si="230"/>
        <v>466.66666666666669</v>
      </c>
      <c r="E1633" s="93">
        <f t="shared" si="231"/>
        <v>560</v>
      </c>
      <c r="F1633" s="26"/>
      <c r="G1633" s="26"/>
      <c r="I1633" s="11"/>
      <c r="J1633" s="11"/>
      <c r="K1633" s="19"/>
      <c r="AC1633" s="289">
        <v>560</v>
      </c>
      <c r="AD1633" s="289">
        <v>560</v>
      </c>
      <c r="AE1633" s="289"/>
      <c r="AF1633" s="289"/>
      <c r="AG1633" s="289"/>
      <c r="AH1633" s="289"/>
      <c r="AI1633" s="289"/>
      <c r="AJ1633" s="289"/>
      <c r="AK1633" s="289"/>
      <c r="AL1633" s="289"/>
    </row>
    <row r="1634" spans="2:38">
      <c r="B1634" s="501" t="str">
        <f>IF($C$1="ENG","cylinder incert","циліндр несиметричний")</f>
        <v>циліндр несиметричний</v>
      </c>
      <c r="C1634" s="502"/>
      <c r="D1634" s="133">
        <f t="shared" si="230"/>
        <v>316.66666666666669</v>
      </c>
      <c r="E1634" s="93">
        <f t="shared" si="231"/>
        <v>380</v>
      </c>
      <c r="F1634" s="26"/>
      <c r="G1634" s="26"/>
      <c r="I1634" s="20"/>
      <c r="AC1634" s="289">
        <v>380</v>
      </c>
      <c r="AD1634" s="289">
        <v>380</v>
      </c>
      <c r="AE1634" s="289"/>
      <c r="AF1634" s="289"/>
      <c r="AG1634" s="289"/>
      <c r="AH1634" s="289"/>
      <c r="AI1634" s="289"/>
      <c r="AJ1634" s="289"/>
      <c r="AK1634" s="289"/>
      <c r="AL1634" s="289"/>
    </row>
    <row r="1635" spans="2:38">
      <c r="B1635" s="501" t="str">
        <f>IF($C$1="ENG","door hindge Prestige (1 unit)","завіса Prestige (1 шт)")</f>
        <v>завіса Prestige (1 шт)</v>
      </c>
      <c r="C1635" s="502"/>
      <c r="D1635" s="135">
        <f t="shared" si="230"/>
        <v>216.66666666666669</v>
      </c>
      <c r="E1635" s="93">
        <f t="shared" si="231"/>
        <v>260</v>
      </c>
      <c r="F1635" s="26"/>
      <c r="G1635" s="26"/>
      <c r="AC1635" s="289">
        <v>260</v>
      </c>
      <c r="AD1635" s="289">
        <v>260</v>
      </c>
      <c r="AE1635" s="289"/>
      <c r="AF1635" s="289"/>
      <c r="AG1635" s="289"/>
      <c r="AH1635" s="289"/>
      <c r="AI1635" s="289"/>
      <c r="AJ1635" s="289"/>
      <c r="AK1635" s="289"/>
      <c r="AL1635" s="289"/>
    </row>
    <row r="1636" spans="2:38">
      <c r="B1636" s="501" t="str">
        <f>IF($C$1="ENG","door hinge caps (1 set)","накладка на завіси (1 к-т)")</f>
        <v>накладка на завіси (1 к-т)</v>
      </c>
      <c r="C1636" s="502"/>
      <c r="D1636" s="135">
        <f t="shared" si="230"/>
        <v>66.666666666666671</v>
      </c>
      <c r="E1636" s="93">
        <f t="shared" si="231"/>
        <v>80</v>
      </c>
      <c r="F1636" s="26"/>
      <c r="G1636" s="26"/>
      <c r="AC1636" s="289">
        <v>80</v>
      </c>
      <c r="AD1636" s="289">
        <v>80</v>
      </c>
      <c r="AE1636" s="289"/>
      <c r="AF1636" s="289"/>
      <c r="AG1636" s="289"/>
      <c r="AH1636" s="289"/>
      <c r="AI1636" s="289"/>
      <c r="AJ1636" s="289"/>
      <c r="AK1636" s="289"/>
      <c r="AL1636" s="289"/>
    </row>
    <row r="1637" spans="2:38">
      <c r="B1637" s="501" t="str">
        <f>IF($C$1="ENG","door handle","дверна ручка")</f>
        <v>дверна ручка</v>
      </c>
      <c r="C1637" s="502"/>
      <c r="D1637" s="134" t="str">
        <f t="shared" si="230"/>
        <v/>
      </c>
      <c r="E1637" s="247" t="str">
        <f>IF($C$1="ENG","see Handles Price","див. Таблицю Ручки")</f>
        <v>див. Таблицю Ручки</v>
      </c>
      <c r="F1637" s="26"/>
      <c r="G1637" s="26"/>
      <c r="AC1637" s="289"/>
      <c r="AD1637" s="289"/>
      <c r="AE1637" s="289"/>
      <c r="AF1637" s="289"/>
      <c r="AG1637" s="289"/>
      <c r="AH1637" s="289"/>
      <c r="AI1637" s="289"/>
      <c r="AJ1637" s="289"/>
      <c r="AK1637" s="289"/>
      <c r="AL1637" s="289"/>
    </row>
    <row r="1638" spans="2:38" ht="14.25" customHeight="1">
      <c r="C1638" s="245"/>
      <c r="D1638" s="26"/>
      <c r="E1638" s="26"/>
      <c r="F1638" s="26"/>
      <c r="G1638" s="26"/>
      <c r="H1638" s="5"/>
      <c r="T1638" s="503" t="str">
        <f>IF($C$1="ENG",CONCATENATE("down to: ",B1688),CONCATENATE("вниз до: ",B1688))</f>
        <v>вниз до: Полотна скляні: ЛІНЕЯ</v>
      </c>
      <c r="U1638" s="503"/>
      <c r="V1638" s="503"/>
      <c r="W1638" s="503"/>
    </row>
    <row r="1639" spans="2:38" ht="14.25" customHeight="1">
      <c r="C1639" s="245"/>
      <c r="D1639" s="26"/>
      <c r="E1639" s="26"/>
      <c r="F1639" s="26"/>
      <c r="G1639" s="26"/>
      <c r="H1639" s="5"/>
      <c r="T1639" s="115"/>
      <c r="U1639" s="115"/>
      <c r="V1639" s="115"/>
      <c r="W1639" s="115"/>
    </row>
    <row r="1640" spans="2:38" ht="14.25" customHeight="1">
      <c r="C1640" s="245"/>
      <c r="D1640" s="26"/>
      <c r="E1640" s="26"/>
      <c r="F1640" s="26"/>
      <c r="G1640" s="26"/>
      <c r="H1640" s="5"/>
      <c r="T1640" s="115"/>
      <c r="U1640" s="115"/>
      <c r="V1640" s="115"/>
      <c r="W1640" s="115"/>
    </row>
    <row r="1641" spans="2:38" ht="14.25" customHeight="1">
      <c r="C1641" s="245"/>
      <c r="D1641" s="26"/>
      <c r="E1641" s="26"/>
      <c r="F1641" s="26"/>
      <c r="G1641" s="26"/>
      <c r="H1641" s="5"/>
      <c r="T1641" s="115"/>
      <c r="U1641" s="115"/>
      <c r="V1641" s="115"/>
      <c r="W1641" s="115"/>
    </row>
    <row r="1642" spans="2:38" ht="14.25" customHeight="1">
      <c r="C1642" s="245"/>
      <c r="D1642" s="26"/>
      <c r="E1642" s="26"/>
      <c r="F1642" s="26"/>
      <c r="G1642" s="26"/>
      <c r="H1642" s="5"/>
      <c r="T1642" s="115"/>
      <c r="U1642" s="115"/>
      <c r="V1642" s="115"/>
      <c r="W1642" s="115"/>
    </row>
    <row r="1643" spans="2:38" ht="14.25" customHeight="1">
      <c r="C1643" s="245"/>
      <c r="D1643" s="26"/>
      <c r="E1643" s="26"/>
      <c r="F1643" s="26"/>
      <c r="G1643" s="26"/>
      <c r="H1643" s="5"/>
      <c r="T1643" s="115"/>
      <c r="U1643" s="115"/>
      <c r="V1643" s="115"/>
      <c r="W1643" s="115"/>
    </row>
    <row r="1644" spans="2:38" ht="14.25" customHeight="1">
      <c r="C1644" s="245"/>
      <c r="D1644" s="26"/>
      <c r="E1644" s="26"/>
      <c r="F1644" s="26"/>
      <c r="G1644" s="26"/>
      <c r="H1644" s="5"/>
      <c r="T1644" s="115"/>
      <c r="U1644" s="115"/>
      <c r="V1644" s="115"/>
      <c r="W1644" s="115"/>
    </row>
    <row r="1645" spans="2:38" ht="14.25" customHeight="1">
      <c r="C1645" s="245"/>
      <c r="D1645" s="26"/>
      <c r="E1645" s="26"/>
      <c r="F1645" s="26"/>
      <c r="G1645" s="26"/>
      <c r="H1645" s="5"/>
      <c r="T1645" s="115"/>
      <c r="U1645" s="115"/>
      <c r="V1645" s="115"/>
      <c r="W1645" s="115"/>
    </row>
    <row r="1646" spans="2:38" ht="14.25" customHeight="1">
      <c r="C1646" s="245"/>
      <c r="D1646" s="26"/>
      <c r="E1646" s="26"/>
      <c r="F1646" s="26"/>
      <c r="G1646" s="26"/>
      <c r="H1646" s="5"/>
      <c r="T1646" s="115"/>
      <c r="U1646" s="115"/>
      <c r="V1646" s="115"/>
      <c r="W1646" s="115"/>
    </row>
    <row r="1647" spans="2:38" ht="14.25" customHeight="1">
      <c r="C1647" s="245"/>
      <c r="D1647" s="26"/>
      <c r="E1647" s="26"/>
      <c r="F1647" s="26"/>
      <c r="G1647" s="26"/>
      <c r="H1647" s="5"/>
      <c r="T1647" s="115"/>
      <c r="U1647" s="115"/>
      <c r="V1647" s="115"/>
      <c r="W1647" s="115"/>
    </row>
    <row r="1648" spans="2:38" ht="14.25" customHeight="1">
      <c r="C1648" s="245"/>
      <c r="D1648" s="26"/>
      <c r="E1648" s="26"/>
      <c r="F1648" s="26"/>
      <c r="G1648" s="26"/>
      <c r="H1648" s="5"/>
      <c r="T1648" s="115"/>
      <c r="U1648" s="115"/>
      <c r="V1648" s="115"/>
      <c r="W1648" s="115"/>
    </row>
    <row r="1649" spans="3:23" ht="14.25" customHeight="1">
      <c r="C1649" s="245"/>
      <c r="D1649" s="26"/>
      <c r="E1649" s="26"/>
      <c r="F1649" s="26"/>
      <c r="G1649" s="26"/>
      <c r="H1649" s="5"/>
      <c r="T1649" s="115"/>
      <c r="U1649" s="115"/>
      <c r="V1649" s="115"/>
      <c r="W1649" s="115"/>
    </row>
    <row r="1650" spans="3:23" ht="14.25" customHeight="1">
      <c r="C1650" s="245"/>
      <c r="D1650" s="26"/>
      <c r="E1650" s="26"/>
      <c r="F1650" s="26"/>
      <c r="G1650" s="26"/>
      <c r="H1650" s="5"/>
      <c r="T1650" s="115"/>
      <c r="U1650" s="115"/>
      <c r="V1650" s="115"/>
      <c r="W1650" s="115"/>
    </row>
    <row r="1651" spans="3:23" ht="14.25" customHeight="1">
      <c r="C1651" s="245"/>
      <c r="D1651" s="26"/>
      <c r="E1651" s="26"/>
      <c r="F1651" s="26"/>
      <c r="G1651" s="26"/>
      <c r="H1651" s="5"/>
      <c r="T1651" s="115"/>
      <c r="U1651" s="115"/>
      <c r="V1651" s="115"/>
      <c r="W1651" s="115"/>
    </row>
    <row r="1652" spans="3:23" ht="14.25" customHeight="1">
      <c r="C1652" s="245"/>
      <c r="D1652" s="26"/>
      <c r="E1652" s="26"/>
      <c r="F1652" s="26"/>
      <c r="G1652" s="26"/>
      <c r="H1652" s="5"/>
      <c r="T1652" s="115"/>
      <c r="U1652" s="115"/>
      <c r="V1652" s="115"/>
      <c r="W1652" s="115"/>
    </row>
    <row r="1653" spans="3:23" ht="14.25" customHeight="1">
      <c r="C1653" s="245"/>
      <c r="D1653" s="26"/>
      <c r="E1653" s="26"/>
      <c r="F1653" s="26"/>
      <c r="G1653" s="26"/>
      <c r="H1653" s="5"/>
      <c r="T1653" s="115"/>
      <c r="U1653" s="115"/>
      <c r="V1653" s="115"/>
      <c r="W1653" s="115"/>
    </row>
    <row r="1654" spans="3:23" ht="14.25" customHeight="1">
      <c r="C1654" s="245"/>
      <c r="D1654" s="26"/>
      <c r="E1654" s="26"/>
      <c r="F1654" s="26"/>
      <c r="G1654" s="26"/>
      <c r="H1654" s="5"/>
      <c r="T1654" s="115"/>
      <c r="U1654" s="115"/>
      <c r="V1654" s="115"/>
      <c r="W1654" s="115"/>
    </row>
    <row r="1655" spans="3:23" ht="14.25" customHeight="1">
      <c r="C1655" s="245"/>
      <c r="D1655" s="26"/>
      <c r="E1655" s="26"/>
      <c r="F1655" s="26"/>
      <c r="G1655" s="26"/>
      <c r="H1655" s="5"/>
      <c r="T1655" s="115"/>
      <c r="U1655" s="115"/>
      <c r="V1655" s="115"/>
      <c r="W1655" s="115"/>
    </row>
    <row r="1656" spans="3:23" ht="14.25" customHeight="1">
      <c r="C1656" s="245"/>
      <c r="D1656" s="26"/>
      <c r="E1656" s="26"/>
      <c r="F1656" s="26"/>
      <c r="G1656" s="26"/>
      <c r="H1656" s="5"/>
      <c r="T1656" s="115"/>
      <c r="U1656" s="115"/>
      <c r="V1656" s="115"/>
      <c r="W1656" s="115"/>
    </row>
    <row r="1657" spans="3:23" ht="14.25" customHeight="1">
      <c r="C1657" s="245"/>
      <c r="D1657" s="26"/>
      <c r="E1657" s="26"/>
      <c r="F1657" s="26"/>
      <c r="G1657" s="26"/>
      <c r="H1657" s="5"/>
      <c r="T1657" s="115"/>
      <c r="U1657" s="115"/>
      <c r="V1657" s="115"/>
      <c r="W1657" s="115"/>
    </row>
    <row r="1658" spans="3:23" ht="14.25" customHeight="1">
      <c r="C1658" s="245"/>
      <c r="D1658" s="26"/>
      <c r="E1658" s="26"/>
      <c r="F1658" s="26"/>
      <c r="G1658" s="26"/>
      <c r="H1658" s="5"/>
      <c r="T1658" s="115"/>
      <c r="U1658" s="115"/>
      <c r="V1658" s="115"/>
      <c r="W1658" s="115"/>
    </row>
    <row r="1659" spans="3:23" ht="14.25" customHeight="1">
      <c r="C1659" s="245"/>
      <c r="D1659" s="26"/>
      <c r="E1659" s="26"/>
      <c r="F1659" s="26"/>
      <c r="G1659" s="26"/>
      <c r="H1659" s="5"/>
      <c r="T1659" s="115"/>
      <c r="U1659" s="115"/>
      <c r="V1659" s="115"/>
      <c r="W1659" s="115"/>
    </row>
    <row r="1660" spans="3:23" ht="14.25" customHeight="1">
      <c r="C1660" s="245"/>
      <c r="D1660" s="26"/>
      <c r="E1660" s="26"/>
      <c r="F1660" s="26"/>
      <c r="G1660" s="26"/>
      <c r="H1660" s="5"/>
      <c r="T1660" s="115"/>
      <c r="U1660" s="115"/>
      <c r="V1660" s="115"/>
      <c r="W1660" s="115"/>
    </row>
    <row r="1661" spans="3:23" ht="14.25" customHeight="1">
      <c r="C1661" s="245"/>
      <c r="D1661" s="26"/>
      <c r="E1661" s="26"/>
      <c r="F1661" s="26"/>
      <c r="G1661" s="26"/>
      <c r="H1661" s="5"/>
      <c r="T1661" s="115"/>
      <c r="U1661" s="115"/>
      <c r="V1661" s="115"/>
      <c r="W1661" s="115"/>
    </row>
    <row r="1662" spans="3:23" ht="14.25" customHeight="1">
      <c r="C1662" s="245"/>
      <c r="D1662" s="26"/>
      <c r="E1662" s="26"/>
      <c r="F1662" s="26"/>
      <c r="G1662" s="26"/>
      <c r="H1662" s="5"/>
      <c r="T1662" s="115"/>
      <c r="U1662" s="115"/>
      <c r="V1662" s="115"/>
      <c r="W1662" s="115"/>
    </row>
    <row r="1663" spans="3:23" ht="14.25" customHeight="1">
      <c r="C1663" s="245"/>
      <c r="D1663" s="26"/>
      <c r="E1663" s="26"/>
      <c r="F1663" s="26"/>
      <c r="G1663" s="26"/>
      <c r="H1663" s="5"/>
      <c r="T1663" s="115"/>
      <c r="U1663" s="115"/>
      <c r="V1663" s="115"/>
      <c r="W1663" s="115"/>
    </row>
    <row r="1664" spans="3:23" ht="14.25" customHeight="1">
      <c r="C1664" s="245"/>
      <c r="D1664" s="26"/>
      <c r="E1664" s="26"/>
      <c r="F1664" s="26"/>
      <c r="G1664" s="26"/>
      <c r="H1664" s="5"/>
      <c r="T1664" s="115"/>
      <c r="U1664" s="115"/>
      <c r="V1664" s="115"/>
      <c r="W1664" s="115"/>
    </row>
    <row r="1665" spans="3:23" ht="14.25" customHeight="1">
      <c r="C1665" s="245"/>
      <c r="D1665" s="26"/>
      <c r="E1665" s="26"/>
      <c r="F1665" s="26"/>
      <c r="G1665" s="26"/>
      <c r="H1665" s="5"/>
      <c r="T1665" s="115"/>
      <c r="U1665" s="115"/>
      <c r="V1665" s="115"/>
      <c r="W1665" s="115"/>
    </row>
    <row r="1666" spans="3:23" ht="14.25" customHeight="1">
      <c r="C1666" s="245"/>
      <c r="D1666" s="26"/>
      <c r="E1666" s="26"/>
      <c r="F1666" s="26"/>
      <c r="G1666" s="26"/>
      <c r="H1666" s="5"/>
    </row>
    <row r="1667" spans="3:23" ht="14.25" customHeight="1">
      <c r="C1667" s="245"/>
      <c r="D1667" s="26"/>
      <c r="E1667" s="26"/>
      <c r="F1667" s="26"/>
      <c r="G1667" s="26"/>
      <c r="H1667" s="5"/>
    </row>
    <row r="1668" spans="3:23" ht="14.25" customHeight="1">
      <c r="C1668" s="245"/>
      <c r="D1668" s="26"/>
      <c r="E1668" s="26"/>
      <c r="F1668" s="26"/>
      <c r="G1668" s="26"/>
      <c r="H1668" s="5"/>
    </row>
    <row r="1669" spans="3:23" ht="14.25" customHeight="1">
      <c r="C1669" s="245"/>
      <c r="D1669" s="26"/>
      <c r="E1669" s="26"/>
      <c r="F1669" s="26"/>
      <c r="G1669" s="26"/>
      <c r="H1669" s="5"/>
    </row>
    <row r="1670" spans="3:23" ht="14.25" customHeight="1">
      <c r="C1670" s="245"/>
      <c r="D1670" s="26"/>
      <c r="E1670" s="26"/>
      <c r="F1670" s="26"/>
      <c r="G1670" s="26"/>
      <c r="H1670" s="5"/>
    </row>
    <row r="1671" spans="3:23" ht="14.25" customHeight="1">
      <c r="C1671" s="245"/>
      <c r="D1671" s="26"/>
      <c r="E1671" s="26"/>
      <c r="F1671" s="26"/>
      <c r="G1671" s="26"/>
      <c r="H1671" s="5"/>
    </row>
    <row r="1672" spans="3:23" ht="14.25" customHeight="1">
      <c r="C1672" s="245"/>
      <c r="D1672" s="26"/>
      <c r="E1672" s="26"/>
      <c r="F1672" s="26"/>
      <c r="G1672" s="26"/>
      <c r="H1672" s="5"/>
    </row>
    <row r="1673" spans="3:23" ht="14.25" customHeight="1">
      <c r="C1673" s="245"/>
      <c r="D1673" s="26"/>
      <c r="E1673" s="26"/>
      <c r="F1673" s="26"/>
      <c r="G1673" s="26"/>
      <c r="H1673" s="5"/>
    </row>
    <row r="1674" spans="3:23" ht="14.25" customHeight="1">
      <c r="C1674" s="245"/>
      <c r="D1674" s="26"/>
      <c r="E1674" s="26"/>
      <c r="F1674" s="26"/>
      <c r="G1674" s="26"/>
      <c r="H1674" s="5"/>
    </row>
    <row r="1675" spans="3:23" ht="14.25" customHeight="1">
      <c r="C1675" s="245"/>
      <c r="D1675" s="26"/>
      <c r="E1675" s="26"/>
      <c r="F1675" s="26"/>
      <c r="G1675" s="26"/>
      <c r="H1675" s="5"/>
    </row>
    <row r="1676" spans="3:23" ht="14.25" customHeight="1">
      <c r="C1676" s="245"/>
      <c r="D1676" s="26"/>
      <c r="E1676" s="26"/>
      <c r="F1676" s="26"/>
      <c r="G1676" s="26"/>
      <c r="H1676" s="5"/>
    </row>
    <row r="1677" spans="3:23" ht="14.25" customHeight="1">
      <c r="C1677" s="245"/>
      <c r="D1677" s="26"/>
      <c r="E1677" s="26"/>
      <c r="F1677" s="26"/>
      <c r="G1677" s="26"/>
      <c r="H1677" s="5"/>
    </row>
    <row r="1678" spans="3:23" ht="14.25" customHeight="1">
      <c r="C1678" s="245"/>
      <c r="D1678" s="26"/>
      <c r="E1678" s="26"/>
      <c r="F1678" s="26"/>
      <c r="G1678" s="26"/>
      <c r="H1678" s="5"/>
    </row>
    <row r="1679" spans="3:23" ht="14.25" customHeight="1">
      <c r="C1679" s="245"/>
      <c r="D1679" s="26"/>
      <c r="E1679" s="26"/>
      <c r="F1679" s="26"/>
      <c r="G1679" s="26"/>
      <c r="H1679" s="5"/>
    </row>
    <row r="1680" spans="3:23" ht="14.25" customHeight="1">
      <c r="C1680" s="245"/>
      <c r="D1680" s="26"/>
      <c r="E1680" s="26"/>
      <c r="F1680" s="26"/>
      <c r="G1680" s="26"/>
      <c r="H1680" s="5"/>
    </row>
    <row r="1681" spans="1:46" ht="14.25" customHeight="1">
      <c r="C1681" s="245"/>
      <c r="D1681" s="26"/>
      <c r="E1681" s="26"/>
      <c r="F1681" s="26"/>
      <c r="G1681" s="26"/>
      <c r="H1681" s="5"/>
    </row>
    <row r="1682" spans="1:46" ht="14.25" customHeight="1">
      <c r="C1682" s="245"/>
      <c r="D1682" s="26"/>
      <c r="E1682" s="26"/>
      <c r="F1682" s="26"/>
      <c r="G1682" s="26"/>
      <c r="H1682" s="5"/>
    </row>
    <row r="1683" spans="1:46" ht="14.25" customHeight="1">
      <c r="C1683" s="245"/>
      <c r="D1683" s="26"/>
      <c r="E1683" s="26"/>
      <c r="F1683" s="26"/>
      <c r="G1683" s="26"/>
      <c r="H1683" s="5"/>
    </row>
    <row r="1684" spans="1:46" ht="14.25" customHeight="1">
      <c r="C1684" s="245"/>
      <c r="D1684" s="26"/>
      <c r="E1684" s="26"/>
      <c r="F1684" s="26"/>
      <c r="G1684" s="26"/>
      <c r="H1684" s="5"/>
    </row>
    <row r="1685" spans="1:46" ht="14.25" customHeight="1">
      <c r="C1685" s="245"/>
      <c r="D1685" s="26"/>
      <c r="E1685" s="26"/>
      <c r="F1685" s="26"/>
      <c r="G1685" s="26"/>
      <c r="H1685" s="5"/>
    </row>
    <row r="1686" spans="1:46" ht="14.25" customHeight="1">
      <c r="C1686" s="245"/>
      <c r="D1686" s="26"/>
      <c r="E1686" s="26"/>
      <c r="F1686" s="26"/>
      <c r="G1686" s="26"/>
      <c r="H1686" s="5"/>
    </row>
    <row r="1687" spans="1:46" s="8" customFormat="1">
      <c r="B1687" s="1"/>
      <c r="C1687" s="245"/>
      <c r="D1687" s="26"/>
      <c r="E1687" s="26"/>
      <c r="F1687" s="26"/>
      <c r="G1687" s="26"/>
      <c r="H1687" s="5"/>
      <c r="I1687" s="1"/>
      <c r="J1687" s="1"/>
      <c r="K1687" s="1"/>
      <c r="AN1687" s="280"/>
      <c r="AO1687" s="280"/>
      <c r="AP1687" s="280"/>
      <c r="AQ1687" s="280"/>
      <c r="AR1687" s="280"/>
      <c r="AS1687" s="280"/>
      <c r="AT1687" s="280"/>
    </row>
    <row r="1688" spans="1:46" s="8" customFormat="1" ht="12.75" customHeight="1">
      <c r="B1688" s="494" t="str">
        <f>TITLE!$C$31</f>
        <v>Полотна скляні: ЛІНЕЯ</v>
      </c>
      <c r="C1688" s="494"/>
      <c r="D1688" s="118"/>
      <c r="E1688" s="118"/>
      <c r="F1688" s="118"/>
      <c r="G1688" s="118"/>
      <c r="H1688" s="118"/>
      <c r="I1688" s="121"/>
      <c r="J1688" s="121"/>
      <c r="K1688" s="121"/>
      <c r="L1688" s="121"/>
      <c r="M1688" s="121"/>
      <c r="N1688" s="121"/>
      <c r="O1688" s="121"/>
      <c r="P1688" s="121"/>
      <c r="Q1688" s="121"/>
      <c r="R1688" s="121"/>
      <c r="S1688" s="121"/>
      <c r="T1688" s="517" t="str">
        <f>IF($C$1="ENG",CONCATENATE("up to: ",B1613),CONCATENATE("вгору до: ",B1613))</f>
        <v>вгору до: Полотна збірні: ПОЛО</v>
      </c>
      <c r="U1688" s="517"/>
      <c r="V1688" s="517"/>
      <c r="W1688" s="517"/>
      <c r="AN1688" s="280"/>
      <c r="AO1688" s="280"/>
      <c r="AP1688" s="280"/>
      <c r="AQ1688" s="280"/>
      <c r="AR1688" s="280"/>
      <c r="AS1688" s="280"/>
      <c r="AT1688" s="280"/>
    </row>
    <row r="1689" spans="1:46" ht="4.5" customHeight="1">
      <c r="A1689" s="8"/>
      <c r="B1689" s="117"/>
      <c r="C1689" s="420"/>
      <c r="D1689" s="10"/>
      <c r="E1689" s="10"/>
      <c r="F1689" s="10"/>
      <c r="G1689" s="10"/>
      <c r="H1689" s="10"/>
      <c r="I1689" s="8"/>
      <c r="J1689" s="8"/>
      <c r="K1689" s="8"/>
      <c r="L1689" s="8"/>
      <c r="M1689" s="11"/>
      <c r="P1689" s="8"/>
      <c r="Q1689" s="11"/>
    </row>
    <row r="1690" spans="1:46" ht="12.75" customHeight="1">
      <c r="A1690" s="8"/>
      <c r="B1690" s="509" t="str">
        <f>IF($C$1="ENG","model","модель")</f>
        <v>модель</v>
      </c>
      <c r="C1690" s="122" t="str">
        <f>IF($C$1="ENG","cover:","покриття:")</f>
        <v>покриття:</v>
      </c>
      <c r="D1690" s="498" t="str">
        <f>IF($C$1="ENG"," VERTO-CELL","VERTO-CELL")</f>
        <v>VERTO-CELL</v>
      </c>
      <c r="E1690" s="499"/>
      <c r="F1690" s="499"/>
      <c r="G1690" s="499"/>
      <c r="H1690" s="499"/>
      <c r="I1690" s="500"/>
      <c r="J1690" s="311"/>
      <c r="K1690" s="311"/>
      <c r="L1690" s="8"/>
      <c r="M1690" s="11"/>
      <c r="P1690" s="8"/>
      <c r="Q1690" s="11"/>
      <c r="AH1690" s="1">
        <f>AF1693-AJ1693</f>
        <v>-1120</v>
      </c>
      <c r="AM1690" s="22">
        <f>AD1693-AC1693</f>
        <v>730</v>
      </c>
      <c r="AN1690" s="30">
        <f>AE1693-AC1693</f>
        <v>1120</v>
      </c>
    </row>
    <row r="1691" spans="1:46" ht="12.75" customHeight="1">
      <c r="A1691" s="8"/>
      <c r="B1691" s="510"/>
      <c r="C1691" s="123" t="str">
        <f>IF($C$1="ENG","filling:","заповнення:")</f>
        <v>заповнення:</v>
      </c>
      <c r="D1691" s="505" t="str">
        <f>IF($C$1="ENG","honeycomb core ","сотове заповнення")</f>
        <v>сотове заповнення</v>
      </c>
      <c r="E1691" s="520"/>
      <c r="F1691" s="520"/>
      <c r="G1691" s="520"/>
      <c r="H1691" s="520"/>
      <c r="I1691" s="506"/>
      <c r="J1691" s="311"/>
      <c r="K1691" s="311"/>
      <c r="L1691" s="8"/>
      <c r="M1691" s="11"/>
      <c r="P1691" s="8"/>
      <c r="Q1691" s="11"/>
      <c r="AD1691" s="22"/>
    </row>
    <row r="1692" spans="1:46">
      <c r="A1692" s="8"/>
      <c r="B1692" s="511"/>
      <c r="C1692" s="124" t="str">
        <f>IF($C$1="ENG","glazing:","скління:")</f>
        <v>скління:</v>
      </c>
      <c r="D1692" s="489" t="str">
        <f>IF($C$1="ENG","Satin","Сатин")</f>
        <v>Сатин</v>
      </c>
      <c r="E1692" s="492"/>
      <c r="F1692" s="489" t="str">
        <f>IF($C$1="ENG","Graphite / Bronze","Графіт / Бронза")</f>
        <v>Графіт / Бронза</v>
      </c>
      <c r="G1692" s="490"/>
      <c r="H1692" s="518" t="str">
        <f>IF($C$1="ENG","Triplex mat / black","Триплекс мат/чорн")</f>
        <v>Триплекс мат/чорн</v>
      </c>
      <c r="I1692" s="492"/>
      <c r="J1692" s="519"/>
      <c r="K1692" s="519"/>
      <c r="L1692" s="104"/>
      <c r="M1692" s="59"/>
      <c r="N1692" s="104"/>
      <c r="O1692" s="59"/>
      <c r="P1692" s="104"/>
      <c r="Q1692" s="59"/>
      <c r="R1692" s="104"/>
      <c r="S1692" s="59"/>
      <c r="T1692" s="104"/>
      <c r="U1692" s="20"/>
      <c r="V1692" s="104"/>
      <c r="W1692" s="20"/>
      <c r="X1692" s="22"/>
      <c r="Y1692" s="22"/>
      <c r="Z1692" s="22"/>
      <c r="AA1692" s="22"/>
      <c r="AB1692" s="22"/>
      <c r="AE1692" s="22"/>
    </row>
    <row r="1693" spans="1:46" ht="35.1" customHeight="1">
      <c r="A1693" s="8"/>
      <c r="B1693" s="13">
        <v>1</v>
      </c>
      <c r="C1693" s="14"/>
      <c r="D1693" s="15">
        <f>IF(AC1693="","",(1-$W$2)*(AC1693/1.2))</f>
        <v>4033.3333333333335</v>
      </c>
      <c r="E1693" s="267">
        <f>IF($W$5=0.2,D1693*1.2,D1693)/$W$4</f>
        <v>4840</v>
      </c>
      <c r="F1693" s="15">
        <f>IF(AD1693="","",(1-$W$2)*(AD1693/1.2))</f>
        <v>4641.666666666667</v>
      </c>
      <c r="G1693" s="267">
        <f>IF($W$5=0.2,F1693*1.2,F1693)/$W$4</f>
        <v>5570</v>
      </c>
      <c r="H1693" s="270">
        <f>IF(AE1693="","",(1-$W$2)*(AE1693/1.2))</f>
        <v>4966.666666666667</v>
      </c>
      <c r="I1693" s="64">
        <f>IF($W$5=0.2,H1693*1.2,H1693)/$W$4</f>
        <v>5960</v>
      </c>
      <c r="J1693" s="28"/>
      <c r="K1693" s="59"/>
      <c r="L1693" s="104"/>
      <c r="M1693" s="59"/>
      <c r="N1693" s="104"/>
      <c r="O1693" s="59"/>
      <c r="P1693" s="104"/>
      <c r="Q1693" s="59"/>
      <c r="R1693" s="104"/>
      <c r="S1693" s="59"/>
      <c r="T1693" s="104"/>
      <c r="U1693" s="20"/>
      <c r="V1693" s="104"/>
      <c r="W1693" s="20"/>
      <c r="AC1693" s="332">
        <v>4840</v>
      </c>
      <c r="AD1693" s="392">
        <v>5570</v>
      </c>
      <c r="AE1693" s="392">
        <v>5960</v>
      </c>
      <c r="AF1693" s="289">
        <v>4840</v>
      </c>
      <c r="AG1693" s="289">
        <f>AF1693/AC1693-1</f>
        <v>0</v>
      </c>
      <c r="AH1693" s="289">
        <v>5570</v>
      </c>
      <c r="AI1693" s="289">
        <f>AH1693/AD1693-1</f>
        <v>0</v>
      </c>
      <c r="AJ1693" s="289">
        <v>5960</v>
      </c>
      <c r="AK1693" s="289">
        <f>AJ1693/AE1693-1</f>
        <v>0</v>
      </c>
      <c r="AL1693" s="289"/>
      <c r="AO1693" s="22"/>
    </row>
    <row r="1694" spans="1:46" ht="35.1" customHeight="1">
      <c r="A1694" s="8"/>
      <c r="B1694" s="16">
        <v>3</v>
      </c>
      <c r="C1694" s="17"/>
      <c r="D1694" s="18">
        <f>IF(AC1694="","",(1-$W$2)*(AC1694/1.2))</f>
        <v>5700</v>
      </c>
      <c r="E1694" s="268">
        <f>IF($W$5=0.2,D1694*1.2,D1694)/$W$4</f>
        <v>6840</v>
      </c>
      <c r="F1694" s="18">
        <f>IF(AD1694="","",(1-$W$2)*(AD1694/1.2))</f>
        <v>6500</v>
      </c>
      <c r="G1694" s="268">
        <f>IF($W$5=0.2,F1694*1.2,F1694)/$W$4</f>
        <v>7800</v>
      </c>
      <c r="H1694" s="271">
        <f>IF(AE1694="","",(1-$W$2)*(AE1694/1.2))</f>
        <v>6825</v>
      </c>
      <c r="I1694" s="66">
        <f>IF($W$5=0.2,H1694*1.2,H1694)/$W$4</f>
        <v>8190</v>
      </c>
      <c r="J1694" s="28"/>
      <c r="K1694" s="59"/>
      <c r="L1694" s="104"/>
      <c r="M1694" s="59"/>
      <c r="N1694" s="104"/>
      <c r="O1694" s="59"/>
      <c r="P1694" s="104"/>
      <c r="Q1694" s="59"/>
      <c r="R1694" s="104"/>
      <c r="S1694" s="59"/>
      <c r="T1694" s="104"/>
      <c r="U1694" s="20"/>
      <c r="V1694" s="104"/>
      <c r="W1694" s="20"/>
      <c r="AC1694" s="332">
        <v>6840</v>
      </c>
      <c r="AD1694" s="392">
        <v>7800</v>
      </c>
      <c r="AE1694" s="392">
        <v>8190</v>
      </c>
      <c r="AF1694" s="289">
        <v>6840</v>
      </c>
      <c r="AG1694" s="289">
        <f t="shared" ref="AG1694:AG1695" si="236">AF1694/AC1694-1</f>
        <v>0</v>
      </c>
      <c r="AH1694" s="289">
        <v>7800</v>
      </c>
      <c r="AI1694" s="289">
        <f t="shared" ref="AI1694:AI1695" si="237">AH1694/AD1694-1</f>
        <v>0</v>
      </c>
      <c r="AJ1694" s="289">
        <v>8190</v>
      </c>
      <c r="AK1694" s="289">
        <f t="shared" ref="AK1694:AK1695" si="238">AJ1694/AE1694-1</f>
        <v>0</v>
      </c>
      <c r="AL1694" s="289"/>
      <c r="AM1694" s="22"/>
      <c r="AO1694" s="22"/>
    </row>
    <row r="1695" spans="1:46" ht="34.5" customHeight="1">
      <c r="B1695" s="23">
        <v>4</v>
      </c>
      <c r="C1695" s="24"/>
      <c r="D1695" s="25">
        <f>IF(AC1695="","",(1-$W$2)*(AC1695/1.2))</f>
        <v>6016.666666666667</v>
      </c>
      <c r="E1695" s="269">
        <f>IF($W$5=0.2,D1695*1.2,D1695)/$W$4</f>
        <v>7220</v>
      </c>
      <c r="F1695" s="25">
        <f>IF(AD1695="","",(1-$W$2)*(AD1695/1.2))</f>
        <v>6933.3333333333339</v>
      </c>
      <c r="G1695" s="269">
        <f>IF($W$5=0.2,F1695*1.2,F1695)/$W$4</f>
        <v>8320</v>
      </c>
      <c r="H1695" s="272">
        <f>IF(AE1695="","",(1-$W$2)*(AE1695/1.2))</f>
        <v>7416.666666666667</v>
      </c>
      <c r="I1695" s="69">
        <f>IF($W$5=0.2,H1695*1.2,H1695)/$W$4</f>
        <v>8900</v>
      </c>
      <c r="J1695" s="28"/>
      <c r="K1695" s="59"/>
      <c r="L1695" s="8"/>
      <c r="O1695" s="59"/>
      <c r="P1695" s="8"/>
      <c r="S1695" s="59"/>
      <c r="T1695" s="104"/>
      <c r="U1695" s="20"/>
      <c r="AC1695" s="332">
        <v>7220</v>
      </c>
      <c r="AD1695" s="392">
        <v>8320</v>
      </c>
      <c r="AE1695" s="392">
        <v>8900</v>
      </c>
      <c r="AF1695" s="289">
        <v>7220</v>
      </c>
      <c r="AG1695" s="289">
        <f t="shared" si="236"/>
        <v>0</v>
      </c>
      <c r="AH1695" s="289">
        <v>8320</v>
      </c>
      <c r="AI1695" s="289">
        <f t="shared" si="237"/>
        <v>0</v>
      </c>
      <c r="AJ1695" s="289">
        <v>8900</v>
      </c>
      <c r="AK1695" s="289">
        <f t="shared" si="238"/>
        <v>0</v>
      </c>
      <c r="AL1695" s="289"/>
      <c r="AM1695" s="22"/>
      <c r="AO1695" s="22"/>
    </row>
    <row r="1696" spans="1:46">
      <c r="C1696" s="245"/>
      <c r="D1696" s="26"/>
      <c r="E1696" s="57"/>
      <c r="F1696" s="26"/>
      <c r="G1696" s="57"/>
      <c r="H1696" s="10"/>
      <c r="I1696" s="143"/>
      <c r="J1696" s="48"/>
      <c r="K1696" s="143"/>
      <c r="L1696" s="8"/>
      <c r="P1696" s="8"/>
    </row>
    <row r="1697" spans="2:38" ht="12.75" customHeight="1">
      <c r="B1697" s="212" t="str">
        <f>IF($C$1="ENG","For additonal charge:","Послуги за додаткову плату:")</f>
        <v>Послуги за додаткову плату:</v>
      </c>
      <c r="C1697" s="421"/>
      <c r="D1697" s="213"/>
      <c r="E1697" s="214"/>
      <c r="F1697" s="26"/>
      <c r="G1697" s="57"/>
      <c r="H1697" s="10"/>
      <c r="I1697" s="84"/>
      <c r="J1697" s="8"/>
      <c r="K1697" s="84"/>
    </row>
    <row r="1698" spans="2:38" ht="4.5" customHeight="1">
      <c r="B1698" s="99"/>
      <c r="C1698" s="423"/>
      <c r="D1698" s="26"/>
      <c r="E1698" s="57"/>
      <c r="F1698" s="26"/>
      <c r="G1698" s="57"/>
      <c r="H1698" s="10"/>
      <c r="I1698" s="84"/>
      <c r="K1698" s="20"/>
    </row>
    <row r="1699" spans="2:38">
      <c r="B1699" s="514" t="str">
        <f>IF($C$1="ENG","door leaf with width 100","полотно розміром 100")</f>
        <v>полотно розміром 100</v>
      </c>
      <c r="C1699" s="515"/>
      <c r="D1699" s="417">
        <f t="shared" ref="D1699:D1710" si="239">IF(AC1699="","",(1-$W$2)*(AC1699/1.2))</f>
        <v>566.66666666666674</v>
      </c>
      <c r="E1699" s="92">
        <f>IF($W$5=0.2,D1699*1.2,D1699)/$W$4</f>
        <v>680.00000000000011</v>
      </c>
      <c r="F1699" s="141"/>
      <c r="G1699" s="57"/>
      <c r="H1699" s="10"/>
      <c r="I1699" s="84"/>
      <c r="K1699" s="20"/>
      <c r="AC1699" s="289">
        <v>680</v>
      </c>
      <c r="AD1699" s="289">
        <v>680</v>
      </c>
      <c r="AE1699" s="289">
        <f>AD1699/AC1699-1</f>
        <v>0</v>
      </c>
      <c r="AF1699" s="289"/>
      <c r="AG1699" s="289"/>
      <c r="AH1699" s="289"/>
      <c r="AI1699" s="289"/>
      <c r="AJ1699" s="289"/>
      <c r="AK1699" s="289"/>
      <c r="AL1699" s="289"/>
    </row>
    <row r="1700" spans="2:38">
      <c r="B1700" s="501" t="str">
        <f>IF($C$1="ENG","glazing Graphite / Bronze","скло Графіт / Бронза")</f>
        <v>скло Графіт / Бронза</v>
      </c>
      <c r="C1700" s="502"/>
      <c r="D1700" s="405">
        <f t="shared" si="239"/>
        <v>0</v>
      </c>
      <c r="E1700" s="136" t="str">
        <f>IF($C$1="ENG","see Glazing Price","див. Таблицю Ціни")</f>
        <v>див. Таблицю Ціни</v>
      </c>
      <c r="F1700" s="141"/>
      <c r="G1700" s="141"/>
      <c r="AC1700" s="289">
        <f t="shared" ref="AC1700:AD1709" si="240">AB1700/100*13+AB1700</f>
        <v>0</v>
      </c>
      <c r="AD1700" s="289">
        <f t="shared" si="240"/>
        <v>0</v>
      </c>
      <c r="AE1700" s="289" t="e">
        <f t="shared" ref="AE1700:AE1710" si="241">AD1700/AC1700-1</f>
        <v>#DIV/0!</v>
      </c>
      <c r="AF1700" s="289"/>
      <c r="AG1700" s="289"/>
      <c r="AH1700" s="289"/>
      <c r="AI1700" s="289"/>
      <c r="AJ1700" s="289"/>
      <c r="AK1700" s="289"/>
      <c r="AL1700" s="289"/>
    </row>
    <row r="1701" spans="2:38">
      <c r="B1701" s="501" t="str">
        <f>IF($C$1="ENG","glazing Triplex mat / black","скло Триплекс матовий / чорний")</f>
        <v>скло Триплекс матовий / чорний</v>
      </c>
      <c r="C1701" s="502"/>
      <c r="D1701" s="405">
        <f t="shared" si="239"/>
        <v>0</v>
      </c>
      <c r="E1701" s="136" t="str">
        <f>IF($C$1="ENG","see Glazing Price","див. Таблицю Ціни")</f>
        <v>див. Таблицю Ціни</v>
      </c>
      <c r="F1701" s="141"/>
      <c r="G1701" s="141"/>
      <c r="AC1701" s="289">
        <f t="shared" si="240"/>
        <v>0</v>
      </c>
      <c r="AD1701" s="289">
        <f t="shared" si="240"/>
        <v>0</v>
      </c>
      <c r="AE1701" s="289" t="e">
        <f t="shared" si="241"/>
        <v>#DIV/0!</v>
      </c>
      <c r="AF1701" s="289"/>
      <c r="AG1701" s="289"/>
      <c r="AH1701" s="289"/>
      <c r="AI1701" s="289"/>
      <c r="AJ1701" s="289"/>
      <c r="AK1701" s="289"/>
      <c r="AL1701" s="289"/>
    </row>
    <row r="1702" spans="2:38">
      <c r="B1702" s="501" t="str">
        <f>IF($C$1="ENG","door lock Soft","замок Soft")</f>
        <v>замок Soft</v>
      </c>
      <c r="C1702" s="502"/>
      <c r="D1702" s="407">
        <f t="shared" si="239"/>
        <v>458.33333333333337</v>
      </c>
      <c r="E1702" s="93">
        <f t="shared" ref="E1702:E1708" si="242">IF($W$5=0.2,D1702*1.2,D1702)/$W$4</f>
        <v>550</v>
      </c>
      <c r="F1702" s="26"/>
      <c r="G1702" s="26"/>
      <c r="H1702" s="5"/>
      <c r="AC1702" s="289">
        <v>550</v>
      </c>
      <c r="AD1702" s="289">
        <v>550</v>
      </c>
      <c r="AE1702" s="289">
        <f t="shared" si="241"/>
        <v>0</v>
      </c>
      <c r="AF1702" s="289"/>
      <c r="AG1702" s="289"/>
      <c r="AH1702" s="289"/>
      <c r="AI1702" s="289"/>
      <c r="AJ1702" s="289"/>
      <c r="AK1702" s="289"/>
      <c r="AL1702" s="289"/>
    </row>
    <row r="1703" spans="2:38">
      <c r="B1703" s="501" t="str">
        <f>IF($C$1="ENG","door lock Soft black","замок Soft чорн.")</f>
        <v>замок Soft чорн.</v>
      </c>
      <c r="C1703" s="502"/>
      <c r="D1703" s="407">
        <f t="shared" ref="D1703" si="243">IF(AC1703="","",(1-$W$2)*(AC1703/1.2))</f>
        <v>566.66666666666674</v>
      </c>
      <c r="E1703" s="93">
        <f t="shared" ref="E1703" si="244">IF($W$5=0.2,D1703*1.2,D1703)/$W$4</f>
        <v>680.00000000000011</v>
      </c>
      <c r="F1703" s="26"/>
      <c r="G1703" s="26"/>
      <c r="H1703" s="5"/>
      <c r="AC1703" s="289">
        <v>680</v>
      </c>
      <c r="AD1703" s="289"/>
      <c r="AE1703" s="289"/>
      <c r="AF1703" s="289"/>
      <c r="AG1703" s="289"/>
      <c r="AH1703" s="289"/>
      <c r="AI1703" s="289"/>
      <c r="AJ1703" s="289"/>
      <c r="AK1703" s="289"/>
      <c r="AL1703" s="289"/>
    </row>
    <row r="1704" spans="2:38">
      <c r="B1704" s="501" t="str">
        <f>IF($C$1="ENG","door lock Magnet","замок Magnet")</f>
        <v>замок Magnet</v>
      </c>
      <c r="C1704" s="502"/>
      <c r="D1704" s="407">
        <f t="shared" si="239"/>
        <v>666.66666666666674</v>
      </c>
      <c r="E1704" s="93">
        <f t="shared" si="242"/>
        <v>800.00000000000011</v>
      </c>
      <c r="F1704" s="26"/>
      <c r="G1704" s="26"/>
      <c r="H1704" s="5"/>
      <c r="AC1704" s="289">
        <v>800</v>
      </c>
      <c r="AD1704" s="289">
        <v>800</v>
      </c>
      <c r="AE1704" s="289">
        <f t="shared" si="241"/>
        <v>0</v>
      </c>
      <c r="AF1704" s="289"/>
      <c r="AG1704" s="289"/>
      <c r="AH1704" s="289"/>
      <c r="AI1704" s="289"/>
      <c r="AJ1704" s="289"/>
      <c r="AK1704" s="289"/>
      <c r="AL1704" s="289"/>
    </row>
    <row r="1705" spans="2:38">
      <c r="B1705" s="501" t="s">
        <v>76</v>
      </c>
      <c r="C1705" s="501"/>
      <c r="D1705" s="416">
        <f t="shared" si="239"/>
        <v>833.33333333333337</v>
      </c>
      <c r="E1705" s="93">
        <f t="shared" si="242"/>
        <v>1000</v>
      </c>
      <c r="F1705" s="26"/>
      <c r="G1705" s="26"/>
      <c r="H1705" s="5"/>
      <c r="AC1705" s="289">
        <v>1000</v>
      </c>
      <c r="AD1705" s="289"/>
      <c r="AE1705" s="289"/>
      <c r="AF1705" s="289"/>
      <c r="AG1705" s="289"/>
      <c r="AH1705" s="289"/>
      <c r="AI1705" s="289"/>
      <c r="AJ1705" s="289"/>
      <c r="AK1705" s="289"/>
      <c r="AL1705" s="289"/>
    </row>
    <row r="1706" spans="2:38">
      <c r="B1706" s="501" t="str">
        <f>IF($C$1="ENG","cylinder incert","циліндр несиметричний")</f>
        <v>циліндр несиметричний</v>
      </c>
      <c r="C1706" s="502"/>
      <c r="D1706" s="405">
        <f t="shared" si="239"/>
        <v>316.66666666666669</v>
      </c>
      <c r="E1706" s="66">
        <f t="shared" si="242"/>
        <v>380</v>
      </c>
      <c r="F1706" s="26"/>
      <c r="G1706" s="26"/>
      <c r="AC1706" s="289">
        <v>380</v>
      </c>
      <c r="AD1706" s="289">
        <v>380</v>
      </c>
      <c r="AE1706" s="289">
        <f t="shared" si="241"/>
        <v>0</v>
      </c>
      <c r="AF1706" s="289"/>
      <c r="AG1706" s="289"/>
      <c r="AH1706" s="289"/>
      <c r="AI1706" s="289"/>
      <c r="AJ1706" s="289"/>
      <c r="AK1706" s="289"/>
      <c r="AL1706" s="289"/>
    </row>
    <row r="1707" spans="2:38">
      <c r="B1707" s="501" t="str">
        <f>IF($C$1="ENG","door hindge Prestige (1 unit)","завіса Prestige (1 шт)")</f>
        <v>завіса Prestige (1 шт)</v>
      </c>
      <c r="C1707" s="502"/>
      <c r="D1707" s="408">
        <f t="shared" si="239"/>
        <v>216.66666666666669</v>
      </c>
      <c r="E1707" s="66">
        <f t="shared" si="242"/>
        <v>260</v>
      </c>
      <c r="F1707" s="26"/>
      <c r="G1707" s="26"/>
      <c r="AC1707" s="289">
        <v>260</v>
      </c>
      <c r="AD1707" s="289">
        <v>260</v>
      </c>
      <c r="AE1707" s="289">
        <f t="shared" si="241"/>
        <v>0</v>
      </c>
      <c r="AF1707" s="289"/>
      <c r="AG1707" s="289"/>
      <c r="AH1707" s="289"/>
      <c r="AI1707" s="289"/>
      <c r="AJ1707" s="289"/>
      <c r="AK1707" s="289"/>
      <c r="AL1707" s="289"/>
    </row>
    <row r="1708" spans="2:38">
      <c r="B1708" s="501" t="str">
        <f>IF($C$1="ENG","door hinge caps (1 set)","накладка на завіси (1 к-т)")</f>
        <v>накладка на завіси (1 к-т)</v>
      </c>
      <c r="C1708" s="502"/>
      <c r="D1708" s="408">
        <f t="shared" si="239"/>
        <v>66.666666666666671</v>
      </c>
      <c r="E1708" s="66">
        <f t="shared" si="242"/>
        <v>80</v>
      </c>
      <c r="F1708" s="26"/>
      <c r="G1708" s="26"/>
      <c r="AC1708" s="289">
        <v>80</v>
      </c>
      <c r="AD1708" s="289">
        <v>80</v>
      </c>
      <c r="AE1708" s="289">
        <f t="shared" si="241"/>
        <v>0</v>
      </c>
      <c r="AF1708" s="289"/>
      <c r="AG1708" s="289"/>
      <c r="AH1708" s="289"/>
      <c r="AI1708" s="289"/>
      <c r="AJ1708" s="289"/>
      <c r="AK1708" s="289"/>
      <c r="AL1708" s="289"/>
    </row>
    <row r="1709" spans="2:38">
      <c r="B1709" s="501" t="str">
        <f>IF($C$1="ENG","door handle","дверна ручка")</f>
        <v>дверна ручка</v>
      </c>
      <c r="C1709" s="502"/>
      <c r="D1709" s="405">
        <f t="shared" si="239"/>
        <v>0</v>
      </c>
      <c r="E1709" s="136" t="str">
        <f>IF($C$1="ENG","see Handles Price","див. Таблицю Ручки")</f>
        <v>див. Таблицю Ручки</v>
      </c>
      <c r="F1709" s="26"/>
      <c r="G1709" s="26"/>
      <c r="AC1709" s="289">
        <f t="shared" si="240"/>
        <v>0</v>
      </c>
      <c r="AD1709" s="289">
        <f t="shared" si="240"/>
        <v>0</v>
      </c>
      <c r="AE1709" s="289" t="e">
        <f t="shared" si="241"/>
        <v>#DIV/0!</v>
      </c>
      <c r="AF1709" s="289"/>
      <c r="AG1709" s="289"/>
      <c r="AH1709" s="289"/>
      <c r="AI1709" s="289"/>
      <c r="AJ1709" s="289"/>
      <c r="AK1709" s="289"/>
      <c r="AL1709" s="289"/>
    </row>
    <row r="1710" spans="2:38" ht="14.25" customHeight="1">
      <c r="B1710" s="501" t="str">
        <f>IF($C$1="ENG","perforated chipboard","ДСП трубчасте")</f>
        <v>ДСП трубчасте</v>
      </c>
      <c r="C1710" s="502"/>
      <c r="D1710" s="409">
        <f t="shared" si="239"/>
        <v>775</v>
      </c>
      <c r="E1710" s="69">
        <f>IF($W$5=0.2,D1710*1.2,D1710)/$W$4</f>
        <v>930</v>
      </c>
      <c r="F1710" s="26"/>
      <c r="G1710" s="26"/>
      <c r="AC1710" s="289">
        <v>930</v>
      </c>
      <c r="AD1710" s="289">
        <v>930</v>
      </c>
      <c r="AE1710" s="289">
        <f t="shared" si="241"/>
        <v>0</v>
      </c>
      <c r="AF1710" s="289"/>
      <c r="AG1710" s="289"/>
      <c r="AH1710" s="289"/>
      <c r="AI1710" s="289"/>
      <c r="AJ1710" s="289"/>
      <c r="AK1710" s="289"/>
      <c r="AL1710" s="289"/>
    </row>
    <row r="1711" spans="2:38" ht="14.25" customHeight="1">
      <c r="C1711" s="245"/>
      <c r="D1711" s="26"/>
      <c r="E1711" s="26"/>
      <c r="F1711" s="26"/>
      <c r="G1711" s="26"/>
      <c r="H1711" s="5"/>
      <c r="U1711" s="503" t="str">
        <f>IF($C$1="ENG",CONCATENATE("down to: ",B1761),CONCATENATE("вниз до: ",B1761))</f>
        <v>вниз до: Полотна скляні: ЛАЙН</v>
      </c>
      <c r="V1711" s="503"/>
      <c r="W1711" s="503"/>
      <c r="X1711" s="304"/>
      <c r="Y1711" s="304"/>
      <c r="Z1711" s="304"/>
      <c r="AA1711" s="304"/>
      <c r="AB1711" s="304"/>
    </row>
    <row r="1712" spans="2:38" ht="14.25" customHeight="1">
      <c r="C1712" s="245"/>
      <c r="D1712" s="26"/>
      <c r="E1712" s="26"/>
      <c r="F1712" s="26"/>
      <c r="G1712" s="26"/>
      <c r="H1712" s="5"/>
    </row>
    <row r="1713" spans="3:8" ht="14.25" customHeight="1">
      <c r="C1713" s="245"/>
      <c r="D1713" s="26"/>
      <c r="E1713" s="26"/>
      <c r="F1713" s="26"/>
      <c r="G1713" s="26"/>
      <c r="H1713" s="5"/>
    </row>
    <row r="1714" spans="3:8" ht="14.25" customHeight="1">
      <c r="C1714" s="245"/>
      <c r="D1714" s="26"/>
      <c r="E1714" s="26"/>
      <c r="F1714" s="26"/>
      <c r="G1714" s="26"/>
      <c r="H1714" s="5"/>
    </row>
    <row r="1715" spans="3:8" ht="14.25" customHeight="1">
      <c r="C1715" s="245"/>
      <c r="D1715" s="26"/>
      <c r="E1715" s="26"/>
      <c r="F1715" s="26"/>
      <c r="G1715" s="26"/>
      <c r="H1715" s="5"/>
    </row>
    <row r="1716" spans="3:8" ht="14.25" customHeight="1">
      <c r="C1716" s="245"/>
      <c r="D1716" s="26"/>
      <c r="E1716" s="26"/>
      <c r="F1716" s="26"/>
      <c r="G1716" s="26"/>
      <c r="H1716" s="5"/>
    </row>
    <row r="1717" spans="3:8" ht="14.25" customHeight="1">
      <c r="C1717" s="245"/>
      <c r="D1717" s="26"/>
      <c r="E1717" s="26"/>
      <c r="F1717" s="26"/>
      <c r="G1717" s="26"/>
      <c r="H1717" s="5"/>
    </row>
    <row r="1718" spans="3:8" ht="14.25" customHeight="1">
      <c r="C1718" s="245"/>
      <c r="D1718" s="26"/>
      <c r="E1718" s="26"/>
      <c r="F1718" s="26"/>
      <c r="G1718" s="26"/>
      <c r="H1718" s="5"/>
    </row>
    <row r="1719" spans="3:8" ht="14.25" customHeight="1">
      <c r="C1719" s="245"/>
      <c r="D1719" s="26"/>
      <c r="E1719" s="26"/>
      <c r="F1719" s="26"/>
      <c r="G1719" s="26"/>
      <c r="H1719" s="5"/>
    </row>
    <row r="1720" spans="3:8" ht="14.25" customHeight="1">
      <c r="C1720" s="245"/>
      <c r="D1720" s="26"/>
      <c r="E1720" s="26"/>
      <c r="F1720" s="26"/>
      <c r="G1720" s="26"/>
      <c r="H1720" s="5"/>
    </row>
    <row r="1721" spans="3:8" ht="14.25" customHeight="1">
      <c r="C1721" s="245"/>
      <c r="D1721" s="26"/>
      <c r="E1721" s="26"/>
      <c r="F1721" s="26"/>
      <c r="G1721" s="26"/>
      <c r="H1721" s="5"/>
    </row>
    <row r="1722" spans="3:8" ht="14.25" customHeight="1">
      <c r="C1722" s="245"/>
      <c r="D1722" s="26"/>
      <c r="E1722" s="26"/>
      <c r="F1722" s="26"/>
      <c r="G1722" s="26"/>
      <c r="H1722" s="5"/>
    </row>
    <row r="1723" spans="3:8" ht="14.25" customHeight="1">
      <c r="C1723" s="245"/>
      <c r="D1723" s="26"/>
      <c r="E1723" s="26"/>
      <c r="F1723" s="26"/>
      <c r="G1723" s="26"/>
      <c r="H1723" s="5"/>
    </row>
    <row r="1724" spans="3:8" ht="14.25" customHeight="1">
      <c r="C1724" s="245"/>
      <c r="D1724" s="26"/>
      <c r="E1724" s="26"/>
      <c r="F1724" s="26"/>
      <c r="G1724" s="26"/>
      <c r="H1724" s="5"/>
    </row>
    <row r="1725" spans="3:8" ht="14.25" customHeight="1">
      <c r="C1725" s="245"/>
      <c r="D1725" s="26"/>
      <c r="E1725" s="26"/>
      <c r="F1725" s="26"/>
      <c r="G1725" s="26"/>
      <c r="H1725" s="5"/>
    </row>
    <row r="1726" spans="3:8" ht="14.25" customHeight="1">
      <c r="C1726" s="245"/>
      <c r="D1726" s="26"/>
      <c r="E1726" s="26"/>
      <c r="F1726" s="26"/>
      <c r="G1726" s="26"/>
      <c r="H1726" s="5"/>
    </row>
    <row r="1727" spans="3:8" ht="14.25" customHeight="1">
      <c r="C1727" s="245"/>
      <c r="D1727" s="26"/>
      <c r="E1727" s="26"/>
      <c r="F1727" s="26"/>
      <c r="G1727" s="26"/>
      <c r="H1727" s="5"/>
    </row>
    <row r="1728" spans="3:8" ht="14.25" customHeight="1">
      <c r="C1728" s="245"/>
      <c r="D1728" s="26"/>
      <c r="E1728" s="26"/>
      <c r="F1728" s="26"/>
      <c r="G1728" s="26"/>
      <c r="H1728" s="5"/>
    </row>
    <row r="1729" spans="3:8" ht="14.25" customHeight="1">
      <c r="C1729" s="245"/>
      <c r="D1729" s="26"/>
      <c r="E1729" s="26"/>
      <c r="F1729" s="26"/>
      <c r="G1729" s="26"/>
      <c r="H1729" s="5"/>
    </row>
    <row r="1730" spans="3:8" ht="14.25" customHeight="1">
      <c r="C1730" s="245"/>
      <c r="D1730" s="26"/>
      <c r="E1730" s="26"/>
      <c r="F1730" s="26"/>
      <c r="G1730" s="26"/>
      <c r="H1730" s="5"/>
    </row>
    <row r="1731" spans="3:8" ht="14.25" customHeight="1">
      <c r="C1731" s="245"/>
      <c r="D1731" s="26"/>
      <c r="E1731" s="26"/>
      <c r="F1731" s="26"/>
      <c r="G1731" s="26"/>
      <c r="H1731" s="5"/>
    </row>
    <row r="1732" spans="3:8" ht="14.25" customHeight="1">
      <c r="C1732" s="245"/>
      <c r="D1732" s="26"/>
      <c r="E1732" s="26"/>
      <c r="F1732" s="26"/>
      <c r="G1732" s="26"/>
      <c r="H1732" s="5"/>
    </row>
    <row r="1733" spans="3:8" ht="14.25" customHeight="1">
      <c r="C1733" s="245"/>
      <c r="D1733" s="26"/>
      <c r="E1733" s="26"/>
      <c r="F1733" s="26"/>
      <c r="G1733" s="26"/>
      <c r="H1733" s="5"/>
    </row>
    <row r="1734" spans="3:8" ht="14.25" customHeight="1">
      <c r="C1734" s="245"/>
      <c r="D1734" s="26"/>
      <c r="E1734" s="26"/>
      <c r="F1734" s="26"/>
      <c r="G1734" s="26"/>
      <c r="H1734" s="5"/>
    </row>
    <row r="1735" spans="3:8" ht="14.25" customHeight="1">
      <c r="C1735" s="245"/>
      <c r="D1735" s="26"/>
      <c r="E1735" s="26"/>
      <c r="F1735" s="26"/>
      <c r="G1735" s="26"/>
      <c r="H1735" s="5"/>
    </row>
    <row r="1736" spans="3:8" ht="14.25" customHeight="1">
      <c r="C1736" s="245"/>
      <c r="D1736" s="26"/>
      <c r="E1736" s="26"/>
      <c r="F1736" s="26"/>
      <c r="G1736" s="26"/>
      <c r="H1736" s="5"/>
    </row>
    <row r="1737" spans="3:8" ht="14.25" customHeight="1">
      <c r="C1737" s="245"/>
      <c r="D1737" s="26"/>
      <c r="E1737" s="26"/>
      <c r="F1737" s="26"/>
      <c r="G1737" s="26"/>
      <c r="H1737" s="5"/>
    </row>
    <row r="1738" spans="3:8" ht="14.25" customHeight="1">
      <c r="C1738" s="245"/>
      <c r="D1738" s="26"/>
      <c r="E1738" s="26"/>
      <c r="F1738" s="26"/>
      <c r="G1738" s="26"/>
      <c r="H1738" s="5"/>
    </row>
    <row r="1739" spans="3:8" ht="14.25" customHeight="1">
      <c r="C1739" s="245"/>
      <c r="D1739" s="26"/>
      <c r="E1739" s="26"/>
      <c r="F1739" s="26"/>
      <c r="G1739" s="26"/>
      <c r="H1739" s="5"/>
    </row>
    <row r="1740" spans="3:8" ht="14.25" customHeight="1">
      <c r="C1740" s="245"/>
      <c r="D1740" s="26"/>
      <c r="E1740" s="26"/>
      <c r="F1740" s="26"/>
      <c r="G1740" s="26"/>
      <c r="H1740" s="5"/>
    </row>
    <row r="1741" spans="3:8" ht="14.25" customHeight="1">
      <c r="C1741" s="245"/>
      <c r="D1741" s="26"/>
      <c r="E1741" s="26"/>
      <c r="F1741" s="26"/>
      <c r="G1741" s="26"/>
      <c r="H1741" s="5"/>
    </row>
    <row r="1742" spans="3:8" ht="14.25" customHeight="1">
      <c r="C1742" s="245"/>
      <c r="D1742" s="26"/>
      <c r="E1742" s="26"/>
      <c r="F1742" s="26"/>
      <c r="G1742" s="26"/>
      <c r="H1742" s="5"/>
    </row>
    <row r="1743" spans="3:8" ht="14.25" customHeight="1">
      <c r="C1743" s="245"/>
      <c r="D1743" s="26"/>
      <c r="E1743" s="26"/>
      <c r="F1743" s="26"/>
      <c r="G1743" s="26"/>
      <c r="H1743" s="5"/>
    </row>
    <row r="1744" spans="3:8" ht="14.25" customHeight="1">
      <c r="C1744" s="245"/>
      <c r="D1744" s="26"/>
      <c r="E1744" s="26"/>
      <c r="F1744" s="26"/>
      <c r="G1744" s="26"/>
      <c r="H1744" s="5"/>
    </row>
    <row r="1745" spans="2:46" ht="14.25" customHeight="1">
      <c r="C1745" s="245"/>
      <c r="D1745" s="26"/>
      <c r="E1745" s="26"/>
      <c r="F1745" s="26"/>
      <c r="G1745" s="26"/>
      <c r="H1745" s="5"/>
    </row>
    <row r="1746" spans="2:46" ht="14.25" customHeight="1">
      <c r="C1746" s="245"/>
      <c r="D1746" s="26"/>
      <c r="E1746" s="26"/>
      <c r="F1746" s="26"/>
      <c r="G1746" s="26"/>
      <c r="H1746" s="5"/>
    </row>
    <row r="1747" spans="2:46" ht="14.25" customHeight="1">
      <c r="C1747" s="245"/>
      <c r="D1747" s="26"/>
      <c r="E1747" s="26"/>
      <c r="F1747" s="26"/>
      <c r="G1747" s="26"/>
      <c r="H1747" s="5"/>
    </row>
    <row r="1748" spans="2:46" ht="14.25" customHeight="1">
      <c r="C1748" s="245"/>
      <c r="D1748" s="26"/>
      <c r="E1748" s="26"/>
      <c r="F1748" s="26"/>
      <c r="G1748" s="26"/>
      <c r="H1748" s="5"/>
    </row>
    <row r="1749" spans="2:46" ht="14.25" customHeight="1">
      <c r="C1749" s="245"/>
      <c r="D1749" s="26"/>
      <c r="E1749" s="26"/>
      <c r="F1749" s="26"/>
      <c r="G1749" s="26"/>
      <c r="H1749" s="5"/>
    </row>
    <row r="1750" spans="2:46" ht="14.25" customHeight="1">
      <c r="C1750" s="245"/>
      <c r="D1750" s="26"/>
      <c r="E1750" s="26"/>
      <c r="F1750" s="26"/>
      <c r="G1750" s="26"/>
      <c r="H1750" s="5"/>
    </row>
    <row r="1751" spans="2:46" ht="14.25" customHeight="1">
      <c r="C1751" s="245"/>
      <c r="D1751" s="26"/>
      <c r="E1751" s="26"/>
      <c r="F1751" s="26"/>
      <c r="G1751" s="26"/>
      <c r="H1751" s="5"/>
    </row>
    <row r="1752" spans="2:46" ht="14.25" customHeight="1">
      <c r="C1752" s="245"/>
      <c r="D1752" s="26"/>
      <c r="E1752" s="26"/>
      <c r="F1752" s="26"/>
      <c r="G1752" s="26"/>
      <c r="H1752" s="5"/>
    </row>
    <row r="1753" spans="2:46" ht="14.25" customHeight="1">
      <c r="C1753" s="245"/>
      <c r="D1753" s="26"/>
      <c r="E1753" s="26"/>
      <c r="F1753" s="26"/>
      <c r="G1753" s="26"/>
      <c r="H1753" s="5"/>
    </row>
    <row r="1754" spans="2:46" ht="14.25" customHeight="1">
      <c r="C1754" s="245"/>
      <c r="D1754" s="26"/>
      <c r="E1754" s="26"/>
      <c r="F1754" s="26"/>
      <c r="G1754" s="26"/>
      <c r="H1754" s="5"/>
    </row>
    <row r="1755" spans="2:46" ht="14.25" customHeight="1">
      <c r="C1755" s="245"/>
      <c r="D1755" s="26"/>
      <c r="E1755" s="26"/>
      <c r="F1755" s="26"/>
      <c r="G1755" s="26"/>
      <c r="H1755" s="5"/>
    </row>
    <row r="1756" spans="2:46" ht="14.25" customHeight="1">
      <c r="C1756" s="245"/>
      <c r="D1756" s="26"/>
      <c r="E1756" s="26"/>
      <c r="F1756" s="26"/>
      <c r="G1756" s="26"/>
      <c r="H1756" s="5"/>
    </row>
    <row r="1757" spans="2:46" ht="14.25" customHeight="1">
      <c r="C1757" s="245"/>
      <c r="D1757" s="26"/>
      <c r="E1757" s="26"/>
      <c r="F1757" s="26"/>
      <c r="G1757" s="26"/>
      <c r="H1757" s="5"/>
    </row>
    <row r="1758" spans="2:46" ht="14.25" customHeight="1">
      <c r="C1758" s="245"/>
      <c r="D1758" s="26"/>
      <c r="E1758" s="26"/>
      <c r="F1758" s="26"/>
      <c r="G1758" s="26"/>
      <c r="H1758" s="5"/>
    </row>
    <row r="1759" spans="2:46" ht="14.25" customHeight="1">
      <c r="C1759" s="245"/>
      <c r="D1759" s="26"/>
      <c r="E1759" s="26"/>
      <c r="F1759" s="26"/>
      <c r="G1759" s="26"/>
      <c r="H1759" s="5"/>
    </row>
    <row r="1760" spans="2:46" s="8" customFormat="1">
      <c r="B1760" s="1"/>
      <c r="C1760" s="245"/>
      <c r="D1760" s="26"/>
      <c r="E1760" s="26"/>
      <c r="F1760" s="26"/>
      <c r="G1760" s="26"/>
      <c r="H1760" s="5"/>
      <c r="I1760" s="1"/>
      <c r="J1760" s="1"/>
      <c r="K1760" s="1"/>
      <c r="AE1760" s="289">
        <f>Z1760/100*12+Z1760</f>
        <v>0</v>
      </c>
      <c r="AF1760" s="289" t="e">
        <f>AE1760/Z1760-1</f>
        <v>#DIV/0!</v>
      </c>
      <c r="AN1760" s="280"/>
      <c r="AO1760" s="280"/>
      <c r="AP1760" s="280"/>
      <c r="AQ1760" s="280"/>
      <c r="AR1760" s="280"/>
      <c r="AS1760" s="280"/>
      <c r="AT1760" s="280"/>
    </row>
    <row r="1761" spans="1:46" s="8" customFormat="1" ht="12.75" customHeight="1">
      <c r="B1761" s="494" t="str">
        <f>TITLE!$C$32</f>
        <v>Полотна скляні: ЛАЙН</v>
      </c>
      <c r="C1761" s="494"/>
      <c r="D1761" s="118"/>
      <c r="E1761" s="118"/>
      <c r="F1761" s="118"/>
      <c r="G1761" s="118"/>
      <c r="H1761" s="118"/>
      <c r="I1761" s="121"/>
      <c r="J1761" s="121"/>
      <c r="K1761" s="121"/>
      <c r="L1761" s="121"/>
      <c r="M1761" s="121"/>
      <c r="N1761" s="121"/>
      <c r="O1761" s="121"/>
      <c r="P1761" s="121"/>
      <c r="Q1761" s="121"/>
      <c r="R1761" s="121"/>
      <c r="S1761" s="121"/>
      <c r="T1761" s="517" t="str">
        <f>IF($C$1="ENG",CONCATENATE("up to: ",B1688),CONCATENATE("вгору до: ",B1688))</f>
        <v>вгору до: Полотна скляні: ЛІНЕЯ</v>
      </c>
      <c r="U1761" s="517"/>
      <c r="V1761" s="517"/>
      <c r="W1761" s="517"/>
      <c r="AN1761" s="280"/>
      <c r="AO1761" s="280"/>
      <c r="AP1761" s="280"/>
      <c r="AQ1761" s="280"/>
      <c r="AR1761" s="280"/>
      <c r="AS1761" s="280"/>
      <c r="AT1761" s="280"/>
    </row>
    <row r="1762" spans="1:46" ht="4.5" customHeight="1">
      <c r="A1762" s="8"/>
      <c r="B1762" s="117"/>
      <c r="C1762" s="420"/>
      <c r="D1762" s="9"/>
      <c r="E1762" s="9"/>
      <c r="F1762" s="9"/>
      <c r="G1762" s="9"/>
      <c r="H1762" s="10"/>
      <c r="I1762" s="8"/>
      <c r="J1762" s="8"/>
      <c r="K1762" s="8"/>
      <c r="L1762" s="8"/>
      <c r="M1762" s="11"/>
      <c r="P1762" s="8"/>
      <c r="Q1762" s="11"/>
    </row>
    <row r="1763" spans="1:46" ht="12.75" customHeight="1">
      <c r="A1763" s="8"/>
      <c r="B1763" s="509" t="str">
        <f>IF($C$1="ENG","model","модель")</f>
        <v>модель</v>
      </c>
      <c r="C1763" s="122" t="str">
        <f>IF($C$1="ENG","cover:","покриття:")</f>
        <v>покриття:</v>
      </c>
      <c r="D1763" s="498" t="str">
        <f>IF($C$1="ENG","VERTO-CELL","VERTO-CELL")</f>
        <v>VERTO-CELL</v>
      </c>
      <c r="E1763" s="500"/>
      <c r="F1763" s="498" t="str">
        <f>IF($C$1="ENG","RESIST","RESIST")</f>
        <v>RESIST</v>
      </c>
      <c r="G1763" s="500"/>
      <c r="H1763" s="498" t="str">
        <f>IF($C$1="ENG","Verto LINE-3D","Verto LINE-3D")</f>
        <v>Verto LINE-3D</v>
      </c>
      <c r="I1763" s="500"/>
      <c r="J1763" s="498" t="str">
        <f>IF($C$1="ENG","ECO Shpon","ЕКО Шпон")</f>
        <v>ЕКО Шпон</v>
      </c>
      <c r="K1763" s="500"/>
      <c r="L1763" s="8"/>
      <c r="M1763" s="11"/>
      <c r="P1763" s="8"/>
      <c r="Q1763" s="11"/>
    </row>
    <row r="1764" spans="1:46" ht="12.75" customHeight="1">
      <c r="A1764" s="8"/>
      <c r="B1764" s="510"/>
      <c r="C1764" s="123" t="str">
        <f>IF($C$1="ENG","filling:","заповнення:")</f>
        <v>заповнення:</v>
      </c>
      <c r="D1764" s="505" t="str">
        <f>IF($C$1="ENG","honeycomb core ","сотове заповнення")</f>
        <v>сотове заповнення</v>
      </c>
      <c r="E1764" s="506"/>
      <c r="F1764" s="505" t="str">
        <f>IF($C$1="ENG","honeycomb core ","сотове заповнення")</f>
        <v>сотове заповнення</v>
      </c>
      <c r="G1764" s="506"/>
      <c r="H1764" s="505" t="str">
        <f>IF($C$1="ENG","honeycomb core ","сотове заповнення")</f>
        <v>сотове заповнення</v>
      </c>
      <c r="I1764" s="506"/>
      <c r="J1764" s="505" t="str">
        <f>IF($C$1="ENG","honeycomb core ","сотове заповнення")</f>
        <v>сотове заповнення</v>
      </c>
      <c r="K1764" s="506"/>
      <c r="L1764" s="8"/>
      <c r="M1764" s="11"/>
      <c r="P1764" s="8"/>
      <c r="Q1764" s="11"/>
    </row>
    <row r="1765" spans="1:46">
      <c r="A1765" s="8"/>
      <c r="B1765" s="511"/>
      <c r="C1765" s="124" t="str">
        <f>IF($C$1="ENG","glazing:","скління:")</f>
        <v>скління:</v>
      </c>
      <c r="D1765" s="489" t="str">
        <f>IF($C$1="ENG","Drawing / Satin (1)","Малюнок / Сатин (1)")</f>
        <v>Малюнок / Сатин (1)</v>
      </c>
      <c r="E1765" s="492"/>
      <c r="F1765" s="489" t="str">
        <f>IF($C$1="ENG","Drawing / Satin (1)","Малюнок / Сатин (1)")</f>
        <v>Малюнок / Сатин (1)</v>
      </c>
      <c r="G1765" s="492"/>
      <c r="H1765" s="489" t="str">
        <f>IF($C$1="ENG","Drawing / Satin (1)","Малюнок / Сатин (1)")</f>
        <v>Малюнок / Сатин (1)</v>
      </c>
      <c r="I1765" s="492"/>
      <c r="J1765" s="489" t="str">
        <f>IF($C$1="ENG","Drawing / Satin (1)","Малюнок / Сатин (1)")</f>
        <v>Малюнок / Сатин (1)</v>
      </c>
      <c r="K1765" s="492"/>
      <c r="L1765" s="104"/>
      <c r="M1765" s="20"/>
      <c r="N1765" s="104"/>
      <c r="O1765" s="20"/>
      <c r="P1765" s="104"/>
      <c r="Q1765" s="20"/>
      <c r="R1765" s="104"/>
      <c r="S1765" s="20"/>
      <c r="T1765" s="104"/>
      <c r="V1765" s="104"/>
      <c r="W1765" s="20"/>
      <c r="X1765" s="22"/>
      <c r="Y1765" s="22"/>
      <c r="Z1765" s="22"/>
      <c r="AA1765" s="22"/>
      <c r="AB1765" s="22"/>
    </row>
    <row r="1766" spans="1:46" ht="35.1" customHeight="1">
      <c r="A1766" s="8"/>
      <c r="B1766" s="13">
        <v>1</v>
      </c>
      <c r="C1766" s="14"/>
      <c r="D1766" s="15">
        <f t="shared" ref="D1766:D1772" si="245">IF(AC1766="","",(1-$W$2)*(AC1766/1.2))</f>
        <v>6033.3333333333339</v>
      </c>
      <c r="E1766" s="64">
        <f t="shared" ref="E1766:E1772" si="246">IF($W$5=0.2,D1766*1.2,D1766)/$W$4</f>
        <v>7240.0000000000009</v>
      </c>
      <c r="F1766" s="15">
        <f t="shared" ref="F1766:F1772" si="247">IF(AD1766="","",(1-$W$2)*(AD1766/1.2))</f>
        <v>6516.666666666667</v>
      </c>
      <c r="G1766" s="64">
        <f t="shared" ref="G1766:G1772" si="248">IF($W$5=0.2,F1766*1.2,F1766)/$W$4</f>
        <v>7820</v>
      </c>
      <c r="H1766" s="15">
        <f t="shared" ref="H1766:H1772" si="249">IF(AE1766="","",(1-$W$2)*(AE1766/1.2))</f>
        <v>6800</v>
      </c>
      <c r="I1766" s="64">
        <f t="shared" ref="I1766:I1772" si="250">IF($W$5=0.2,H1766*1.2,H1766)/$W$4</f>
        <v>8160</v>
      </c>
      <c r="J1766" s="15">
        <f>IF(AF1766="","",(1-$W$2)*(AF1766/1.2))</f>
        <v>7141.666666666667</v>
      </c>
      <c r="K1766" s="64">
        <f t="shared" ref="K1766:K1772" si="251">IF($W$5=0.2,J1766*1.2,J1766)/$W$4</f>
        <v>8570</v>
      </c>
      <c r="L1766" s="104"/>
      <c r="M1766" s="20"/>
      <c r="N1766" s="104"/>
      <c r="O1766" s="20"/>
      <c r="P1766" s="104"/>
      <c r="Q1766" s="20"/>
      <c r="R1766" s="104"/>
      <c r="S1766" s="20"/>
      <c r="T1766" s="104"/>
      <c r="V1766" s="104"/>
      <c r="W1766" s="20"/>
      <c r="AC1766" s="332">
        <v>7240</v>
      </c>
      <c r="AD1766" s="332">
        <v>7820</v>
      </c>
      <c r="AE1766" s="332">
        <v>8160</v>
      </c>
      <c r="AF1766" s="332">
        <v>8570</v>
      </c>
      <c r="AG1766" s="289">
        <v>7240</v>
      </c>
      <c r="AH1766" s="289">
        <f>AG1766/AC1766-1</f>
        <v>0</v>
      </c>
      <c r="AI1766" s="289">
        <v>7820</v>
      </c>
      <c r="AJ1766" s="289">
        <f>AI1766/AD1766-1</f>
        <v>0</v>
      </c>
      <c r="AK1766" s="289">
        <v>8160</v>
      </c>
      <c r="AL1766" s="289">
        <f>AK1766/AE1766-1</f>
        <v>0</v>
      </c>
      <c r="AM1766" s="289">
        <v>8570</v>
      </c>
      <c r="AN1766" s="289">
        <f>AM1766/AF1766-1</f>
        <v>0</v>
      </c>
      <c r="AO1766" s="1"/>
      <c r="AP1766" s="1"/>
    </row>
    <row r="1767" spans="1:46" ht="35.1" customHeight="1">
      <c r="A1767" s="8"/>
      <c r="B1767" s="16">
        <v>2</v>
      </c>
      <c r="C1767" s="17"/>
      <c r="D1767" s="18">
        <f t="shared" si="245"/>
        <v>6700</v>
      </c>
      <c r="E1767" s="66">
        <f t="shared" si="246"/>
        <v>8040</v>
      </c>
      <c r="F1767" s="18">
        <f t="shared" si="247"/>
        <v>7158.3333333333339</v>
      </c>
      <c r="G1767" s="66">
        <f t="shared" si="248"/>
        <v>8590</v>
      </c>
      <c r="H1767" s="18">
        <f t="shared" si="249"/>
        <v>7475</v>
      </c>
      <c r="I1767" s="66">
        <f t="shared" si="250"/>
        <v>8970</v>
      </c>
      <c r="J1767" s="18">
        <f t="shared" ref="J1767:J1772" si="252">IF(AF1767="","",(1-$W$2)*(AF1767/1.2))</f>
        <v>7833.3333333333339</v>
      </c>
      <c r="K1767" s="66">
        <f t="shared" si="251"/>
        <v>9400</v>
      </c>
      <c r="L1767" s="104"/>
      <c r="M1767" s="20"/>
      <c r="N1767" s="104"/>
      <c r="O1767" s="20"/>
      <c r="P1767" s="104"/>
      <c r="Q1767" s="20"/>
      <c r="R1767" s="104"/>
      <c r="S1767" s="20"/>
      <c r="T1767" s="104"/>
      <c r="V1767" s="104"/>
      <c r="W1767" s="20"/>
      <c r="AC1767" s="332">
        <v>8040</v>
      </c>
      <c r="AD1767" s="332">
        <v>8590</v>
      </c>
      <c r="AE1767" s="332">
        <v>8970</v>
      </c>
      <c r="AF1767" s="332">
        <v>9400</v>
      </c>
      <c r="AG1767" s="289">
        <v>8040</v>
      </c>
      <c r="AH1767" s="289">
        <f t="shared" ref="AH1767:AH1772" si="253">AG1767/AC1767-1</f>
        <v>0</v>
      </c>
      <c r="AI1767" s="289">
        <v>8590</v>
      </c>
      <c r="AJ1767" s="289">
        <f t="shared" ref="AJ1767:AJ1772" si="254">AI1767/AD1767-1</f>
        <v>0</v>
      </c>
      <c r="AK1767" s="289">
        <v>8970</v>
      </c>
      <c r="AL1767" s="289">
        <f t="shared" ref="AL1767:AL1772" si="255">AK1767/AE1767-1</f>
        <v>0</v>
      </c>
      <c r="AM1767" s="289">
        <v>9400</v>
      </c>
      <c r="AN1767" s="289">
        <f t="shared" ref="AN1767:AN1772" si="256">AM1767/AF1767-1</f>
        <v>0</v>
      </c>
      <c r="AO1767" s="1"/>
      <c r="AP1767" s="1"/>
    </row>
    <row r="1768" spans="1:46" ht="35.1" customHeight="1">
      <c r="A1768" s="8"/>
      <c r="B1768" s="16">
        <v>3</v>
      </c>
      <c r="C1768" s="17"/>
      <c r="D1768" s="18">
        <f t="shared" si="245"/>
        <v>6700</v>
      </c>
      <c r="E1768" s="66">
        <f t="shared" si="246"/>
        <v>8040</v>
      </c>
      <c r="F1768" s="18">
        <f t="shared" si="247"/>
        <v>7158.3333333333339</v>
      </c>
      <c r="G1768" s="66">
        <f t="shared" si="248"/>
        <v>8590</v>
      </c>
      <c r="H1768" s="18">
        <f t="shared" si="249"/>
        <v>7475</v>
      </c>
      <c r="I1768" s="66">
        <f t="shared" si="250"/>
        <v>8970</v>
      </c>
      <c r="J1768" s="18">
        <f t="shared" si="252"/>
        <v>7833.3333333333339</v>
      </c>
      <c r="K1768" s="66">
        <f t="shared" si="251"/>
        <v>9400</v>
      </c>
      <c r="L1768" s="104"/>
      <c r="M1768" s="20"/>
      <c r="N1768" s="104"/>
      <c r="O1768" s="20"/>
      <c r="P1768" s="104"/>
      <c r="Q1768" s="20"/>
      <c r="R1768" s="104"/>
      <c r="S1768" s="20"/>
      <c r="T1768" s="104"/>
      <c r="V1768" s="104"/>
      <c r="W1768" s="20"/>
      <c r="AC1768" s="332">
        <v>8040</v>
      </c>
      <c r="AD1768" s="332">
        <v>8590</v>
      </c>
      <c r="AE1768" s="332">
        <v>8970</v>
      </c>
      <c r="AF1768" s="332">
        <v>9400</v>
      </c>
      <c r="AG1768" s="289">
        <v>8040</v>
      </c>
      <c r="AH1768" s="289">
        <f t="shared" si="253"/>
        <v>0</v>
      </c>
      <c r="AI1768" s="289">
        <v>8590</v>
      </c>
      <c r="AJ1768" s="289">
        <f t="shared" si="254"/>
        <v>0</v>
      </c>
      <c r="AK1768" s="289">
        <v>8970</v>
      </c>
      <c r="AL1768" s="289">
        <f t="shared" si="255"/>
        <v>0</v>
      </c>
      <c r="AM1768" s="289">
        <v>9400</v>
      </c>
      <c r="AN1768" s="289">
        <f t="shared" si="256"/>
        <v>0</v>
      </c>
      <c r="AO1768" s="1"/>
      <c r="AP1768" s="1"/>
    </row>
    <row r="1769" spans="1:46" ht="35.1" customHeight="1">
      <c r="A1769" s="8"/>
      <c r="B1769" s="16">
        <v>4</v>
      </c>
      <c r="C1769" s="17"/>
      <c r="D1769" s="18">
        <f t="shared" si="245"/>
        <v>6700</v>
      </c>
      <c r="E1769" s="66">
        <f t="shared" si="246"/>
        <v>8040</v>
      </c>
      <c r="F1769" s="18">
        <f t="shared" si="247"/>
        <v>7158.3333333333339</v>
      </c>
      <c r="G1769" s="66">
        <f t="shared" si="248"/>
        <v>8590</v>
      </c>
      <c r="H1769" s="18">
        <f t="shared" si="249"/>
        <v>7475</v>
      </c>
      <c r="I1769" s="66">
        <f t="shared" si="250"/>
        <v>8970</v>
      </c>
      <c r="J1769" s="18">
        <f t="shared" si="252"/>
        <v>7833.3333333333339</v>
      </c>
      <c r="K1769" s="66">
        <f t="shared" si="251"/>
        <v>9400</v>
      </c>
      <c r="L1769" s="104"/>
      <c r="M1769" s="20"/>
      <c r="N1769" s="104"/>
      <c r="O1769" s="20"/>
      <c r="P1769" s="104"/>
      <c r="Q1769" s="20"/>
      <c r="R1769" s="104"/>
      <c r="S1769" s="20"/>
      <c r="T1769" s="104"/>
      <c r="V1769" s="104"/>
      <c r="W1769" s="20"/>
      <c r="AC1769" s="332">
        <v>8040</v>
      </c>
      <c r="AD1769" s="332">
        <v>8590</v>
      </c>
      <c r="AE1769" s="332">
        <v>8970</v>
      </c>
      <c r="AF1769" s="332">
        <v>9400</v>
      </c>
      <c r="AG1769" s="289">
        <v>8040</v>
      </c>
      <c r="AH1769" s="289">
        <f t="shared" si="253"/>
        <v>0</v>
      </c>
      <c r="AI1769" s="289">
        <v>8590</v>
      </c>
      <c r="AJ1769" s="289">
        <f t="shared" si="254"/>
        <v>0</v>
      </c>
      <c r="AK1769" s="289">
        <v>8970</v>
      </c>
      <c r="AL1769" s="289">
        <f t="shared" si="255"/>
        <v>0</v>
      </c>
      <c r="AM1769" s="289">
        <v>9400</v>
      </c>
      <c r="AN1769" s="289">
        <f t="shared" si="256"/>
        <v>0</v>
      </c>
      <c r="AO1769" s="1"/>
      <c r="AP1769" s="1"/>
    </row>
    <row r="1770" spans="1:46" ht="35.1" customHeight="1">
      <c r="A1770" s="8"/>
      <c r="B1770" s="16">
        <v>5</v>
      </c>
      <c r="C1770" s="17"/>
      <c r="D1770" s="18">
        <f t="shared" si="245"/>
        <v>6700</v>
      </c>
      <c r="E1770" s="66">
        <f t="shared" si="246"/>
        <v>8040</v>
      </c>
      <c r="F1770" s="18">
        <f t="shared" si="247"/>
        <v>7158.3333333333339</v>
      </c>
      <c r="G1770" s="66">
        <f t="shared" si="248"/>
        <v>8590</v>
      </c>
      <c r="H1770" s="18">
        <f t="shared" si="249"/>
        <v>7475</v>
      </c>
      <c r="I1770" s="66">
        <f t="shared" si="250"/>
        <v>8970</v>
      </c>
      <c r="J1770" s="18">
        <f t="shared" si="252"/>
        <v>7833.3333333333339</v>
      </c>
      <c r="K1770" s="66">
        <f t="shared" si="251"/>
        <v>9400</v>
      </c>
      <c r="L1770" s="104"/>
      <c r="M1770" s="20"/>
      <c r="N1770" s="104"/>
      <c r="O1770" s="20"/>
      <c r="P1770" s="104"/>
      <c r="Q1770" s="20"/>
      <c r="R1770" s="104"/>
      <c r="S1770" s="20"/>
      <c r="T1770" s="104"/>
      <c r="V1770" s="104"/>
      <c r="W1770" s="20"/>
      <c r="AC1770" s="332">
        <v>8040</v>
      </c>
      <c r="AD1770" s="332">
        <v>8590</v>
      </c>
      <c r="AE1770" s="332">
        <v>8970</v>
      </c>
      <c r="AF1770" s="332">
        <v>9400</v>
      </c>
      <c r="AG1770" s="289">
        <v>8040</v>
      </c>
      <c r="AH1770" s="289">
        <f t="shared" si="253"/>
        <v>0</v>
      </c>
      <c r="AI1770" s="289">
        <v>8590</v>
      </c>
      <c r="AJ1770" s="289">
        <f t="shared" si="254"/>
        <v>0</v>
      </c>
      <c r="AK1770" s="289">
        <v>8970</v>
      </c>
      <c r="AL1770" s="289">
        <f t="shared" si="255"/>
        <v>0</v>
      </c>
      <c r="AM1770" s="289">
        <v>9400</v>
      </c>
      <c r="AN1770" s="289">
        <f t="shared" si="256"/>
        <v>0</v>
      </c>
      <c r="AO1770" s="1"/>
      <c r="AP1770" s="1"/>
    </row>
    <row r="1771" spans="1:46" ht="35.1" customHeight="1">
      <c r="A1771" s="8"/>
      <c r="B1771" s="16">
        <v>6</v>
      </c>
      <c r="C1771" s="17"/>
      <c r="D1771" s="18">
        <f t="shared" si="245"/>
        <v>6700</v>
      </c>
      <c r="E1771" s="66">
        <f t="shared" si="246"/>
        <v>8040</v>
      </c>
      <c r="F1771" s="18">
        <f t="shared" si="247"/>
        <v>7158.3333333333339</v>
      </c>
      <c r="G1771" s="66">
        <f t="shared" si="248"/>
        <v>8590</v>
      </c>
      <c r="H1771" s="18">
        <f t="shared" si="249"/>
        <v>7475</v>
      </c>
      <c r="I1771" s="66">
        <f t="shared" si="250"/>
        <v>8970</v>
      </c>
      <c r="J1771" s="18">
        <f t="shared" si="252"/>
        <v>7833.3333333333339</v>
      </c>
      <c r="K1771" s="66">
        <f t="shared" si="251"/>
        <v>9400</v>
      </c>
      <c r="L1771" s="104"/>
      <c r="M1771" s="20"/>
      <c r="N1771" s="104"/>
      <c r="O1771" s="20"/>
      <c r="P1771" s="104"/>
      <c r="Q1771" s="20"/>
      <c r="R1771" s="104"/>
      <c r="S1771" s="20"/>
      <c r="T1771" s="104"/>
      <c r="V1771" s="104"/>
      <c r="W1771" s="20"/>
      <c r="AC1771" s="332">
        <v>8040</v>
      </c>
      <c r="AD1771" s="332">
        <v>8590</v>
      </c>
      <c r="AE1771" s="332">
        <v>8970</v>
      </c>
      <c r="AF1771" s="332">
        <v>9400</v>
      </c>
      <c r="AG1771" s="289">
        <v>8040</v>
      </c>
      <c r="AH1771" s="289">
        <f t="shared" si="253"/>
        <v>0</v>
      </c>
      <c r="AI1771" s="289">
        <v>8590</v>
      </c>
      <c r="AJ1771" s="289">
        <f t="shared" si="254"/>
        <v>0</v>
      </c>
      <c r="AK1771" s="289">
        <v>8970</v>
      </c>
      <c r="AL1771" s="289">
        <f t="shared" si="255"/>
        <v>0</v>
      </c>
      <c r="AM1771" s="289">
        <v>9400</v>
      </c>
      <c r="AN1771" s="289">
        <f t="shared" si="256"/>
        <v>0</v>
      </c>
      <c r="AO1771" s="1"/>
      <c r="AP1771" s="1"/>
    </row>
    <row r="1772" spans="1:46" ht="34.5" customHeight="1">
      <c r="B1772" s="23">
        <v>7</v>
      </c>
      <c r="C1772" s="24"/>
      <c r="D1772" s="25">
        <f t="shared" si="245"/>
        <v>6700</v>
      </c>
      <c r="E1772" s="69">
        <f t="shared" si="246"/>
        <v>8040</v>
      </c>
      <c r="F1772" s="25">
        <f t="shared" si="247"/>
        <v>7158.3333333333339</v>
      </c>
      <c r="G1772" s="69">
        <f t="shared" si="248"/>
        <v>8590</v>
      </c>
      <c r="H1772" s="25">
        <f t="shared" si="249"/>
        <v>7475</v>
      </c>
      <c r="I1772" s="69">
        <f t="shared" si="250"/>
        <v>8970</v>
      </c>
      <c r="J1772" s="25">
        <f t="shared" si="252"/>
        <v>7833.3333333333339</v>
      </c>
      <c r="K1772" s="69">
        <f t="shared" si="251"/>
        <v>9400</v>
      </c>
      <c r="L1772" s="8"/>
      <c r="P1772" s="8"/>
      <c r="AC1772" s="332">
        <v>8040</v>
      </c>
      <c r="AD1772" s="332">
        <v>8590</v>
      </c>
      <c r="AE1772" s="332">
        <v>8970</v>
      </c>
      <c r="AF1772" s="332">
        <v>9400</v>
      </c>
      <c r="AG1772" s="289">
        <v>8040</v>
      </c>
      <c r="AH1772" s="289">
        <f t="shared" si="253"/>
        <v>0</v>
      </c>
      <c r="AI1772" s="289">
        <v>8590</v>
      </c>
      <c r="AJ1772" s="289">
        <f t="shared" si="254"/>
        <v>0</v>
      </c>
      <c r="AK1772" s="289">
        <v>8970</v>
      </c>
      <c r="AL1772" s="289">
        <f t="shared" si="255"/>
        <v>0</v>
      </c>
      <c r="AM1772" s="289">
        <v>9400</v>
      </c>
      <c r="AN1772" s="289">
        <f t="shared" si="256"/>
        <v>0</v>
      </c>
      <c r="AO1772" s="1"/>
      <c r="AP1772" s="1"/>
    </row>
    <row r="1773" spans="1:46">
      <c r="C1773" s="245"/>
      <c r="D1773" s="26"/>
      <c r="E1773" s="57"/>
      <c r="F1773" s="26"/>
      <c r="G1773" s="57"/>
      <c r="H1773" s="10"/>
      <c r="I1773" s="8"/>
      <c r="J1773" s="8"/>
      <c r="K1773" s="8"/>
      <c r="L1773" s="8"/>
      <c r="P1773" s="8"/>
    </row>
    <row r="1774" spans="1:46" ht="12.75" customHeight="1">
      <c r="B1774" s="212" t="str">
        <f>IF($C$1="ENG","For additonal charge:","Послуги за додаткову плату:")</f>
        <v>Послуги за додаткову плату:</v>
      </c>
      <c r="C1774" s="421"/>
      <c r="D1774" s="213"/>
      <c r="E1774" s="214"/>
      <c r="F1774" s="26"/>
      <c r="G1774" s="57"/>
      <c r="H1774" s="10"/>
      <c r="I1774" s="8"/>
      <c r="J1774" s="8"/>
      <c r="K1774" s="8"/>
    </row>
    <row r="1775" spans="1:46" ht="4.5" customHeight="1">
      <c r="B1775" s="99"/>
      <c r="C1775" s="423"/>
      <c r="D1775" s="26"/>
      <c r="E1775" s="57"/>
      <c r="F1775" s="26"/>
      <c r="G1775" s="26"/>
      <c r="H1775" s="10"/>
      <c r="I1775" s="8"/>
      <c r="J1775" s="8"/>
      <c r="K1775" s="8"/>
    </row>
    <row r="1776" spans="1:46">
      <c r="B1776" s="514" t="str">
        <f>IF($C$1="ENG","door leaf with width 100","полотно розміром 100")</f>
        <v>полотно розміром 100</v>
      </c>
      <c r="C1776" s="515"/>
      <c r="D1776" s="15">
        <f t="shared" ref="D1776:D1787" si="257">IF(AC1776="","",(1-$W$2)*(AC1776/1.2))</f>
        <v>566.66666666666674</v>
      </c>
      <c r="E1776" s="92">
        <f t="shared" ref="E1776:E1785" si="258">IF($W$5=0.2,D1776*1.2,D1776)/$W$4</f>
        <v>680.00000000000011</v>
      </c>
      <c r="F1776" s="26"/>
      <c r="G1776" s="57"/>
      <c r="H1776" s="10"/>
      <c r="I1776" s="84"/>
      <c r="K1776" s="20"/>
      <c r="AC1776" s="298">
        <v>680</v>
      </c>
      <c r="AD1776" s="289">
        <v>680</v>
      </c>
      <c r="AE1776" s="289">
        <f>AD1776/AC1776-1</f>
        <v>0</v>
      </c>
      <c r="AF1776" s="289"/>
      <c r="AG1776" s="289"/>
      <c r="AH1776" s="289"/>
      <c r="AI1776" s="289"/>
      <c r="AJ1776" s="289"/>
      <c r="AK1776" s="289"/>
      <c r="AL1776" s="289"/>
    </row>
    <row r="1777" spans="2:38">
      <c r="B1777" s="501" t="str">
        <f>IF($C$1="ENG","glazing Triplex mat / black","скло Триплекс матовий / чорний")</f>
        <v>скло Триплекс матовий / чорний</v>
      </c>
      <c r="C1777" s="502"/>
      <c r="D1777" s="102">
        <f t="shared" si="257"/>
        <v>883.33333333333337</v>
      </c>
      <c r="E1777" s="93">
        <f t="shared" si="258"/>
        <v>1060</v>
      </c>
      <c r="F1777" s="26"/>
      <c r="G1777" s="26"/>
      <c r="I1777" s="11"/>
      <c r="J1777" s="11"/>
      <c r="K1777" s="19"/>
      <c r="AC1777" s="298">
        <v>1060</v>
      </c>
      <c r="AD1777" s="289">
        <v>1060</v>
      </c>
      <c r="AE1777" s="289">
        <f t="shared" ref="AE1777:AE1787" si="259">AD1777/AC1777-1</f>
        <v>0</v>
      </c>
      <c r="AF1777" s="289"/>
      <c r="AG1777" s="289"/>
      <c r="AH1777" s="289"/>
      <c r="AI1777" s="289"/>
      <c r="AJ1777" s="289"/>
      <c r="AK1777" s="289"/>
      <c r="AL1777" s="289"/>
    </row>
    <row r="1778" spans="2:38">
      <c r="B1778" s="501" t="str">
        <f>IF($C$1="ENG","glazing Graphite / Bronze","скло Графіт / Бронза")</f>
        <v>скло Графіт / Бронза</v>
      </c>
      <c r="C1778" s="502"/>
      <c r="D1778" s="102">
        <f t="shared" si="257"/>
        <v>650</v>
      </c>
      <c r="E1778" s="93">
        <f t="shared" si="258"/>
        <v>780</v>
      </c>
      <c r="F1778" s="26"/>
      <c r="G1778" s="141"/>
      <c r="I1778" s="11"/>
      <c r="AC1778" s="298">
        <v>780</v>
      </c>
      <c r="AD1778" s="289">
        <v>780</v>
      </c>
      <c r="AE1778" s="289">
        <f t="shared" si="259"/>
        <v>0</v>
      </c>
      <c r="AF1778" s="289"/>
      <c r="AG1778" s="289"/>
      <c r="AH1778" s="289"/>
      <c r="AI1778" s="289"/>
      <c r="AJ1778" s="289"/>
      <c r="AK1778" s="289"/>
      <c r="AL1778" s="289"/>
    </row>
    <row r="1779" spans="2:38">
      <c r="B1779" s="501" t="str">
        <f>IF($C$1="ENG","door lock Soft","замок Soft")</f>
        <v>замок Soft</v>
      </c>
      <c r="C1779" s="502"/>
      <c r="D1779" s="102">
        <f t="shared" si="257"/>
        <v>458.33333333333337</v>
      </c>
      <c r="E1779" s="93">
        <f t="shared" si="258"/>
        <v>550</v>
      </c>
      <c r="F1779" s="26"/>
      <c r="G1779" s="26"/>
      <c r="H1779" s="5"/>
      <c r="AC1779" s="298">
        <v>550</v>
      </c>
      <c r="AD1779" s="289">
        <v>550</v>
      </c>
      <c r="AE1779" s="289">
        <f t="shared" si="259"/>
        <v>0</v>
      </c>
      <c r="AF1779" s="289"/>
      <c r="AG1779" s="289"/>
      <c r="AH1779" s="289"/>
      <c r="AI1779" s="289"/>
      <c r="AJ1779" s="289"/>
      <c r="AK1779" s="289"/>
      <c r="AL1779" s="289"/>
    </row>
    <row r="1780" spans="2:38">
      <c r="B1780" s="501" t="str">
        <f>IF($C$1="ENG","door lock Soft black","замок Soft чорн.")</f>
        <v>замок Soft чорн.</v>
      </c>
      <c r="C1780" s="502"/>
      <c r="D1780" s="102">
        <f t="shared" ref="D1780" si="260">IF(AC1780="","",(1-$W$2)*(AC1780/1.2))</f>
        <v>566.66666666666674</v>
      </c>
      <c r="E1780" s="93">
        <f t="shared" ref="E1780" si="261">IF($W$5=0.2,D1780*1.2,D1780)/$W$4</f>
        <v>680.00000000000011</v>
      </c>
      <c r="F1780" s="26"/>
      <c r="G1780" s="26"/>
      <c r="H1780" s="5"/>
      <c r="AC1780" s="298">
        <v>680</v>
      </c>
      <c r="AD1780" s="289"/>
      <c r="AE1780" s="289"/>
      <c r="AF1780" s="289"/>
      <c r="AG1780" s="289"/>
      <c r="AH1780" s="289"/>
      <c r="AI1780" s="289"/>
      <c r="AJ1780" s="289"/>
      <c r="AK1780" s="289"/>
      <c r="AL1780" s="289"/>
    </row>
    <row r="1781" spans="2:38">
      <c r="B1781" s="501" t="str">
        <f>IF($C$1="ENG","door lock Magnet","замок Magnet")</f>
        <v>замок Magnet</v>
      </c>
      <c r="C1781" s="502"/>
      <c r="D1781" s="102">
        <f t="shared" si="257"/>
        <v>666.66666666666674</v>
      </c>
      <c r="E1781" s="93">
        <f t="shared" si="258"/>
        <v>800.00000000000011</v>
      </c>
      <c r="F1781" s="26"/>
      <c r="G1781" s="26"/>
      <c r="H1781" s="5"/>
      <c r="AC1781" s="298">
        <v>800</v>
      </c>
      <c r="AD1781" s="289">
        <v>800</v>
      </c>
      <c r="AE1781" s="289">
        <f t="shared" si="259"/>
        <v>0</v>
      </c>
      <c r="AF1781" s="289"/>
      <c r="AG1781" s="289"/>
      <c r="AH1781" s="289"/>
      <c r="AI1781" s="289"/>
      <c r="AJ1781" s="289"/>
      <c r="AK1781" s="289"/>
      <c r="AL1781" s="289"/>
    </row>
    <row r="1782" spans="2:38">
      <c r="B1782" s="501" t="s">
        <v>76</v>
      </c>
      <c r="C1782" s="502"/>
      <c r="D1782" s="102">
        <f t="shared" ref="D1782" si="262">IF(AC1782="","",(1-$W$2)*(AC1782/1.2))</f>
        <v>833.33333333333337</v>
      </c>
      <c r="E1782" s="93">
        <f t="shared" ref="E1782" si="263">IF($W$5=0.2,D1782*1.2,D1782)/$W$4</f>
        <v>1000</v>
      </c>
      <c r="F1782" s="26"/>
      <c r="G1782" s="26"/>
      <c r="H1782" s="5"/>
      <c r="AC1782" s="298">
        <v>1000</v>
      </c>
      <c r="AD1782" s="289"/>
      <c r="AE1782" s="289"/>
      <c r="AF1782" s="289"/>
      <c r="AG1782" s="289"/>
      <c r="AH1782" s="289"/>
      <c r="AI1782" s="289"/>
      <c r="AJ1782" s="289"/>
      <c r="AK1782" s="289"/>
      <c r="AL1782" s="289"/>
    </row>
    <row r="1783" spans="2:38">
      <c r="B1783" s="501" t="str">
        <f>IF($C$1="ENG","cylinder incert","циліндр несиметричний")</f>
        <v>циліндр несиметричний</v>
      </c>
      <c r="C1783" s="502"/>
      <c r="D1783" s="133">
        <f t="shared" si="257"/>
        <v>316.66666666666669</v>
      </c>
      <c r="E1783" s="66">
        <f t="shared" si="258"/>
        <v>380</v>
      </c>
      <c r="F1783" s="26"/>
      <c r="G1783" s="26"/>
      <c r="AC1783" s="298">
        <v>380</v>
      </c>
      <c r="AD1783" s="289">
        <v>380</v>
      </c>
      <c r="AE1783" s="289">
        <f t="shared" si="259"/>
        <v>0</v>
      </c>
      <c r="AF1783" s="289"/>
      <c r="AG1783" s="289"/>
      <c r="AH1783" s="289"/>
      <c r="AI1783" s="289"/>
      <c r="AJ1783" s="289"/>
      <c r="AK1783" s="289"/>
      <c r="AL1783" s="289"/>
    </row>
    <row r="1784" spans="2:38">
      <c r="B1784" s="501" t="str">
        <f>IF($C$1="ENG","door hindge Prestige (1 unit)","завіса Prestige (1 шт)")</f>
        <v>завіса Prestige (1 шт)</v>
      </c>
      <c r="C1784" s="502"/>
      <c r="D1784" s="135">
        <f t="shared" si="257"/>
        <v>216.66666666666669</v>
      </c>
      <c r="E1784" s="66">
        <f t="shared" si="258"/>
        <v>260</v>
      </c>
      <c r="F1784" s="26"/>
      <c r="G1784" s="26"/>
      <c r="AC1784" s="298">
        <v>260</v>
      </c>
      <c r="AD1784" s="289">
        <v>260</v>
      </c>
      <c r="AE1784" s="289">
        <f t="shared" si="259"/>
        <v>0</v>
      </c>
      <c r="AF1784" s="289"/>
      <c r="AG1784" s="289"/>
      <c r="AH1784" s="289"/>
      <c r="AI1784" s="289"/>
      <c r="AJ1784" s="289"/>
      <c r="AK1784" s="289"/>
      <c r="AL1784" s="289"/>
    </row>
    <row r="1785" spans="2:38">
      <c r="B1785" s="501" t="str">
        <f>IF($C$1="ENG","door hinge caps (1 set)","накладка на завіси (1 к-т)")</f>
        <v>накладка на завіси (1 к-т)</v>
      </c>
      <c r="C1785" s="502"/>
      <c r="D1785" s="135">
        <f t="shared" si="257"/>
        <v>66.666666666666671</v>
      </c>
      <c r="E1785" s="66">
        <f t="shared" si="258"/>
        <v>80</v>
      </c>
      <c r="F1785" s="26"/>
      <c r="G1785" s="26"/>
      <c r="AC1785" s="298">
        <v>80</v>
      </c>
      <c r="AD1785" s="289">
        <v>80</v>
      </c>
      <c r="AE1785" s="289">
        <f t="shared" si="259"/>
        <v>0</v>
      </c>
      <c r="AF1785" s="289"/>
      <c r="AG1785" s="289"/>
      <c r="AH1785" s="289"/>
      <c r="AI1785" s="289"/>
      <c r="AJ1785" s="289"/>
      <c r="AK1785" s="289"/>
      <c r="AL1785" s="289"/>
    </row>
    <row r="1786" spans="2:38">
      <c r="B1786" s="501" t="str">
        <f>IF($C$1="ENG","door handle","дверна ручка")</f>
        <v>дверна ручка</v>
      </c>
      <c r="C1786" s="502"/>
      <c r="D1786" s="133">
        <f t="shared" si="257"/>
        <v>0</v>
      </c>
      <c r="E1786" s="136" t="str">
        <f>IF($C$1="ENG","see Handles Price","див. Таблицю Ручки")</f>
        <v>див. Таблицю Ручки</v>
      </c>
      <c r="F1786" s="26"/>
      <c r="G1786" s="26"/>
      <c r="AC1786" s="298">
        <v>0</v>
      </c>
      <c r="AD1786" s="289">
        <f t="shared" ref="AD1786" si="264">AC1786/100*13+AC1786</f>
        <v>0</v>
      </c>
      <c r="AE1786" s="289" t="e">
        <f t="shared" si="259"/>
        <v>#DIV/0!</v>
      </c>
      <c r="AF1786" s="289"/>
      <c r="AG1786" s="289"/>
      <c r="AH1786" s="289"/>
      <c r="AI1786" s="289"/>
      <c r="AJ1786" s="289"/>
      <c r="AK1786" s="289"/>
      <c r="AL1786" s="289"/>
    </row>
    <row r="1787" spans="2:38">
      <c r="B1787" s="501" t="str">
        <f>IF($C$1="ENG","perforated chipboard","ДСП трубчасте")</f>
        <v>ДСП трубчасте</v>
      </c>
      <c r="C1787" s="502"/>
      <c r="D1787" s="134">
        <f t="shared" si="257"/>
        <v>775</v>
      </c>
      <c r="E1787" s="69">
        <f>IF($W$5=0.2,D1787*1.2,D1787)/$W$4</f>
        <v>930</v>
      </c>
      <c r="F1787" s="26"/>
      <c r="G1787" s="26"/>
      <c r="AC1787" s="298">
        <v>930</v>
      </c>
      <c r="AD1787" s="289">
        <v>930</v>
      </c>
      <c r="AE1787" s="289">
        <f t="shared" si="259"/>
        <v>0</v>
      </c>
      <c r="AF1787" s="289"/>
      <c r="AG1787" s="289"/>
      <c r="AH1787" s="289"/>
      <c r="AI1787" s="289"/>
      <c r="AJ1787" s="289"/>
      <c r="AK1787" s="289"/>
      <c r="AL1787" s="289"/>
    </row>
    <row r="1788" spans="2:38" ht="14.25" customHeight="1">
      <c r="C1788" s="245"/>
      <c r="D1788" s="26"/>
      <c r="E1788" s="26"/>
      <c r="F1788" s="26"/>
      <c r="G1788" s="26"/>
      <c r="H1788" s="5"/>
      <c r="T1788" s="503" t="str">
        <f>IF($C$1="ENG",CONCATENATE("down to: ",B1838),CONCATENATE("вниз до: ",B1838))</f>
        <v>вниз до: Полотна скляні: ЕЛЕГАНТ</v>
      </c>
      <c r="U1788" s="503"/>
      <c r="V1788" s="503"/>
      <c r="W1788" s="503"/>
    </row>
    <row r="1789" spans="2:38" ht="14.25" customHeight="1">
      <c r="C1789" s="245"/>
      <c r="D1789" s="26"/>
      <c r="E1789" s="26"/>
      <c r="F1789" s="26"/>
      <c r="G1789" s="26"/>
      <c r="H1789" s="5"/>
    </row>
    <row r="1790" spans="2:38" ht="14.25" customHeight="1">
      <c r="C1790" s="245"/>
      <c r="D1790" s="26"/>
      <c r="E1790" s="26"/>
      <c r="F1790" s="26"/>
      <c r="G1790" s="26"/>
      <c r="H1790" s="5"/>
    </row>
    <row r="1791" spans="2:38" ht="14.25" customHeight="1">
      <c r="C1791" s="245"/>
      <c r="D1791" s="26"/>
      <c r="E1791" s="26"/>
      <c r="F1791" s="26"/>
      <c r="G1791" s="26"/>
      <c r="H1791" s="5"/>
    </row>
    <row r="1792" spans="2:38" ht="14.25" customHeight="1">
      <c r="C1792" s="245"/>
      <c r="D1792" s="26"/>
      <c r="E1792" s="26"/>
      <c r="F1792" s="26"/>
      <c r="G1792" s="26"/>
      <c r="H1792" s="5"/>
    </row>
    <row r="1793" spans="3:8" ht="14.25" customHeight="1">
      <c r="C1793" s="245"/>
      <c r="D1793" s="26"/>
      <c r="E1793" s="26"/>
      <c r="F1793" s="26"/>
      <c r="G1793" s="26"/>
      <c r="H1793" s="5"/>
    </row>
    <row r="1794" spans="3:8" ht="14.25" customHeight="1">
      <c r="C1794" s="245"/>
      <c r="D1794" s="26"/>
      <c r="E1794" s="26"/>
      <c r="F1794" s="26"/>
      <c r="G1794" s="26"/>
      <c r="H1794" s="5"/>
    </row>
    <row r="1795" spans="3:8" ht="14.25" customHeight="1">
      <c r="C1795" s="245"/>
      <c r="D1795" s="26"/>
      <c r="E1795" s="26"/>
      <c r="F1795" s="26"/>
      <c r="G1795" s="26"/>
      <c r="H1795" s="5"/>
    </row>
    <row r="1796" spans="3:8" ht="14.25" customHeight="1">
      <c r="C1796" s="245"/>
      <c r="D1796" s="26"/>
      <c r="E1796" s="26"/>
      <c r="F1796" s="26"/>
      <c r="G1796" s="26"/>
      <c r="H1796" s="5"/>
    </row>
    <row r="1797" spans="3:8" ht="14.25" customHeight="1">
      <c r="C1797" s="245"/>
      <c r="D1797" s="26"/>
      <c r="E1797" s="26"/>
      <c r="F1797" s="26"/>
      <c r="G1797" s="26"/>
      <c r="H1797" s="5"/>
    </row>
    <row r="1798" spans="3:8" ht="14.25" customHeight="1">
      <c r="C1798" s="245"/>
      <c r="D1798" s="26"/>
      <c r="E1798" s="26"/>
      <c r="F1798" s="26"/>
      <c r="G1798" s="26"/>
      <c r="H1798" s="5"/>
    </row>
    <row r="1799" spans="3:8" ht="14.25" customHeight="1">
      <c r="C1799" s="245"/>
      <c r="D1799" s="26"/>
      <c r="E1799" s="26"/>
      <c r="F1799" s="26"/>
      <c r="G1799" s="26"/>
      <c r="H1799" s="5"/>
    </row>
    <row r="1800" spans="3:8" ht="14.25" customHeight="1">
      <c r="C1800" s="245"/>
      <c r="D1800" s="26"/>
      <c r="E1800" s="26"/>
      <c r="F1800" s="26"/>
      <c r="G1800" s="26"/>
      <c r="H1800" s="5"/>
    </row>
    <row r="1801" spans="3:8" ht="14.25" customHeight="1">
      <c r="C1801" s="245"/>
      <c r="D1801" s="26"/>
      <c r="E1801" s="26"/>
      <c r="F1801" s="26"/>
      <c r="G1801" s="26"/>
      <c r="H1801" s="5"/>
    </row>
    <row r="1802" spans="3:8" ht="14.25" customHeight="1">
      <c r="C1802" s="245"/>
      <c r="D1802" s="26"/>
      <c r="E1802" s="26"/>
      <c r="F1802" s="26"/>
      <c r="G1802" s="26"/>
      <c r="H1802" s="5"/>
    </row>
    <row r="1803" spans="3:8" ht="14.25" customHeight="1">
      <c r="C1803" s="245"/>
      <c r="D1803" s="26"/>
      <c r="E1803" s="26"/>
      <c r="F1803" s="26"/>
      <c r="G1803" s="26"/>
      <c r="H1803" s="5"/>
    </row>
    <row r="1804" spans="3:8" ht="14.25" customHeight="1">
      <c r="C1804" s="245"/>
      <c r="D1804" s="26"/>
      <c r="E1804" s="26"/>
      <c r="F1804" s="26"/>
      <c r="G1804" s="26"/>
      <c r="H1804" s="5"/>
    </row>
    <row r="1805" spans="3:8" ht="14.25" customHeight="1">
      <c r="C1805" s="245"/>
      <c r="D1805" s="26"/>
      <c r="E1805" s="26"/>
      <c r="F1805" s="26"/>
      <c r="G1805" s="26"/>
      <c r="H1805" s="5"/>
    </row>
    <row r="1806" spans="3:8" ht="14.25" customHeight="1">
      <c r="C1806" s="245"/>
      <c r="D1806" s="26"/>
      <c r="E1806" s="26"/>
      <c r="F1806" s="26"/>
      <c r="G1806" s="26"/>
      <c r="H1806" s="5"/>
    </row>
    <row r="1807" spans="3:8" ht="14.25" customHeight="1">
      <c r="C1807" s="245"/>
      <c r="D1807" s="26"/>
      <c r="E1807" s="26"/>
      <c r="F1807" s="26"/>
      <c r="G1807" s="26"/>
      <c r="H1807" s="5"/>
    </row>
    <row r="1808" spans="3:8" ht="14.25" customHeight="1">
      <c r="C1808" s="245"/>
      <c r="D1808" s="26"/>
      <c r="E1808" s="26"/>
      <c r="F1808" s="26"/>
      <c r="G1808" s="26"/>
      <c r="H1808" s="5"/>
    </row>
    <row r="1809" spans="3:8" ht="14.25" customHeight="1">
      <c r="C1809" s="245"/>
      <c r="D1809" s="26"/>
      <c r="E1809" s="26"/>
      <c r="F1809" s="26"/>
      <c r="G1809" s="26"/>
      <c r="H1809" s="5"/>
    </row>
    <row r="1810" spans="3:8" ht="14.25" customHeight="1">
      <c r="C1810" s="245"/>
      <c r="D1810" s="26"/>
      <c r="E1810" s="26"/>
      <c r="F1810" s="26"/>
      <c r="G1810" s="26"/>
      <c r="H1810" s="5"/>
    </row>
    <row r="1811" spans="3:8" ht="14.25" customHeight="1">
      <c r="C1811" s="245"/>
      <c r="D1811" s="26"/>
      <c r="E1811" s="26"/>
      <c r="F1811" s="26"/>
      <c r="G1811" s="26"/>
      <c r="H1811" s="5"/>
    </row>
    <row r="1812" spans="3:8" ht="14.25" customHeight="1">
      <c r="C1812" s="245"/>
      <c r="D1812" s="26"/>
      <c r="E1812" s="26"/>
      <c r="F1812" s="26"/>
      <c r="G1812" s="26"/>
      <c r="H1812" s="5"/>
    </row>
    <row r="1813" spans="3:8" ht="14.25" customHeight="1">
      <c r="C1813" s="245"/>
      <c r="D1813" s="26"/>
      <c r="E1813" s="26"/>
      <c r="F1813" s="26"/>
      <c r="G1813" s="26"/>
      <c r="H1813" s="5"/>
    </row>
    <row r="1814" spans="3:8" ht="14.25" customHeight="1">
      <c r="C1814" s="245"/>
      <c r="D1814" s="26"/>
      <c r="E1814" s="26"/>
      <c r="F1814" s="26"/>
      <c r="G1814" s="26"/>
      <c r="H1814" s="5"/>
    </row>
    <row r="1815" spans="3:8" ht="14.25" customHeight="1">
      <c r="C1815" s="245"/>
      <c r="D1815" s="26"/>
      <c r="E1815" s="26"/>
      <c r="F1815" s="26"/>
      <c r="G1815" s="26"/>
      <c r="H1815" s="5"/>
    </row>
    <row r="1816" spans="3:8" ht="14.25" customHeight="1">
      <c r="C1816" s="245"/>
      <c r="D1816" s="26"/>
      <c r="E1816" s="26"/>
      <c r="F1816" s="26"/>
      <c r="G1816" s="26"/>
      <c r="H1816" s="5"/>
    </row>
    <row r="1817" spans="3:8" ht="14.25" customHeight="1">
      <c r="C1817" s="245"/>
      <c r="D1817" s="26"/>
      <c r="E1817" s="26"/>
      <c r="F1817" s="26"/>
      <c r="G1817" s="26"/>
      <c r="H1817" s="5"/>
    </row>
    <row r="1818" spans="3:8" ht="14.25" customHeight="1">
      <c r="C1818" s="245"/>
      <c r="D1818" s="26"/>
      <c r="E1818" s="26"/>
      <c r="F1818" s="26"/>
      <c r="G1818" s="26"/>
      <c r="H1818" s="5"/>
    </row>
    <row r="1819" spans="3:8" ht="14.25" customHeight="1">
      <c r="C1819" s="245"/>
      <c r="D1819" s="26"/>
      <c r="E1819" s="26"/>
      <c r="F1819" s="26"/>
      <c r="G1819" s="26"/>
      <c r="H1819" s="5"/>
    </row>
    <row r="1820" spans="3:8" ht="14.25" customHeight="1">
      <c r="C1820" s="245"/>
      <c r="D1820" s="26"/>
      <c r="E1820" s="26"/>
      <c r="F1820" s="26"/>
      <c r="G1820" s="26"/>
      <c r="H1820" s="5"/>
    </row>
    <row r="1821" spans="3:8" ht="14.25" customHeight="1">
      <c r="C1821" s="245"/>
      <c r="D1821" s="26"/>
      <c r="E1821" s="26"/>
      <c r="F1821" s="26"/>
      <c r="G1821" s="26"/>
      <c r="H1821" s="5"/>
    </row>
    <row r="1822" spans="3:8" ht="14.25" customHeight="1">
      <c r="C1822" s="245"/>
      <c r="D1822" s="26"/>
      <c r="E1822" s="26"/>
      <c r="F1822" s="26"/>
      <c r="G1822" s="26"/>
      <c r="H1822" s="5"/>
    </row>
    <row r="1823" spans="3:8" ht="14.25" customHeight="1">
      <c r="C1823" s="245"/>
      <c r="D1823" s="26"/>
      <c r="E1823" s="26"/>
      <c r="F1823" s="26"/>
      <c r="G1823" s="26"/>
      <c r="H1823" s="5"/>
    </row>
    <row r="1824" spans="3:8" ht="14.25" customHeight="1">
      <c r="C1824" s="245"/>
      <c r="D1824" s="26"/>
      <c r="E1824" s="26"/>
      <c r="F1824" s="26"/>
      <c r="G1824" s="26"/>
      <c r="H1824" s="5"/>
    </row>
    <row r="1825" spans="1:46" ht="14.25" customHeight="1">
      <c r="C1825" s="245"/>
      <c r="D1825" s="26"/>
      <c r="E1825" s="26"/>
      <c r="F1825" s="26"/>
      <c r="G1825" s="26"/>
      <c r="H1825" s="5"/>
    </row>
    <row r="1826" spans="1:46" ht="14.25" customHeight="1">
      <c r="C1826" s="245"/>
      <c r="D1826" s="26"/>
      <c r="E1826" s="26"/>
      <c r="F1826" s="26"/>
      <c r="G1826" s="26"/>
      <c r="H1826" s="5"/>
    </row>
    <row r="1827" spans="1:46" ht="14.25" customHeight="1">
      <c r="C1827" s="245"/>
      <c r="D1827" s="26"/>
      <c r="E1827" s="26"/>
      <c r="F1827" s="26"/>
      <c r="G1827" s="26"/>
      <c r="H1827" s="5"/>
    </row>
    <row r="1828" spans="1:46" ht="14.25" customHeight="1">
      <c r="C1828" s="245"/>
      <c r="D1828" s="26"/>
      <c r="E1828" s="26"/>
      <c r="F1828" s="26"/>
      <c r="G1828" s="26"/>
      <c r="H1828" s="5"/>
    </row>
    <row r="1829" spans="1:46" ht="14.25" customHeight="1">
      <c r="C1829" s="245"/>
      <c r="D1829" s="26"/>
      <c r="E1829" s="26"/>
      <c r="F1829" s="26"/>
      <c r="G1829" s="26"/>
      <c r="H1829" s="5"/>
    </row>
    <row r="1830" spans="1:46" ht="14.25" customHeight="1">
      <c r="C1830" s="245"/>
      <c r="D1830" s="26"/>
      <c r="E1830" s="26"/>
      <c r="F1830" s="26"/>
      <c r="G1830" s="26"/>
      <c r="H1830" s="5"/>
    </row>
    <row r="1831" spans="1:46" ht="14.25" customHeight="1">
      <c r="C1831" s="245"/>
      <c r="D1831" s="26"/>
      <c r="E1831" s="26"/>
      <c r="F1831" s="26"/>
      <c r="G1831" s="26"/>
      <c r="H1831" s="5"/>
    </row>
    <row r="1832" spans="1:46" ht="14.25" customHeight="1">
      <c r="C1832" s="245"/>
      <c r="D1832" s="26"/>
      <c r="E1832" s="26"/>
      <c r="F1832" s="26"/>
      <c r="G1832" s="26"/>
      <c r="H1832" s="5"/>
    </row>
    <row r="1833" spans="1:46" ht="14.25" customHeight="1">
      <c r="C1833" s="245"/>
      <c r="D1833" s="26"/>
      <c r="E1833" s="26"/>
      <c r="F1833" s="26"/>
      <c r="G1833" s="26"/>
      <c r="H1833" s="5"/>
    </row>
    <row r="1834" spans="1:46" ht="14.25" customHeight="1">
      <c r="C1834" s="245"/>
      <c r="D1834" s="26"/>
      <c r="E1834" s="26"/>
      <c r="F1834" s="26"/>
      <c r="G1834" s="26"/>
      <c r="H1834" s="5"/>
    </row>
    <row r="1835" spans="1:46" ht="14.25" customHeight="1">
      <c r="C1835" s="245"/>
      <c r="D1835" s="26"/>
      <c r="E1835" s="26"/>
      <c r="F1835" s="26"/>
      <c r="G1835" s="26"/>
      <c r="H1835" s="5"/>
    </row>
    <row r="1836" spans="1:46" ht="14.25" customHeight="1">
      <c r="C1836" s="245"/>
      <c r="D1836" s="26"/>
      <c r="E1836" s="26"/>
      <c r="F1836" s="26"/>
      <c r="G1836" s="26"/>
      <c r="H1836" s="5"/>
    </row>
    <row r="1837" spans="1:46" s="8" customFormat="1">
      <c r="B1837" s="1"/>
      <c r="C1837" s="245"/>
      <c r="D1837" s="26"/>
      <c r="E1837" s="26"/>
      <c r="F1837" s="26"/>
      <c r="G1837" s="26"/>
      <c r="H1837" s="5"/>
      <c r="I1837" s="1"/>
      <c r="J1837" s="1"/>
      <c r="K1837" s="1"/>
      <c r="AN1837" s="280"/>
      <c r="AO1837" s="280"/>
      <c r="AP1837" s="280"/>
      <c r="AQ1837" s="280"/>
      <c r="AR1837" s="280"/>
      <c r="AS1837" s="280"/>
      <c r="AT1837" s="280"/>
    </row>
    <row r="1838" spans="1:46" s="8" customFormat="1" ht="12.75" customHeight="1">
      <c r="B1838" s="494" t="str">
        <f>TITLE!$C$33</f>
        <v>Полотна скляні: ЕЛЕГАНТ</v>
      </c>
      <c r="C1838" s="494"/>
      <c r="D1838" s="118"/>
      <c r="E1838" s="118"/>
      <c r="F1838" s="118"/>
      <c r="G1838" s="118"/>
      <c r="H1838" s="118"/>
      <c r="I1838" s="121"/>
      <c r="J1838" s="121"/>
      <c r="K1838" s="121"/>
      <c r="L1838" s="121"/>
      <c r="M1838" s="121"/>
      <c r="N1838" s="121"/>
      <c r="O1838" s="121"/>
      <c r="P1838" s="121"/>
      <c r="Q1838" s="121"/>
      <c r="R1838" s="121"/>
      <c r="S1838" s="121"/>
      <c r="T1838" s="517" t="str">
        <f>IF($C$1="ENG",CONCATENATE("up to: ",B1761),CONCATENATE("вгору до: ",B1761))</f>
        <v>вгору до: Полотна скляні: ЛАЙН</v>
      </c>
      <c r="U1838" s="517"/>
      <c r="V1838" s="517"/>
      <c r="W1838" s="517"/>
      <c r="AN1838" s="280"/>
      <c r="AO1838" s="280"/>
      <c r="AP1838" s="280"/>
      <c r="AQ1838" s="280"/>
      <c r="AR1838" s="280"/>
      <c r="AS1838" s="280"/>
      <c r="AT1838" s="280"/>
    </row>
    <row r="1839" spans="1:46" ht="4.5" customHeight="1">
      <c r="A1839" s="8"/>
      <c r="B1839" s="117"/>
      <c r="C1839" s="420"/>
      <c r="D1839" s="9"/>
      <c r="E1839" s="9"/>
      <c r="F1839" s="10"/>
      <c r="G1839" s="10"/>
      <c r="H1839" s="10"/>
      <c r="I1839" s="8"/>
      <c r="J1839" s="8"/>
      <c r="K1839" s="8"/>
      <c r="L1839" s="8"/>
      <c r="M1839" s="11"/>
      <c r="P1839" s="8"/>
      <c r="Q1839" s="11"/>
    </row>
    <row r="1840" spans="1:46" ht="12.75" customHeight="1">
      <c r="A1840" s="8"/>
      <c r="B1840" s="509" t="str">
        <f>IF($C$1="ENG","model","модель")</f>
        <v>модель</v>
      </c>
      <c r="C1840" s="122" t="str">
        <f>IF($C$1="ENG","cover:","покриття:")</f>
        <v>покриття:</v>
      </c>
      <c r="D1840" s="498" t="str">
        <f>IF($C$1="ENG","VERTO-CELL","VERTO-CELL")</f>
        <v>VERTO-CELL</v>
      </c>
      <c r="E1840" s="500"/>
      <c r="F1840" s="498" t="str">
        <f>IF($C$1="ENG","RESIST","RESIST")</f>
        <v>RESIST</v>
      </c>
      <c r="G1840" s="500"/>
      <c r="H1840" s="498" t="str">
        <f>IF($C$1="ENG","Verto LINE-3D","Verto LINE-3D")</f>
        <v>Verto LINE-3D</v>
      </c>
      <c r="I1840" s="500"/>
      <c r="J1840" s="498" t="str">
        <f>IF($C$1="ENG","ECO Shpon","ЕКО Шпон")</f>
        <v>ЕКО Шпон</v>
      </c>
      <c r="K1840" s="500"/>
      <c r="L1840" s="8"/>
      <c r="M1840" s="11"/>
      <c r="P1840" s="8"/>
      <c r="Q1840" s="11"/>
    </row>
    <row r="1841" spans="1:42" ht="24.75" customHeight="1">
      <c r="A1841" s="8"/>
      <c r="B1841" s="510"/>
      <c r="C1841" s="123" t="str">
        <f>IF($C$1="ENG","filling:","заповнення:")</f>
        <v>заповнення:</v>
      </c>
      <c r="D1841" s="505" t="str">
        <f>IF($C$1="ENG","softwood","клеєний сосновий брус")</f>
        <v>клеєний сосновий брус</v>
      </c>
      <c r="E1841" s="506"/>
      <c r="F1841" s="505" t="str">
        <f>IF($C$1="ENG","softwood","клеєний сосновий брус")</f>
        <v>клеєний сосновий брус</v>
      </c>
      <c r="G1841" s="506"/>
      <c r="H1841" s="505" t="str">
        <f>IF($C$1="ENG","softwood","клеєний сосновий брус")</f>
        <v>клеєний сосновий брус</v>
      </c>
      <c r="I1841" s="506"/>
      <c r="J1841" s="505" t="str">
        <f>IF($C$1="ENG","softwood","клеєний сосновий брус")</f>
        <v>клеєний сосновий брус</v>
      </c>
      <c r="K1841" s="506"/>
      <c r="L1841" s="8"/>
      <c r="M1841" s="11"/>
      <c r="P1841" s="8"/>
      <c r="Q1841" s="11"/>
    </row>
    <row r="1842" spans="1:42">
      <c r="A1842" s="8"/>
      <c r="B1842" s="511"/>
      <c r="C1842" s="124" t="str">
        <f>IF($C$1="ENG","glazing:","скління:")</f>
        <v>скління:</v>
      </c>
      <c r="D1842" s="489" t="str">
        <f>IF($C$1="ENG","Drawing / Satin (1)","Малюнок / Сатин (1)")</f>
        <v>Малюнок / Сатин (1)</v>
      </c>
      <c r="E1842" s="492"/>
      <c r="F1842" s="489" t="str">
        <f>IF($C$1="ENG","Drawing / Satin (1)","Малюнок / Сатин (1)")</f>
        <v>Малюнок / Сатин (1)</v>
      </c>
      <c r="G1842" s="492"/>
      <c r="H1842" s="489" t="str">
        <f>IF($C$1="ENG","Drawing / Satin (1)","Малюнок / Сатин (1)")</f>
        <v>Малюнок / Сатин (1)</v>
      </c>
      <c r="I1842" s="492"/>
      <c r="J1842" s="489" t="str">
        <f>IF($C$1="ENG","Drawing / Satin (1)","Малюнок / Сатин (1)")</f>
        <v>Малюнок / Сатин (1)</v>
      </c>
      <c r="K1842" s="492"/>
      <c r="L1842" s="104"/>
      <c r="M1842" s="20"/>
      <c r="N1842" s="104"/>
      <c r="O1842" s="20"/>
      <c r="P1842" s="104"/>
      <c r="Q1842" s="20"/>
      <c r="R1842" s="104"/>
      <c r="S1842" s="20"/>
      <c r="T1842" s="104"/>
      <c r="V1842" s="104"/>
      <c r="W1842" s="20"/>
      <c r="X1842" s="22"/>
      <c r="Y1842" s="22"/>
      <c r="Z1842" s="22"/>
      <c r="AA1842" s="22"/>
      <c r="AB1842" s="22"/>
    </row>
    <row r="1843" spans="1:42" ht="35.1" customHeight="1">
      <c r="A1843" s="8"/>
      <c r="B1843" s="13">
        <v>1</v>
      </c>
      <c r="C1843" s="14"/>
      <c r="D1843" s="15">
        <f t="shared" ref="D1843:D1849" si="265">IF(AC1843="","",(1-$W$2)*(AC1843/1.2))</f>
        <v>6500</v>
      </c>
      <c r="E1843" s="64">
        <f t="shared" ref="E1843:E1849" si="266">IF($W$5=0.2,D1843*1.2,D1843)/$W$4</f>
        <v>7800</v>
      </c>
      <c r="F1843" s="15">
        <f t="shared" ref="F1843:F1849" si="267">IF(AD1843="","",(1-$W$2)*(AD1843/1.2))</f>
        <v>7266.666666666667</v>
      </c>
      <c r="G1843" s="64">
        <f t="shared" ref="G1843:G1849" si="268">IF($W$5=0.2,F1843*1.2,F1843)/$W$4</f>
        <v>8720</v>
      </c>
      <c r="H1843" s="15">
        <f t="shared" ref="H1843:H1849" si="269">IF(AE1843="","",(1-$W$2)*(AE1843/1.2))</f>
        <v>7625</v>
      </c>
      <c r="I1843" s="64">
        <f t="shared" ref="I1843:I1849" si="270">IF($W$5=0.2,H1843*1.2,H1843)/$W$4</f>
        <v>9150</v>
      </c>
      <c r="J1843" s="15">
        <f>IF(AF1843="","",(1-$W$2)*(AF1843/1.2))</f>
        <v>7991.666666666667</v>
      </c>
      <c r="K1843" s="64">
        <f t="shared" ref="K1843:K1849" si="271">IF($W$5=0.2,J1843*1.2,J1843)/$W$4</f>
        <v>9590</v>
      </c>
      <c r="L1843" s="104"/>
      <c r="M1843" s="20"/>
      <c r="N1843" s="104"/>
      <c r="O1843" s="20"/>
      <c r="P1843" s="104"/>
      <c r="Q1843" s="20"/>
      <c r="R1843" s="104"/>
      <c r="S1843" s="20"/>
      <c r="T1843" s="104"/>
      <c r="V1843" s="104"/>
      <c r="W1843" s="20"/>
      <c r="AC1843" s="332">
        <v>7800</v>
      </c>
      <c r="AD1843" s="332">
        <v>8720</v>
      </c>
      <c r="AE1843" s="332">
        <v>9150</v>
      </c>
      <c r="AF1843" s="332">
        <v>9590</v>
      </c>
      <c r="AG1843" s="289">
        <v>7800</v>
      </c>
      <c r="AH1843" s="289">
        <f>AG1843/AC1843-1</f>
        <v>0</v>
      </c>
      <c r="AI1843" s="289">
        <v>8720</v>
      </c>
      <c r="AJ1843" s="289">
        <f>AI1843/AD1843-1</f>
        <v>0</v>
      </c>
      <c r="AK1843" s="289">
        <v>9150</v>
      </c>
      <c r="AL1843" s="289">
        <f>AK1843/AE1843-1</f>
        <v>0</v>
      </c>
      <c r="AM1843" s="289">
        <v>9590</v>
      </c>
      <c r="AN1843" s="289">
        <f>AM1843/AF1843-1</f>
        <v>0</v>
      </c>
      <c r="AO1843" s="1"/>
      <c r="AP1843" s="1"/>
    </row>
    <row r="1844" spans="1:42" ht="35.1" customHeight="1">
      <c r="A1844" s="8"/>
      <c r="B1844" s="16">
        <v>2</v>
      </c>
      <c r="C1844" s="17"/>
      <c r="D1844" s="18">
        <f t="shared" si="265"/>
        <v>7133.3333333333339</v>
      </c>
      <c r="E1844" s="66">
        <f t="shared" si="266"/>
        <v>8560</v>
      </c>
      <c r="F1844" s="18">
        <f t="shared" si="267"/>
        <v>7991.666666666667</v>
      </c>
      <c r="G1844" s="66">
        <f t="shared" si="268"/>
        <v>9590</v>
      </c>
      <c r="H1844" s="18">
        <f t="shared" si="269"/>
        <v>8333.3333333333339</v>
      </c>
      <c r="I1844" s="66">
        <f t="shared" si="270"/>
        <v>10000</v>
      </c>
      <c r="J1844" s="18">
        <f t="shared" ref="J1844:J1849" si="272">IF(AF1844="","",(1-$W$2)*(AF1844/1.2))</f>
        <v>8700</v>
      </c>
      <c r="K1844" s="66">
        <f t="shared" si="271"/>
        <v>10440</v>
      </c>
      <c r="L1844" s="104"/>
      <c r="M1844" s="20"/>
      <c r="N1844" s="104"/>
      <c r="O1844" s="20"/>
      <c r="P1844" s="104"/>
      <c r="Q1844" s="20"/>
      <c r="R1844" s="104"/>
      <c r="S1844" s="20"/>
      <c r="T1844" s="104"/>
      <c r="V1844" s="104"/>
      <c r="W1844" s="20"/>
      <c r="AC1844" s="332">
        <v>8560</v>
      </c>
      <c r="AD1844" s="332">
        <v>9590</v>
      </c>
      <c r="AE1844" s="332">
        <v>10000</v>
      </c>
      <c r="AF1844" s="332">
        <v>10440</v>
      </c>
      <c r="AG1844" s="289">
        <v>8560</v>
      </c>
      <c r="AH1844" s="289">
        <f t="shared" ref="AH1844:AH1849" si="273">AG1844/AC1844-1</f>
        <v>0</v>
      </c>
      <c r="AI1844" s="289">
        <v>9590</v>
      </c>
      <c r="AJ1844" s="289">
        <f t="shared" ref="AJ1844:AJ1849" si="274">AI1844/AD1844-1</f>
        <v>0</v>
      </c>
      <c r="AK1844" s="289">
        <v>10000</v>
      </c>
      <c r="AL1844" s="289">
        <f t="shared" ref="AL1844:AL1849" si="275">AK1844/AE1844-1</f>
        <v>0</v>
      </c>
      <c r="AM1844" s="289">
        <v>10440</v>
      </c>
      <c r="AN1844" s="289">
        <f t="shared" ref="AN1844:AN1849" si="276">AM1844/AF1844-1</f>
        <v>0</v>
      </c>
      <c r="AO1844" s="1"/>
      <c r="AP1844" s="1"/>
    </row>
    <row r="1845" spans="1:42" ht="35.1" customHeight="1">
      <c r="A1845" s="8"/>
      <c r="B1845" s="16">
        <v>3</v>
      </c>
      <c r="C1845" s="17"/>
      <c r="D1845" s="18">
        <f t="shared" si="265"/>
        <v>7133.3333333333339</v>
      </c>
      <c r="E1845" s="66">
        <f t="shared" si="266"/>
        <v>8560</v>
      </c>
      <c r="F1845" s="18">
        <f t="shared" si="267"/>
        <v>7991.666666666667</v>
      </c>
      <c r="G1845" s="66">
        <f t="shared" si="268"/>
        <v>9590</v>
      </c>
      <c r="H1845" s="18">
        <f t="shared" si="269"/>
        <v>8333.3333333333339</v>
      </c>
      <c r="I1845" s="66">
        <f t="shared" si="270"/>
        <v>10000</v>
      </c>
      <c r="J1845" s="18">
        <f t="shared" si="272"/>
        <v>8700</v>
      </c>
      <c r="K1845" s="66">
        <f t="shared" si="271"/>
        <v>10440</v>
      </c>
      <c r="L1845" s="104"/>
      <c r="M1845" s="20"/>
      <c r="N1845" s="104"/>
      <c r="O1845" s="20"/>
      <c r="P1845" s="104"/>
      <c r="Q1845" s="20"/>
      <c r="R1845" s="104"/>
      <c r="S1845" s="20"/>
      <c r="T1845" s="104"/>
      <c r="V1845" s="104"/>
      <c r="W1845" s="20"/>
      <c r="AC1845" s="332">
        <v>8560</v>
      </c>
      <c r="AD1845" s="332">
        <v>9590</v>
      </c>
      <c r="AE1845" s="332">
        <v>10000</v>
      </c>
      <c r="AF1845" s="332">
        <v>10440</v>
      </c>
      <c r="AG1845" s="289">
        <v>8560</v>
      </c>
      <c r="AH1845" s="289">
        <f t="shared" si="273"/>
        <v>0</v>
      </c>
      <c r="AI1845" s="289">
        <v>9590</v>
      </c>
      <c r="AJ1845" s="289">
        <f t="shared" si="274"/>
        <v>0</v>
      </c>
      <c r="AK1845" s="289">
        <v>10000</v>
      </c>
      <c r="AL1845" s="289">
        <f t="shared" si="275"/>
        <v>0</v>
      </c>
      <c r="AM1845" s="289">
        <v>10440</v>
      </c>
      <c r="AN1845" s="289">
        <f t="shared" si="276"/>
        <v>0</v>
      </c>
      <c r="AO1845" s="1"/>
      <c r="AP1845" s="1"/>
    </row>
    <row r="1846" spans="1:42" ht="35.1" customHeight="1">
      <c r="A1846" s="8"/>
      <c r="B1846" s="16">
        <v>4</v>
      </c>
      <c r="C1846" s="17"/>
      <c r="D1846" s="18">
        <f t="shared" si="265"/>
        <v>7133.3333333333339</v>
      </c>
      <c r="E1846" s="66">
        <f t="shared" si="266"/>
        <v>8560</v>
      </c>
      <c r="F1846" s="18">
        <f t="shared" si="267"/>
        <v>7991.666666666667</v>
      </c>
      <c r="G1846" s="66">
        <f t="shared" si="268"/>
        <v>9590</v>
      </c>
      <c r="H1846" s="18">
        <f t="shared" si="269"/>
        <v>8333.3333333333339</v>
      </c>
      <c r="I1846" s="66">
        <f t="shared" si="270"/>
        <v>10000</v>
      </c>
      <c r="J1846" s="18">
        <f t="shared" si="272"/>
        <v>8700</v>
      </c>
      <c r="K1846" s="66">
        <f t="shared" si="271"/>
        <v>10440</v>
      </c>
      <c r="L1846" s="104"/>
      <c r="M1846" s="20"/>
      <c r="N1846" s="104"/>
      <c r="O1846" s="20"/>
      <c r="P1846" s="104"/>
      <c r="Q1846" s="20"/>
      <c r="R1846" s="104"/>
      <c r="S1846" s="20"/>
      <c r="T1846" s="104"/>
      <c r="V1846" s="104"/>
      <c r="W1846" s="20"/>
      <c r="AC1846" s="332">
        <v>8560</v>
      </c>
      <c r="AD1846" s="332">
        <v>9590</v>
      </c>
      <c r="AE1846" s="332">
        <v>10000</v>
      </c>
      <c r="AF1846" s="332">
        <v>10440</v>
      </c>
      <c r="AG1846" s="289">
        <v>8560</v>
      </c>
      <c r="AH1846" s="289">
        <f t="shared" si="273"/>
        <v>0</v>
      </c>
      <c r="AI1846" s="289">
        <v>9590</v>
      </c>
      <c r="AJ1846" s="289">
        <f t="shared" si="274"/>
        <v>0</v>
      </c>
      <c r="AK1846" s="289">
        <v>10000</v>
      </c>
      <c r="AL1846" s="289">
        <f t="shared" si="275"/>
        <v>0</v>
      </c>
      <c r="AM1846" s="289">
        <v>10440</v>
      </c>
      <c r="AN1846" s="289">
        <f t="shared" si="276"/>
        <v>0</v>
      </c>
      <c r="AO1846" s="1"/>
      <c r="AP1846" s="1"/>
    </row>
    <row r="1847" spans="1:42" ht="35.1" customHeight="1">
      <c r="A1847" s="8"/>
      <c r="B1847" s="16">
        <v>5</v>
      </c>
      <c r="C1847" s="17"/>
      <c r="D1847" s="18">
        <f t="shared" si="265"/>
        <v>7133.3333333333339</v>
      </c>
      <c r="E1847" s="66">
        <f t="shared" si="266"/>
        <v>8560</v>
      </c>
      <c r="F1847" s="18">
        <f t="shared" si="267"/>
        <v>7991.666666666667</v>
      </c>
      <c r="G1847" s="66">
        <f t="shared" si="268"/>
        <v>9590</v>
      </c>
      <c r="H1847" s="18">
        <f t="shared" si="269"/>
        <v>8333.3333333333339</v>
      </c>
      <c r="I1847" s="66">
        <f t="shared" si="270"/>
        <v>10000</v>
      </c>
      <c r="J1847" s="18">
        <f t="shared" si="272"/>
        <v>8700</v>
      </c>
      <c r="K1847" s="66">
        <f t="shared" si="271"/>
        <v>10440</v>
      </c>
      <c r="L1847" s="104"/>
      <c r="M1847" s="20"/>
      <c r="N1847" s="104"/>
      <c r="O1847" s="20"/>
      <c r="P1847" s="104"/>
      <c r="Q1847" s="20"/>
      <c r="R1847" s="104"/>
      <c r="S1847" s="20"/>
      <c r="T1847" s="42"/>
      <c r="V1847" s="104"/>
      <c r="W1847" s="20"/>
      <c r="AC1847" s="332">
        <v>8560</v>
      </c>
      <c r="AD1847" s="332">
        <v>9590</v>
      </c>
      <c r="AE1847" s="332">
        <v>10000</v>
      </c>
      <c r="AF1847" s="332">
        <v>10440</v>
      </c>
      <c r="AG1847" s="289">
        <v>8560</v>
      </c>
      <c r="AH1847" s="289">
        <f t="shared" si="273"/>
        <v>0</v>
      </c>
      <c r="AI1847" s="289">
        <v>9590</v>
      </c>
      <c r="AJ1847" s="289">
        <f t="shared" si="274"/>
        <v>0</v>
      </c>
      <c r="AK1847" s="289">
        <v>10000</v>
      </c>
      <c r="AL1847" s="289">
        <f t="shared" si="275"/>
        <v>0</v>
      </c>
      <c r="AM1847" s="289">
        <v>10440</v>
      </c>
      <c r="AN1847" s="289">
        <f t="shared" si="276"/>
        <v>0</v>
      </c>
      <c r="AO1847" s="1"/>
      <c r="AP1847" s="1"/>
    </row>
    <row r="1848" spans="1:42" ht="35.1" customHeight="1">
      <c r="A1848" s="8"/>
      <c r="B1848" s="16">
        <v>6</v>
      </c>
      <c r="C1848" s="17"/>
      <c r="D1848" s="18">
        <f t="shared" si="265"/>
        <v>7133.3333333333339</v>
      </c>
      <c r="E1848" s="66">
        <f t="shared" si="266"/>
        <v>8560</v>
      </c>
      <c r="F1848" s="18">
        <f t="shared" si="267"/>
        <v>7991.666666666667</v>
      </c>
      <c r="G1848" s="66">
        <f t="shared" si="268"/>
        <v>9590</v>
      </c>
      <c r="H1848" s="18">
        <f t="shared" si="269"/>
        <v>8333.3333333333339</v>
      </c>
      <c r="I1848" s="66">
        <f t="shared" si="270"/>
        <v>10000</v>
      </c>
      <c r="J1848" s="18">
        <f t="shared" si="272"/>
        <v>8700</v>
      </c>
      <c r="K1848" s="66">
        <f t="shared" si="271"/>
        <v>10440</v>
      </c>
      <c r="L1848" s="104"/>
      <c r="M1848" s="20"/>
      <c r="N1848" s="104"/>
      <c r="O1848" s="20"/>
      <c r="P1848" s="104"/>
      <c r="Q1848" s="20"/>
      <c r="R1848" s="104"/>
      <c r="S1848" s="20"/>
      <c r="T1848" s="42"/>
      <c r="V1848" s="104"/>
      <c r="W1848" s="20"/>
      <c r="AC1848" s="332">
        <v>8560</v>
      </c>
      <c r="AD1848" s="332">
        <v>9590</v>
      </c>
      <c r="AE1848" s="332">
        <v>10000</v>
      </c>
      <c r="AF1848" s="332">
        <v>10440</v>
      </c>
      <c r="AG1848" s="289">
        <v>8560</v>
      </c>
      <c r="AH1848" s="289">
        <f t="shared" si="273"/>
        <v>0</v>
      </c>
      <c r="AI1848" s="289">
        <v>9590</v>
      </c>
      <c r="AJ1848" s="289">
        <f t="shared" si="274"/>
        <v>0</v>
      </c>
      <c r="AK1848" s="289">
        <v>10000</v>
      </c>
      <c r="AL1848" s="289">
        <f t="shared" si="275"/>
        <v>0</v>
      </c>
      <c r="AM1848" s="289">
        <v>10440</v>
      </c>
      <c r="AN1848" s="289">
        <f t="shared" si="276"/>
        <v>0</v>
      </c>
      <c r="AO1848" s="1"/>
      <c r="AP1848" s="1"/>
    </row>
    <row r="1849" spans="1:42" ht="34.5" customHeight="1">
      <c r="B1849" s="23">
        <v>7</v>
      </c>
      <c r="C1849" s="24"/>
      <c r="D1849" s="25">
        <f t="shared" si="265"/>
        <v>7133.3333333333339</v>
      </c>
      <c r="E1849" s="69">
        <f t="shared" si="266"/>
        <v>8560</v>
      </c>
      <c r="F1849" s="25">
        <f t="shared" si="267"/>
        <v>7991.666666666667</v>
      </c>
      <c r="G1849" s="69">
        <f t="shared" si="268"/>
        <v>9590</v>
      </c>
      <c r="H1849" s="25">
        <f t="shared" si="269"/>
        <v>8333.3333333333339</v>
      </c>
      <c r="I1849" s="69">
        <f t="shared" si="270"/>
        <v>10000</v>
      </c>
      <c r="J1849" s="25">
        <f t="shared" si="272"/>
        <v>8700</v>
      </c>
      <c r="K1849" s="69">
        <f t="shared" si="271"/>
        <v>10440</v>
      </c>
      <c r="L1849" s="8"/>
      <c r="P1849" s="8"/>
      <c r="AC1849" s="332">
        <v>8560</v>
      </c>
      <c r="AD1849" s="332">
        <v>9590</v>
      </c>
      <c r="AE1849" s="332">
        <v>10000</v>
      </c>
      <c r="AF1849" s="332">
        <v>10440</v>
      </c>
      <c r="AG1849" s="289">
        <v>8560</v>
      </c>
      <c r="AH1849" s="289">
        <f t="shared" si="273"/>
        <v>0</v>
      </c>
      <c r="AI1849" s="289">
        <v>9590</v>
      </c>
      <c r="AJ1849" s="289">
        <f t="shared" si="274"/>
        <v>0</v>
      </c>
      <c r="AK1849" s="289">
        <v>10000</v>
      </c>
      <c r="AL1849" s="289">
        <f t="shared" si="275"/>
        <v>0</v>
      </c>
      <c r="AM1849" s="289">
        <v>10440</v>
      </c>
      <c r="AN1849" s="289">
        <f t="shared" si="276"/>
        <v>0</v>
      </c>
      <c r="AO1849" s="1"/>
      <c r="AP1849" s="1"/>
    </row>
    <row r="1850" spans="1:42">
      <c r="C1850" s="245"/>
      <c r="D1850" s="26"/>
      <c r="E1850" s="57"/>
      <c r="F1850" s="10"/>
      <c r="G1850" s="10"/>
      <c r="H1850" s="10"/>
      <c r="I1850" s="8"/>
      <c r="J1850" s="8"/>
      <c r="K1850" s="8"/>
      <c r="L1850" s="8"/>
      <c r="P1850" s="8"/>
    </row>
    <row r="1851" spans="1:42" ht="12.75" customHeight="1">
      <c r="B1851" s="212" t="str">
        <f>IF($C$1="ENG","For additonal charge:","Послуги за додаткову плату:")</f>
        <v>Послуги за додаткову плату:</v>
      </c>
      <c r="C1851" s="421"/>
      <c r="D1851" s="213"/>
      <c r="E1851" s="214"/>
      <c r="F1851" s="26"/>
      <c r="G1851" s="57"/>
      <c r="H1851" s="10"/>
      <c r="I1851" s="8"/>
      <c r="J1851" s="8"/>
      <c r="K1851" s="8"/>
    </row>
    <row r="1852" spans="1:42" ht="4.5" customHeight="1">
      <c r="B1852" s="99"/>
      <c r="C1852" s="423"/>
      <c r="D1852" s="26"/>
      <c r="E1852" s="57"/>
      <c r="F1852" s="26"/>
      <c r="G1852" s="26"/>
      <c r="H1852" s="10"/>
      <c r="I1852" s="8"/>
      <c r="J1852" s="8"/>
      <c r="K1852" s="8"/>
    </row>
    <row r="1853" spans="1:42">
      <c r="B1853" s="514" t="str">
        <f>IF($C$1="ENG","glazing Triplex mat / black","скло Триплекс матовий / чорний")</f>
        <v>скло Триплекс матовий / чорний</v>
      </c>
      <c r="C1853" s="515"/>
      <c r="D1853" s="101">
        <f t="shared" ref="D1853:D1862" si="277">IF(AC1853="","",(1-$W$2)*(AC1853/1.2))</f>
        <v>1125</v>
      </c>
      <c r="E1853" s="92">
        <f t="shared" ref="E1853:E1861" si="278">IF($W$5=0.2,D1853*1.2,D1853)/$W$4</f>
        <v>1350</v>
      </c>
      <c r="F1853" s="26"/>
      <c r="G1853" s="26"/>
      <c r="I1853" s="11"/>
      <c r="J1853" s="11"/>
      <c r="K1853" s="19"/>
      <c r="AC1853" s="289">
        <v>1350</v>
      </c>
      <c r="AD1853" s="289">
        <v>1350</v>
      </c>
      <c r="AE1853" s="289">
        <f>AD1853/AC1853-1</f>
        <v>0</v>
      </c>
      <c r="AF1853" s="289"/>
      <c r="AG1853" s="289"/>
      <c r="AH1853" s="289"/>
      <c r="AI1853" s="289"/>
      <c r="AJ1853" s="289"/>
      <c r="AK1853" s="289"/>
      <c r="AL1853" s="289"/>
    </row>
    <row r="1854" spans="1:42">
      <c r="B1854" s="501" t="str">
        <f>IF($C$1="ENG","glazing Graphite / Bronze","скло Графіт / Бронза")</f>
        <v>скло Графіт / Бронза</v>
      </c>
      <c r="C1854" s="502"/>
      <c r="D1854" s="102">
        <f t="shared" si="277"/>
        <v>766.66666666666674</v>
      </c>
      <c r="E1854" s="93">
        <f t="shared" si="278"/>
        <v>920.00000000000011</v>
      </c>
      <c r="F1854" s="26"/>
      <c r="G1854" s="141"/>
      <c r="AC1854" s="289">
        <v>920</v>
      </c>
      <c r="AD1854" s="289">
        <v>920</v>
      </c>
      <c r="AE1854" s="289">
        <f t="shared" ref="AE1854:AE1861" si="279">AD1854/AC1854-1</f>
        <v>0</v>
      </c>
      <c r="AF1854" s="289"/>
      <c r="AG1854" s="289"/>
      <c r="AH1854" s="289"/>
      <c r="AI1854" s="289"/>
      <c r="AJ1854" s="289"/>
      <c r="AK1854" s="289"/>
      <c r="AL1854" s="289"/>
    </row>
    <row r="1855" spans="1:42">
      <c r="B1855" s="501" t="str">
        <f>IF($C$1="ENG","door lock Soft","замок Soft")</f>
        <v>замок Soft</v>
      </c>
      <c r="C1855" s="502"/>
      <c r="D1855" s="102">
        <f t="shared" si="277"/>
        <v>466.66666666666669</v>
      </c>
      <c r="E1855" s="93">
        <f t="shared" si="278"/>
        <v>560</v>
      </c>
      <c r="F1855" s="26"/>
      <c r="G1855" s="26"/>
      <c r="H1855" s="5"/>
      <c r="AC1855" s="289">
        <v>560</v>
      </c>
      <c r="AD1855" s="289">
        <v>560</v>
      </c>
      <c r="AE1855" s="289">
        <f t="shared" si="279"/>
        <v>0</v>
      </c>
      <c r="AF1855" s="289"/>
      <c r="AG1855" s="289"/>
      <c r="AH1855" s="289"/>
      <c r="AI1855" s="289"/>
      <c r="AJ1855" s="289"/>
      <c r="AK1855" s="289"/>
      <c r="AL1855" s="289"/>
    </row>
    <row r="1856" spans="1:42">
      <c r="B1856" s="501" t="str">
        <f>IF($C$1="ENG","door lock Soft black","замок Soft чорн.")</f>
        <v>замок Soft чорн.</v>
      </c>
      <c r="C1856" s="502"/>
      <c r="D1856" s="102">
        <f t="shared" ref="D1856" si="280">IF(AC1856="","",(1-$W$2)*(AC1856/1.2))</f>
        <v>566.66666666666674</v>
      </c>
      <c r="E1856" s="93">
        <f t="shared" ref="E1856" si="281">IF($W$5=0.2,D1856*1.2,D1856)/$W$4</f>
        <v>680.00000000000011</v>
      </c>
      <c r="F1856" s="26"/>
      <c r="G1856" s="26"/>
      <c r="H1856" s="5"/>
      <c r="AC1856" s="289">
        <v>680</v>
      </c>
      <c r="AD1856" s="289"/>
      <c r="AE1856" s="289"/>
      <c r="AF1856" s="289"/>
      <c r="AG1856" s="289"/>
      <c r="AH1856" s="289"/>
      <c r="AI1856" s="289"/>
      <c r="AJ1856" s="289"/>
      <c r="AK1856" s="289"/>
      <c r="AL1856" s="289"/>
    </row>
    <row r="1857" spans="2:38">
      <c r="B1857" s="501" t="str">
        <f>IF($C$1="ENG","door lock Magnet","замок Magnet")</f>
        <v>замок Magnet</v>
      </c>
      <c r="C1857" s="502"/>
      <c r="D1857" s="102">
        <f t="shared" si="277"/>
        <v>666.66666666666674</v>
      </c>
      <c r="E1857" s="93">
        <f t="shared" si="278"/>
        <v>800.00000000000011</v>
      </c>
      <c r="F1857" s="26"/>
      <c r="G1857" s="26"/>
      <c r="H1857" s="5"/>
      <c r="AC1857" s="289">
        <v>800</v>
      </c>
      <c r="AD1857" s="289">
        <v>800</v>
      </c>
      <c r="AE1857" s="289">
        <f t="shared" si="279"/>
        <v>0</v>
      </c>
      <c r="AF1857" s="289"/>
      <c r="AG1857" s="289"/>
      <c r="AH1857" s="289"/>
      <c r="AI1857" s="289"/>
      <c r="AJ1857" s="289"/>
      <c r="AK1857" s="289"/>
      <c r="AL1857" s="289"/>
    </row>
    <row r="1858" spans="2:38">
      <c r="B1858" s="501" t="s">
        <v>76</v>
      </c>
      <c r="C1858" s="502"/>
      <c r="D1858" s="102">
        <f t="shared" ref="D1858" si="282">IF(AC1858="","",(1-$W$2)*(AC1858/1.2))</f>
        <v>833.33333333333337</v>
      </c>
      <c r="E1858" s="93">
        <f t="shared" ref="E1858" si="283">IF($W$5=0.2,D1858*1.2,D1858)/$W$4</f>
        <v>1000</v>
      </c>
      <c r="F1858" s="26"/>
      <c r="G1858" s="26"/>
      <c r="H1858" s="5"/>
      <c r="AC1858" s="289">
        <v>1000</v>
      </c>
      <c r="AD1858" s="289"/>
      <c r="AE1858" s="289"/>
      <c r="AF1858" s="289"/>
      <c r="AG1858" s="289"/>
      <c r="AH1858" s="289"/>
      <c r="AI1858" s="289"/>
      <c r="AJ1858" s="289"/>
      <c r="AK1858" s="289"/>
      <c r="AL1858" s="289"/>
    </row>
    <row r="1859" spans="2:38">
      <c r="B1859" s="501" t="str">
        <f>IF($C$1="ENG","cylinder incert","циліндр несиметричний")</f>
        <v>циліндр несиметричний</v>
      </c>
      <c r="C1859" s="502"/>
      <c r="D1859" s="133">
        <f t="shared" si="277"/>
        <v>325</v>
      </c>
      <c r="E1859" s="66">
        <f t="shared" si="278"/>
        <v>390</v>
      </c>
      <c r="F1859" s="26"/>
      <c r="G1859" s="26"/>
      <c r="AC1859" s="289">
        <v>390</v>
      </c>
      <c r="AD1859" s="289">
        <v>390</v>
      </c>
      <c r="AE1859" s="289">
        <f t="shared" si="279"/>
        <v>0</v>
      </c>
      <c r="AF1859" s="289"/>
      <c r="AG1859" s="289"/>
      <c r="AH1859" s="289"/>
      <c r="AI1859" s="289"/>
      <c r="AJ1859" s="289"/>
      <c r="AK1859" s="289"/>
      <c r="AL1859" s="289"/>
    </row>
    <row r="1860" spans="2:38">
      <c r="B1860" s="501" t="str">
        <f>IF($C$1="ENG","door hindge Prestige (1 unit)","завіса Prestige (1 шт)")</f>
        <v>завіса Prestige (1 шт)</v>
      </c>
      <c r="C1860" s="502"/>
      <c r="D1860" s="135">
        <f t="shared" si="277"/>
        <v>216.66666666666669</v>
      </c>
      <c r="E1860" s="66">
        <f t="shared" si="278"/>
        <v>260</v>
      </c>
      <c r="F1860" s="26"/>
      <c r="G1860" s="26"/>
      <c r="AC1860" s="289">
        <v>260</v>
      </c>
      <c r="AD1860" s="289">
        <v>260</v>
      </c>
      <c r="AE1860" s="289">
        <f t="shared" si="279"/>
        <v>0</v>
      </c>
      <c r="AF1860" s="289"/>
      <c r="AG1860" s="289"/>
      <c r="AH1860" s="289"/>
      <c r="AI1860" s="289"/>
      <c r="AJ1860" s="289"/>
      <c r="AK1860" s="289"/>
      <c r="AL1860" s="289"/>
    </row>
    <row r="1861" spans="2:38">
      <c r="B1861" s="501" t="str">
        <f>IF($C$1="ENG","door hinge caps (1 set)","накладка на завіси (1 к-т)")</f>
        <v>накладка на завіси (1 к-т)</v>
      </c>
      <c r="C1861" s="502"/>
      <c r="D1861" s="135">
        <f t="shared" si="277"/>
        <v>66.666666666666671</v>
      </c>
      <c r="E1861" s="66">
        <f t="shared" si="278"/>
        <v>80</v>
      </c>
      <c r="F1861" s="26"/>
      <c r="G1861" s="26"/>
      <c r="AC1861" s="289">
        <v>80</v>
      </c>
      <c r="AD1861" s="289">
        <v>80</v>
      </c>
      <c r="AE1861" s="289">
        <f t="shared" si="279"/>
        <v>0</v>
      </c>
      <c r="AF1861" s="289"/>
      <c r="AG1861" s="289"/>
      <c r="AH1861" s="289"/>
      <c r="AI1861" s="289"/>
      <c r="AJ1861" s="289"/>
      <c r="AK1861" s="289"/>
      <c r="AL1861" s="289"/>
    </row>
    <row r="1862" spans="2:38">
      <c r="B1862" s="501" t="str">
        <f>IF($C$1="ENG","door handle","дверна ручка")</f>
        <v>дверна ручка</v>
      </c>
      <c r="C1862" s="502"/>
      <c r="D1862" s="134" t="str">
        <f t="shared" si="277"/>
        <v/>
      </c>
      <c r="E1862" s="247" t="str">
        <f>IF($C$1="ENG","see Handles Price","див. Таблицю Ручки")</f>
        <v>див. Таблицю Ручки</v>
      </c>
      <c r="F1862" s="26"/>
      <c r="G1862" s="26"/>
      <c r="AC1862" s="289"/>
      <c r="AD1862" s="289"/>
      <c r="AE1862" s="289"/>
      <c r="AF1862" s="289"/>
      <c r="AG1862" s="289"/>
      <c r="AH1862" s="289"/>
      <c r="AI1862" s="289"/>
      <c r="AJ1862" s="289"/>
      <c r="AK1862" s="289"/>
      <c r="AL1862" s="289"/>
    </row>
    <row r="1863" spans="2:38" ht="14.25" customHeight="1">
      <c r="C1863" s="245"/>
      <c r="D1863" s="26"/>
      <c r="E1863" s="26"/>
      <c r="F1863" s="26"/>
      <c r="G1863" s="26"/>
      <c r="H1863" s="5"/>
      <c r="T1863" s="503" t="str">
        <f>IF($C$1="ENG",CONCATENATE("down to: ",B1913),CONCATENATE("вниз до: ",B1913))</f>
        <v>вниз до: Полотна скляні: ГЛАСФОРД</v>
      </c>
      <c r="U1863" s="503"/>
      <c r="V1863" s="503"/>
      <c r="W1863" s="503"/>
    </row>
    <row r="1864" spans="2:38" ht="14.25" customHeight="1">
      <c r="C1864" s="245"/>
      <c r="D1864" s="26"/>
      <c r="E1864" s="26"/>
      <c r="F1864" s="26"/>
      <c r="G1864" s="26"/>
      <c r="H1864" s="5"/>
    </row>
    <row r="1865" spans="2:38" ht="14.25" customHeight="1">
      <c r="C1865" s="245"/>
      <c r="D1865" s="26"/>
      <c r="E1865" s="26"/>
      <c r="F1865" s="26"/>
      <c r="G1865" s="26"/>
      <c r="H1865" s="5"/>
    </row>
    <row r="1866" spans="2:38" ht="14.25" customHeight="1">
      <c r="C1866" s="245"/>
      <c r="D1866" s="26"/>
      <c r="E1866" s="26"/>
      <c r="F1866" s="26"/>
      <c r="G1866" s="26"/>
      <c r="H1866" s="5"/>
    </row>
    <row r="1867" spans="2:38" ht="14.25" customHeight="1">
      <c r="C1867" s="245"/>
      <c r="D1867" s="26"/>
      <c r="E1867" s="26"/>
      <c r="F1867" s="26"/>
      <c r="G1867" s="26"/>
      <c r="H1867" s="5"/>
    </row>
    <row r="1868" spans="2:38" ht="14.25" customHeight="1">
      <c r="C1868" s="245"/>
      <c r="D1868" s="26"/>
      <c r="E1868" s="26"/>
      <c r="F1868" s="26"/>
      <c r="G1868" s="26"/>
      <c r="H1868" s="5"/>
    </row>
    <row r="1869" spans="2:38" ht="14.25" customHeight="1">
      <c r="C1869" s="245"/>
      <c r="D1869" s="26"/>
      <c r="E1869" s="26"/>
      <c r="F1869" s="26"/>
      <c r="G1869" s="26"/>
      <c r="H1869" s="5"/>
    </row>
    <row r="1870" spans="2:38" ht="14.25" customHeight="1">
      <c r="C1870" s="245"/>
      <c r="D1870" s="26"/>
      <c r="E1870" s="26"/>
      <c r="F1870" s="26"/>
      <c r="G1870" s="26"/>
      <c r="H1870" s="5"/>
    </row>
    <row r="1871" spans="2:38" ht="14.25" customHeight="1">
      <c r="C1871" s="245"/>
      <c r="D1871" s="26"/>
      <c r="E1871" s="26"/>
      <c r="F1871" s="26"/>
      <c r="G1871" s="26"/>
      <c r="H1871" s="5"/>
    </row>
    <row r="1872" spans="2:38" ht="14.25" customHeight="1">
      <c r="C1872" s="245"/>
      <c r="D1872" s="26"/>
      <c r="E1872" s="26"/>
      <c r="F1872" s="26"/>
      <c r="G1872" s="26"/>
      <c r="H1872" s="5"/>
    </row>
    <row r="1873" spans="3:8" ht="14.25" customHeight="1">
      <c r="C1873" s="245"/>
      <c r="D1873" s="26"/>
      <c r="E1873" s="26"/>
      <c r="F1873" s="26"/>
      <c r="G1873" s="26"/>
      <c r="H1873" s="5"/>
    </row>
    <row r="1874" spans="3:8" ht="14.25" customHeight="1">
      <c r="C1874" s="245"/>
      <c r="D1874" s="26"/>
      <c r="E1874" s="26"/>
      <c r="F1874" s="26"/>
      <c r="G1874" s="26"/>
      <c r="H1874" s="5"/>
    </row>
    <row r="1875" spans="3:8" ht="14.25" customHeight="1">
      <c r="C1875" s="245"/>
      <c r="D1875" s="26"/>
      <c r="E1875" s="26"/>
      <c r="F1875" s="26"/>
      <c r="G1875" s="26"/>
      <c r="H1875" s="5"/>
    </row>
    <row r="1876" spans="3:8" ht="14.25" customHeight="1">
      <c r="C1876" s="245"/>
      <c r="D1876" s="26"/>
      <c r="E1876" s="26"/>
      <c r="F1876" s="26"/>
      <c r="G1876" s="26"/>
      <c r="H1876" s="5"/>
    </row>
    <row r="1877" spans="3:8" ht="14.25" customHeight="1">
      <c r="C1877" s="245"/>
      <c r="D1877" s="26"/>
      <c r="E1877" s="26"/>
      <c r="F1877" s="26"/>
      <c r="G1877" s="26"/>
      <c r="H1877" s="5"/>
    </row>
    <row r="1878" spans="3:8" ht="14.25" customHeight="1">
      <c r="C1878" s="245"/>
      <c r="D1878" s="26"/>
      <c r="E1878" s="26"/>
      <c r="F1878" s="26"/>
      <c r="G1878" s="26"/>
      <c r="H1878" s="5"/>
    </row>
    <row r="1879" spans="3:8" ht="14.25" customHeight="1">
      <c r="C1879" s="245"/>
      <c r="D1879" s="26"/>
      <c r="E1879" s="26"/>
      <c r="F1879" s="26"/>
      <c r="G1879" s="26"/>
      <c r="H1879" s="5"/>
    </row>
    <row r="1880" spans="3:8" ht="14.25" customHeight="1">
      <c r="C1880" s="245"/>
      <c r="D1880" s="26"/>
      <c r="E1880" s="26"/>
      <c r="F1880" s="26"/>
      <c r="G1880" s="26"/>
      <c r="H1880" s="5"/>
    </row>
    <row r="1881" spans="3:8" ht="14.25" customHeight="1">
      <c r="C1881" s="245"/>
      <c r="D1881" s="26"/>
      <c r="E1881" s="26"/>
      <c r="F1881" s="26"/>
      <c r="G1881" s="26"/>
      <c r="H1881" s="5"/>
    </row>
    <row r="1882" spans="3:8" ht="14.25" customHeight="1">
      <c r="C1882" s="245"/>
      <c r="D1882" s="26"/>
      <c r="E1882" s="26"/>
      <c r="F1882" s="26"/>
      <c r="G1882" s="26"/>
      <c r="H1882" s="5"/>
    </row>
    <row r="1883" spans="3:8" ht="14.25" customHeight="1">
      <c r="C1883" s="245"/>
      <c r="D1883" s="26"/>
      <c r="E1883" s="26"/>
      <c r="F1883" s="26"/>
      <c r="G1883" s="26"/>
      <c r="H1883" s="5"/>
    </row>
    <row r="1884" spans="3:8" ht="14.25" customHeight="1">
      <c r="C1884" s="245"/>
      <c r="D1884" s="26"/>
      <c r="E1884" s="26"/>
      <c r="F1884" s="26"/>
      <c r="G1884" s="26"/>
      <c r="H1884" s="5"/>
    </row>
    <row r="1885" spans="3:8" ht="14.25" customHeight="1">
      <c r="C1885" s="245"/>
      <c r="D1885" s="26"/>
      <c r="E1885" s="26"/>
      <c r="F1885" s="26"/>
      <c r="G1885" s="26"/>
      <c r="H1885" s="5"/>
    </row>
    <row r="1886" spans="3:8" ht="14.25" customHeight="1">
      <c r="C1886" s="245"/>
      <c r="D1886" s="26"/>
      <c r="E1886" s="26"/>
      <c r="F1886" s="26"/>
      <c r="G1886" s="26"/>
      <c r="H1886" s="5"/>
    </row>
    <row r="1887" spans="3:8" ht="14.25" customHeight="1">
      <c r="C1887" s="245"/>
      <c r="D1887" s="26"/>
      <c r="E1887" s="26"/>
      <c r="F1887" s="26"/>
      <c r="G1887" s="26"/>
      <c r="H1887" s="5"/>
    </row>
    <row r="1888" spans="3:8" ht="14.25" customHeight="1">
      <c r="C1888" s="245"/>
      <c r="D1888" s="26"/>
      <c r="E1888" s="26"/>
      <c r="F1888" s="26"/>
      <c r="G1888" s="26"/>
      <c r="H1888" s="5"/>
    </row>
    <row r="1889" spans="3:8" ht="14.25" customHeight="1">
      <c r="C1889" s="245"/>
      <c r="D1889" s="26"/>
      <c r="E1889" s="26"/>
      <c r="F1889" s="26"/>
      <c r="G1889" s="26"/>
      <c r="H1889" s="5"/>
    </row>
    <row r="1890" spans="3:8" ht="14.25" customHeight="1">
      <c r="C1890" s="245"/>
      <c r="D1890" s="26"/>
      <c r="E1890" s="26"/>
      <c r="F1890" s="26"/>
      <c r="G1890" s="26"/>
      <c r="H1890" s="5"/>
    </row>
    <row r="1891" spans="3:8" ht="14.25" customHeight="1">
      <c r="C1891" s="245"/>
      <c r="D1891" s="26"/>
      <c r="E1891" s="26"/>
      <c r="F1891" s="26"/>
      <c r="G1891" s="26"/>
      <c r="H1891" s="5"/>
    </row>
    <row r="1892" spans="3:8" ht="14.25" customHeight="1">
      <c r="C1892" s="245"/>
      <c r="D1892" s="26"/>
      <c r="E1892" s="26"/>
      <c r="F1892" s="26"/>
      <c r="G1892" s="26"/>
      <c r="H1892" s="5"/>
    </row>
    <row r="1893" spans="3:8" ht="14.25" customHeight="1">
      <c r="C1893" s="245"/>
      <c r="D1893" s="26"/>
      <c r="E1893" s="26"/>
      <c r="F1893" s="26"/>
      <c r="G1893" s="26"/>
      <c r="H1893" s="5"/>
    </row>
    <row r="1894" spans="3:8" ht="14.25" customHeight="1">
      <c r="C1894" s="245"/>
      <c r="D1894" s="26"/>
      <c r="E1894" s="26"/>
      <c r="F1894" s="26"/>
      <c r="G1894" s="26"/>
      <c r="H1894" s="5"/>
    </row>
    <row r="1895" spans="3:8" ht="14.25" customHeight="1">
      <c r="C1895" s="245"/>
      <c r="D1895" s="26"/>
      <c r="E1895" s="26"/>
      <c r="F1895" s="26"/>
      <c r="G1895" s="26"/>
      <c r="H1895" s="5"/>
    </row>
    <row r="1896" spans="3:8" ht="14.25" customHeight="1">
      <c r="C1896" s="245"/>
      <c r="D1896" s="26"/>
      <c r="E1896" s="26"/>
      <c r="F1896" s="26"/>
      <c r="G1896" s="26"/>
      <c r="H1896" s="5"/>
    </row>
    <row r="1897" spans="3:8" ht="14.25" customHeight="1">
      <c r="C1897" s="245"/>
      <c r="D1897" s="26"/>
      <c r="E1897" s="26"/>
      <c r="F1897" s="26"/>
      <c r="G1897" s="26"/>
      <c r="H1897" s="5"/>
    </row>
    <row r="1898" spans="3:8" ht="14.25" customHeight="1">
      <c r="C1898" s="245"/>
      <c r="D1898" s="26"/>
      <c r="E1898" s="26"/>
      <c r="F1898" s="26"/>
      <c r="G1898" s="26"/>
      <c r="H1898" s="5"/>
    </row>
    <row r="1899" spans="3:8" ht="14.25" customHeight="1">
      <c r="C1899" s="245"/>
      <c r="D1899" s="26"/>
      <c r="E1899" s="26"/>
      <c r="F1899" s="26"/>
      <c r="G1899" s="26"/>
      <c r="H1899" s="5"/>
    </row>
    <row r="1900" spans="3:8" ht="14.25" customHeight="1">
      <c r="C1900" s="245"/>
      <c r="D1900" s="26"/>
      <c r="E1900" s="26"/>
      <c r="F1900" s="26"/>
      <c r="G1900" s="26"/>
      <c r="H1900" s="5"/>
    </row>
    <row r="1901" spans="3:8" ht="14.25" customHeight="1">
      <c r="C1901" s="245"/>
      <c r="D1901" s="26"/>
      <c r="E1901" s="26"/>
      <c r="F1901" s="26"/>
      <c r="G1901" s="26"/>
      <c r="H1901" s="5"/>
    </row>
    <row r="1902" spans="3:8" ht="14.25" customHeight="1">
      <c r="C1902" s="245"/>
      <c r="D1902" s="26"/>
      <c r="E1902" s="26"/>
      <c r="F1902" s="26"/>
      <c r="G1902" s="26"/>
      <c r="H1902" s="5"/>
    </row>
    <row r="1903" spans="3:8" ht="14.25" customHeight="1">
      <c r="C1903" s="245"/>
      <c r="D1903" s="26"/>
      <c r="E1903" s="26"/>
      <c r="F1903" s="26"/>
      <c r="G1903" s="26"/>
      <c r="H1903" s="5"/>
    </row>
    <row r="1904" spans="3:8" ht="14.25" customHeight="1">
      <c r="C1904" s="245"/>
      <c r="D1904" s="26"/>
      <c r="E1904" s="26"/>
      <c r="F1904" s="26"/>
      <c r="G1904" s="26"/>
      <c r="H1904" s="5"/>
    </row>
    <row r="1905" spans="1:46" ht="14.25" customHeight="1">
      <c r="C1905" s="245"/>
      <c r="D1905" s="26"/>
      <c r="E1905" s="26"/>
      <c r="F1905" s="26"/>
      <c r="G1905" s="26"/>
      <c r="H1905" s="5"/>
    </row>
    <row r="1906" spans="1:46" ht="14.25" customHeight="1">
      <c r="C1906" s="245"/>
      <c r="D1906" s="26"/>
      <c r="E1906" s="26"/>
      <c r="F1906" s="26"/>
      <c r="G1906" s="26"/>
      <c r="H1906" s="5"/>
    </row>
    <row r="1907" spans="1:46" ht="14.25" customHeight="1">
      <c r="C1907" s="245"/>
      <c r="D1907" s="26"/>
      <c r="E1907" s="26"/>
      <c r="F1907" s="26"/>
      <c r="G1907" s="26"/>
      <c r="H1907" s="5"/>
    </row>
    <row r="1908" spans="1:46" ht="14.25" customHeight="1">
      <c r="C1908" s="245"/>
      <c r="D1908" s="26"/>
      <c r="E1908" s="26"/>
      <c r="F1908" s="26"/>
      <c r="G1908" s="26"/>
      <c r="H1908" s="5"/>
    </row>
    <row r="1909" spans="1:46" ht="14.25" customHeight="1">
      <c r="C1909" s="245"/>
      <c r="D1909" s="26"/>
      <c r="E1909" s="26"/>
      <c r="F1909" s="26"/>
      <c r="G1909" s="26"/>
      <c r="H1909" s="5"/>
    </row>
    <row r="1910" spans="1:46" ht="14.25" customHeight="1">
      <c r="C1910" s="245"/>
      <c r="D1910" s="26"/>
      <c r="E1910" s="26"/>
      <c r="F1910" s="26"/>
      <c r="G1910" s="26"/>
      <c r="H1910" s="5"/>
    </row>
    <row r="1911" spans="1:46" ht="14.25" customHeight="1">
      <c r="C1911" s="245"/>
      <c r="D1911" s="26"/>
      <c r="E1911" s="26"/>
      <c r="F1911" s="26"/>
      <c r="G1911" s="26"/>
      <c r="H1911" s="5"/>
    </row>
    <row r="1912" spans="1:46" ht="14.25" customHeight="1">
      <c r="C1912" s="245"/>
      <c r="D1912" s="26"/>
      <c r="E1912" s="26"/>
      <c r="F1912" s="26"/>
      <c r="G1912" s="26"/>
      <c r="H1912" s="5"/>
    </row>
    <row r="1913" spans="1:46" s="8" customFormat="1">
      <c r="B1913" s="494" t="str">
        <f>TITLE!$C$34</f>
        <v>Полотна скляні: ГЛАСФОРД</v>
      </c>
      <c r="C1913" s="494"/>
      <c r="D1913" s="118"/>
      <c r="E1913" s="118"/>
      <c r="F1913" s="118"/>
      <c r="G1913" s="118"/>
      <c r="H1913" s="118"/>
      <c r="I1913" s="121"/>
      <c r="J1913" s="121"/>
      <c r="K1913" s="121"/>
      <c r="L1913" s="121"/>
      <c r="M1913" s="121"/>
      <c r="N1913" s="121"/>
      <c r="O1913" s="121"/>
      <c r="P1913" s="121"/>
      <c r="Q1913" s="121"/>
      <c r="R1913" s="121"/>
      <c r="S1913" s="121"/>
      <c r="T1913" s="517" t="str">
        <f>IF($C$1="ENG",CONCATENATE("up to: ",B1838),CONCATENATE("вгору до: ",B1838))</f>
        <v>вгору до: Полотна скляні: ЕЛЕГАНТ</v>
      </c>
      <c r="U1913" s="517"/>
      <c r="V1913" s="517"/>
      <c r="W1913" s="517"/>
      <c r="AE1913" s="289">
        <f>AD1913/100*12+AD1913</f>
        <v>0</v>
      </c>
      <c r="AF1913" s="289" t="e">
        <f>AE1913/AD1913-1</f>
        <v>#DIV/0!</v>
      </c>
      <c r="AN1913" s="280"/>
      <c r="AO1913" s="280"/>
      <c r="AP1913" s="280"/>
      <c r="AQ1913" s="280"/>
      <c r="AR1913" s="280"/>
      <c r="AS1913" s="280"/>
      <c r="AT1913" s="280"/>
    </row>
    <row r="1914" spans="1:46" s="8" customFormat="1" ht="5.0999999999999996" customHeight="1">
      <c r="C1914" s="424"/>
      <c r="T1914" s="115"/>
      <c r="U1914" s="115"/>
      <c r="V1914" s="115"/>
      <c r="W1914" s="115"/>
      <c r="AN1914" s="280"/>
      <c r="AO1914" s="280"/>
      <c r="AP1914" s="280"/>
      <c r="AQ1914" s="280"/>
      <c r="AR1914" s="280"/>
      <c r="AS1914" s="280"/>
      <c r="AT1914" s="280"/>
    </row>
    <row r="1915" spans="1:46" ht="12.75" customHeight="1">
      <c r="A1915" s="8"/>
      <c r="B1915" s="509" t="str">
        <f>IF($C$1="ENG","model","модель")</f>
        <v>модель</v>
      </c>
      <c r="C1915" s="122" t="str">
        <f>IF($C$1="ENG","cover:","покриття:")</f>
        <v>покриття:</v>
      </c>
      <c r="D1915" s="498" t="str">
        <f>IF($C$1="ENG","GLASS","СКЛО")</f>
        <v>СКЛО</v>
      </c>
      <c r="E1915" s="500"/>
      <c r="F1915" s="10"/>
      <c r="G1915" s="10"/>
      <c r="H1915" s="10"/>
      <c r="I1915" s="8"/>
      <c r="J1915" s="8"/>
      <c r="K1915" s="8"/>
      <c r="L1915" s="8"/>
      <c r="M1915" s="11"/>
      <c r="P1915" s="8"/>
      <c r="Q1915" s="11"/>
    </row>
    <row r="1916" spans="1:46" ht="12.75" customHeight="1">
      <c r="A1916" s="8"/>
      <c r="B1916" s="510"/>
      <c r="C1916" s="123" t="str">
        <f>IF($C$1="ENG","filling:","заповнення:")</f>
        <v>заповнення:</v>
      </c>
      <c r="D1916" s="505" t="str">
        <f>IF($C$1="ENG","tempered glass","гартоване скло")</f>
        <v>гартоване скло</v>
      </c>
      <c r="E1916" s="506"/>
      <c r="F1916" s="10"/>
      <c r="G1916" s="10"/>
      <c r="H1916" s="10"/>
      <c r="I1916" s="8"/>
      <c r="J1916" s="8"/>
      <c r="K1916" s="8"/>
      <c r="L1916" s="8"/>
      <c r="M1916" s="11"/>
      <c r="P1916" s="8"/>
      <c r="Q1916" s="11"/>
    </row>
    <row r="1917" spans="1:46">
      <c r="A1917" s="8"/>
      <c r="B1917" s="511"/>
      <c r="C1917" s="124" t="str">
        <f>IF($C$1="ENG","glazing:","скління:")</f>
        <v>скління:</v>
      </c>
      <c r="D1917" s="489" t="str">
        <f>IF($C$1="ENG","Drawing / Satin (1)","Малюнок / Сатин (1)")</f>
        <v>Малюнок / Сатин (1)</v>
      </c>
      <c r="E1917" s="492"/>
      <c r="F1917" s="10"/>
      <c r="G1917" s="10"/>
      <c r="H1917" s="10"/>
      <c r="I1917" s="8"/>
      <c r="J1917" s="8"/>
      <c r="K1917" s="8"/>
      <c r="L1917" s="40"/>
      <c r="M1917" s="41"/>
      <c r="N1917" s="19"/>
      <c r="O1917" s="19"/>
      <c r="P1917" s="40"/>
      <c r="Q1917" s="41"/>
      <c r="R1917" s="19"/>
      <c r="S1917" s="19"/>
      <c r="T1917" s="42"/>
      <c r="U1917" s="30"/>
      <c r="W1917" s="20"/>
      <c r="X1917" s="22"/>
      <c r="Y1917" s="22"/>
      <c r="Z1917" s="22"/>
      <c r="AA1917" s="22"/>
      <c r="AB1917" s="22"/>
    </row>
    <row r="1918" spans="1:46" ht="35.1" customHeight="1">
      <c r="A1918" s="8"/>
      <c r="B1918" s="13">
        <v>1</v>
      </c>
      <c r="C1918" s="14"/>
      <c r="D1918" s="15">
        <f>IF(AC1918="","",(1-$W$2)*(AC1918/1.2))</f>
        <v>13750</v>
      </c>
      <c r="E1918" s="64">
        <f>IF($W$5=0.2,D1918*1.2,D1918)/$W$4</f>
        <v>16500</v>
      </c>
      <c r="F1918" s="10"/>
      <c r="G1918" s="10"/>
      <c r="H1918" s="10"/>
      <c r="I1918" s="45"/>
      <c r="J1918" s="8"/>
      <c r="K1918" s="43"/>
      <c r="L1918" s="8"/>
      <c r="M1918" s="44"/>
      <c r="N1918" s="19"/>
      <c r="O1918" s="11"/>
      <c r="P1918" s="8"/>
      <c r="Q1918" s="44"/>
      <c r="R1918" s="19"/>
      <c r="S1918" s="11"/>
      <c r="T1918" s="42"/>
      <c r="U1918" s="30"/>
      <c r="W1918" s="20"/>
      <c r="AC1918" s="332">
        <v>16500</v>
      </c>
      <c r="AD1918" s="289">
        <v>16500</v>
      </c>
      <c r="AE1918" s="289">
        <f>AD1918/AC1918-1</f>
        <v>0</v>
      </c>
      <c r="AF1918" s="289"/>
      <c r="AG1918" s="289"/>
      <c r="AH1918" s="289"/>
      <c r="AI1918" s="289"/>
      <c r="AJ1918" s="289"/>
      <c r="AK1918" s="289"/>
      <c r="AL1918" s="289"/>
    </row>
    <row r="1919" spans="1:46" ht="35.1" customHeight="1">
      <c r="A1919" s="8"/>
      <c r="B1919" s="16">
        <v>2</v>
      </c>
      <c r="C1919" s="17"/>
      <c r="D1919" s="18">
        <f>IF(AC1919="","",(1-$W$2)*(AC1919/1.2))</f>
        <v>14375</v>
      </c>
      <c r="E1919" s="66">
        <f>IF($W$5=0.2,D1919*1.2,D1919)/$W$4</f>
        <v>17250</v>
      </c>
      <c r="F1919" s="10"/>
      <c r="G1919" s="10"/>
      <c r="H1919" s="10"/>
      <c r="I1919" s="45"/>
      <c r="J1919" s="8"/>
      <c r="K1919" s="43"/>
      <c r="L1919" s="8"/>
      <c r="M1919" s="41"/>
      <c r="N1919" s="19"/>
      <c r="O1919" s="11"/>
      <c r="P1919" s="8"/>
      <c r="Q1919" s="41"/>
      <c r="R1919" s="19"/>
      <c r="S1919" s="11"/>
      <c r="T1919" s="42"/>
      <c r="U1919" s="30"/>
      <c r="W1919" s="20"/>
      <c r="AC1919" s="332">
        <v>17250</v>
      </c>
      <c r="AD1919" s="289">
        <v>17250</v>
      </c>
      <c r="AE1919" s="289">
        <f t="shared" ref="AE1919:AE1922" si="284">AD1919/AC1919-1</f>
        <v>0</v>
      </c>
      <c r="AF1919" s="289"/>
      <c r="AG1919" s="289"/>
      <c r="AH1919" s="289"/>
      <c r="AI1919" s="289"/>
      <c r="AJ1919" s="289"/>
      <c r="AK1919" s="289"/>
      <c r="AL1919" s="289"/>
    </row>
    <row r="1920" spans="1:46" ht="35.1" customHeight="1">
      <c r="A1920" s="8"/>
      <c r="B1920" s="16">
        <v>3</v>
      </c>
      <c r="C1920" s="17"/>
      <c r="D1920" s="18">
        <f>IF(AC1920="","",(1-$W$2)*(AC1920/1.2))</f>
        <v>14375</v>
      </c>
      <c r="E1920" s="66">
        <f>IF($W$5=0.2,D1920*1.2,D1920)/$W$4</f>
        <v>17250</v>
      </c>
      <c r="F1920" s="10"/>
      <c r="G1920" s="10"/>
      <c r="H1920" s="10"/>
      <c r="I1920" s="45"/>
      <c r="J1920" s="8"/>
      <c r="K1920" s="8"/>
      <c r="L1920" s="8"/>
      <c r="M1920" s="41"/>
      <c r="N1920" s="19"/>
      <c r="O1920" s="11"/>
      <c r="P1920" s="8"/>
      <c r="Q1920" s="41"/>
      <c r="R1920" s="19"/>
      <c r="S1920" s="11"/>
      <c r="T1920" s="42"/>
      <c r="U1920" s="30"/>
      <c r="W1920" s="20"/>
      <c r="AC1920" s="332">
        <v>17250</v>
      </c>
      <c r="AD1920" s="289">
        <v>17250</v>
      </c>
      <c r="AE1920" s="289">
        <f t="shared" si="284"/>
        <v>0</v>
      </c>
      <c r="AF1920" s="289"/>
      <c r="AG1920" s="289"/>
      <c r="AH1920" s="289"/>
      <c r="AI1920" s="289"/>
      <c r="AJ1920" s="289"/>
      <c r="AK1920" s="289"/>
      <c r="AL1920" s="289"/>
    </row>
    <row r="1921" spans="1:38" ht="35.1" customHeight="1">
      <c r="A1921" s="8"/>
      <c r="B1921" s="16">
        <v>4</v>
      </c>
      <c r="C1921" s="17"/>
      <c r="D1921" s="18">
        <f>IF(AC1921="","",(1-$W$2)*(AC1921/1.2))</f>
        <v>14375</v>
      </c>
      <c r="E1921" s="66">
        <f>IF($W$5=0.2,D1921*1.2,D1921)/$W$4</f>
        <v>17250</v>
      </c>
      <c r="F1921" s="10"/>
      <c r="G1921" s="10"/>
      <c r="H1921" s="10"/>
      <c r="I1921" s="45"/>
      <c r="J1921" s="8"/>
      <c r="K1921" s="8"/>
      <c r="L1921" s="8"/>
      <c r="M1921" s="41"/>
      <c r="N1921" s="19"/>
      <c r="O1921" s="11"/>
      <c r="P1921" s="8"/>
      <c r="Q1921" s="41"/>
      <c r="R1921" s="19"/>
      <c r="S1921" s="11"/>
      <c r="T1921" s="42"/>
      <c r="U1921" s="30"/>
      <c r="W1921" s="20"/>
      <c r="AC1921" s="332">
        <v>17250</v>
      </c>
      <c r="AD1921" s="289">
        <v>17250</v>
      </c>
      <c r="AE1921" s="289">
        <f t="shared" si="284"/>
        <v>0</v>
      </c>
      <c r="AF1921" s="289"/>
      <c r="AG1921" s="289"/>
      <c r="AH1921" s="289"/>
      <c r="AI1921" s="289"/>
      <c r="AJ1921" s="289"/>
      <c r="AK1921" s="289"/>
      <c r="AL1921" s="289"/>
    </row>
    <row r="1922" spans="1:38" ht="34.5" customHeight="1">
      <c r="B1922" s="23">
        <v>5</v>
      </c>
      <c r="C1922" s="24"/>
      <c r="D1922" s="25">
        <f>IF(AC1922="","",(1-$W$2)*(AC1922/1.2))</f>
        <v>14375</v>
      </c>
      <c r="E1922" s="69">
        <f>IF($W$5=0.2,D1922*1.2,D1922)/$W$4</f>
        <v>17250</v>
      </c>
      <c r="F1922" s="10"/>
      <c r="G1922" s="10"/>
      <c r="H1922" s="10"/>
      <c r="I1922" s="45"/>
      <c r="J1922" s="8"/>
      <c r="K1922" s="8"/>
      <c r="L1922" s="8"/>
      <c r="P1922" s="8"/>
      <c r="AC1922" s="332">
        <v>17250</v>
      </c>
      <c r="AD1922" s="289">
        <v>17250</v>
      </c>
      <c r="AE1922" s="289">
        <f t="shared" si="284"/>
        <v>0</v>
      </c>
      <c r="AF1922" s="289"/>
      <c r="AG1922" s="289"/>
      <c r="AH1922" s="289"/>
      <c r="AI1922" s="289"/>
      <c r="AJ1922" s="289"/>
      <c r="AK1922" s="289"/>
      <c r="AL1922" s="289"/>
    </row>
    <row r="1923" spans="1:38">
      <c r="C1923" s="245"/>
      <c r="D1923" s="26"/>
      <c r="E1923" s="57"/>
      <c r="F1923" s="10"/>
      <c r="G1923" s="10"/>
      <c r="H1923" s="10"/>
      <c r="I1923" s="8"/>
      <c r="J1923" s="8"/>
      <c r="K1923" s="8"/>
      <c r="L1923" s="8"/>
      <c r="P1923" s="8"/>
    </row>
    <row r="1924" spans="1:38" ht="12.75" customHeight="1">
      <c r="B1924" s="212" t="str">
        <f>IF($C$1="ENG","For additonal charge:","Послуги за додаткову плату:")</f>
        <v>Послуги за додаткову плату:</v>
      </c>
      <c r="C1924" s="421"/>
      <c r="D1924" s="213"/>
      <c r="E1924" s="214"/>
      <c r="F1924" s="39"/>
      <c r="G1924" s="39"/>
      <c r="H1924" s="10"/>
      <c r="I1924" s="8"/>
      <c r="J1924" s="8"/>
      <c r="K1924" s="8"/>
    </row>
    <row r="1925" spans="1:38" ht="4.5" customHeight="1">
      <c r="B1925" s="27"/>
      <c r="C1925" s="245"/>
      <c r="D1925" s="26"/>
      <c r="E1925" s="57"/>
      <c r="F1925" s="26"/>
      <c r="G1925" s="26"/>
      <c r="H1925" s="10"/>
      <c r="I1925" s="8"/>
      <c r="J1925" s="8"/>
      <c r="K1925" s="8"/>
    </row>
    <row r="1926" spans="1:38">
      <c r="B1926" s="514" t="str">
        <f>IF($C$1="ENG","door leaf with width 100","полотно розміром 100")</f>
        <v>полотно розміром 100</v>
      </c>
      <c r="C1926" s="515"/>
      <c r="D1926" s="101">
        <f t="shared" ref="D1926:D1931" si="285">IF(AC1926="","",(1-$W$2)*(AC1926/1.2))</f>
        <v>2750</v>
      </c>
      <c r="E1926" s="64">
        <f t="shared" ref="E1926:E1931" si="286">IF($W$5=0.2,D1926*1.2,D1926)/$W$4</f>
        <v>3300</v>
      </c>
      <c r="F1926" s="26"/>
      <c r="G1926" s="26"/>
      <c r="H1926" s="10"/>
      <c r="I1926" s="8"/>
      <c r="J1926" s="8"/>
      <c r="K1926" s="8"/>
      <c r="AC1926" s="298">
        <v>3300</v>
      </c>
      <c r="AD1926" s="289">
        <v>3300</v>
      </c>
      <c r="AE1926" s="289">
        <f>AD1926/AC1926-1</f>
        <v>0</v>
      </c>
      <c r="AF1926" s="289"/>
      <c r="AG1926" s="289"/>
      <c r="AH1926" s="289"/>
      <c r="AI1926" s="289"/>
      <c r="AJ1926" s="289"/>
      <c r="AK1926" s="289"/>
      <c r="AL1926" s="289"/>
    </row>
    <row r="1927" spans="1:38">
      <c r="B1927" s="501" t="str">
        <f>IF($C$1="ENG","glazing Triplex mat / black","скло Триплекс матовий / чорний")</f>
        <v>скло Триплекс матовий / чорний</v>
      </c>
      <c r="C1927" s="502"/>
      <c r="D1927" s="102">
        <f t="shared" si="285"/>
        <v>1725</v>
      </c>
      <c r="E1927" s="66">
        <f t="shared" si="286"/>
        <v>2070</v>
      </c>
      <c r="F1927" s="26"/>
      <c r="G1927" s="26"/>
      <c r="I1927" s="11"/>
      <c r="J1927" s="11"/>
      <c r="K1927" s="19"/>
      <c r="AC1927" s="298">
        <v>2070</v>
      </c>
      <c r="AD1927" s="289">
        <v>2070</v>
      </c>
      <c r="AE1927" s="289">
        <f>AD1927/AC1927-1</f>
        <v>0</v>
      </c>
      <c r="AF1927" s="289"/>
      <c r="AG1927" s="289"/>
      <c r="AH1927" s="289"/>
      <c r="AI1927" s="289"/>
      <c r="AJ1927" s="289"/>
      <c r="AK1927" s="289"/>
      <c r="AL1927" s="289"/>
    </row>
    <row r="1928" spans="1:38">
      <c r="B1928" s="501" t="str">
        <f>IF($C$1="ENG","glazing Graphite / Bronze","скло Графіт / Бронза")</f>
        <v>скло Графіт / Бронза</v>
      </c>
      <c r="C1928" s="502"/>
      <c r="D1928" s="102">
        <f t="shared" si="285"/>
        <v>1375</v>
      </c>
      <c r="E1928" s="66">
        <f t="shared" si="286"/>
        <v>1650</v>
      </c>
      <c r="F1928" s="26"/>
      <c r="G1928" s="26"/>
      <c r="AC1928" s="298">
        <v>1650</v>
      </c>
      <c r="AD1928" s="289">
        <v>1650</v>
      </c>
      <c r="AE1928" s="289">
        <f t="shared" ref="AE1928:AE1931" si="287">AD1928/AC1928-1</f>
        <v>0</v>
      </c>
      <c r="AF1928" s="289"/>
      <c r="AG1928" s="289"/>
      <c r="AH1928" s="289"/>
      <c r="AI1928" s="289"/>
      <c r="AJ1928" s="289"/>
      <c r="AK1928" s="289"/>
      <c r="AL1928" s="289"/>
    </row>
    <row r="1929" spans="1:38">
      <c r="B1929" s="501" t="str">
        <f>IF($C$1="ENG","glazing Mirror","скло Дзеркало")</f>
        <v>скло Дзеркало</v>
      </c>
      <c r="C1929" s="502"/>
      <c r="D1929" s="102">
        <f t="shared" si="285"/>
        <v>4500</v>
      </c>
      <c r="E1929" s="66">
        <f t="shared" si="286"/>
        <v>5400</v>
      </c>
      <c r="F1929" s="26"/>
      <c r="G1929" s="26"/>
      <c r="AC1929" s="298">
        <v>5400</v>
      </c>
      <c r="AD1929" s="289">
        <v>5400</v>
      </c>
      <c r="AE1929" s="289">
        <f t="shared" si="287"/>
        <v>0</v>
      </c>
      <c r="AF1929" s="289"/>
      <c r="AG1929" s="289"/>
      <c r="AH1929" s="289"/>
      <c r="AI1929" s="289"/>
      <c r="AJ1929" s="289"/>
      <c r="AK1929" s="289"/>
      <c r="AL1929" s="289"/>
    </row>
    <row r="1930" spans="1:38">
      <c r="B1930" s="501" t="str">
        <f>IF($C$1="ENG","door lock Glass regular key / cylinder","замок Glass під ключ / циліндр")</f>
        <v>замок Glass під ключ / циліндр</v>
      </c>
      <c r="C1930" s="502"/>
      <c r="D1930" s="18">
        <f t="shared" si="285"/>
        <v>1033.3333333333335</v>
      </c>
      <c r="E1930" s="66">
        <f t="shared" si="286"/>
        <v>1240.0000000000002</v>
      </c>
      <c r="F1930" s="26"/>
      <c r="G1930" s="26"/>
      <c r="AC1930" s="298">
        <v>1240</v>
      </c>
      <c r="AD1930" s="289">
        <v>1240</v>
      </c>
      <c r="AE1930" s="289">
        <f t="shared" si="287"/>
        <v>0</v>
      </c>
      <c r="AF1930" s="289"/>
      <c r="AG1930" s="289"/>
      <c r="AH1930" s="289"/>
      <c r="AI1930" s="289"/>
      <c r="AJ1930" s="289"/>
      <c r="AK1930" s="289"/>
      <c r="AL1930" s="289"/>
    </row>
    <row r="1931" spans="1:38" ht="14.25" customHeight="1">
      <c r="B1931" s="501" t="str">
        <f>IF($C$1="ENG","door lock Glass bathroom lock","замок Glass сантехнічний")</f>
        <v>замок Glass сантехнічний</v>
      </c>
      <c r="C1931" s="502"/>
      <c r="D1931" s="25">
        <f t="shared" si="285"/>
        <v>2450</v>
      </c>
      <c r="E1931" s="69">
        <f t="shared" si="286"/>
        <v>2940</v>
      </c>
      <c r="F1931" s="141"/>
      <c r="G1931" s="26"/>
      <c r="T1931" s="503" t="str">
        <f>IF($C$1="ENG",CONCATENATE("down to: ",B1981),CONCATENATE("вниз до: ",B1981))</f>
        <v>вниз до: Полотна: ДОБОР LADA</v>
      </c>
      <c r="U1931" s="503"/>
      <c r="V1931" s="503"/>
      <c r="W1931" s="503"/>
      <c r="AC1931" s="298">
        <v>2940</v>
      </c>
      <c r="AD1931" s="289">
        <v>2940</v>
      </c>
      <c r="AE1931" s="289">
        <f t="shared" si="287"/>
        <v>0</v>
      </c>
      <c r="AF1931" s="289"/>
      <c r="AG1931" s="289"/>
      <c r="AH1931" s="289"/>
      <c r="AI1931" s="289"/>
      <c r="AJ1931" s="289"/>
      <c r="AK1931" s="289"/>
      <c r="AL1931" s="289"/>
    </row>
    <row r="1932" spans="1:38" ht="14.25" customHeight="1">
      <c r="C1932" s="245"/>
      <c r="D1932" s="26"/>
      <c r="E1932" s="26"/>
      <c r="F1932" s="26"/>
      <c r="G1932" s="26"/>
      <c r="H1932" s="5"/>
    </row>
    <row r="1933" spans="1:38" ht="14.25" customHeight="1">
      <c r="C1933" s="245"/>
      <c r="D1933" s="26"/>
      <c r="E1933" s="26"/>
      <c r="F1933" s="26"/>
      <c r="G1933" s="26"/>
      <c r="H1933" s="5"/>
    </row>
    <row r="1934" spans="1:38" ht="14.25" customHeight="1">
      <c r="C1934" s="245"/>
      <c r="D1934" s="26"/>
      <c r="E1934" s="26"/>
      <c r="F1934" s="26"/>
      <c r="G1934" s="26"/>
      <c r="H1934" s="5"/>
    </row>
    <row r="1935" spans="1:38" ht="14.25" customHeight="1">
      <c r="C1935" s="245"/>
      <c r="D1935" s="26"/>
      <c r="E1935" s="26"/>
      <c r="F1935" s="26"/>
      <c r="G1935" s="26"/>
      <c r="H1935" s="5"/>
    </row>
    <row r="1936" spans="1:38" ht="14.25" customHeight="1">
      <c r="C1936" s="245"/>
      <c r="D1936" s="26"/>
      <c r="E1936" s="26"/>
      <c r="F1936" s="26"/>
      <c r="G1936" s="26"/>
      <c r="H1936" s="5"/>
    </row>
    <row r="1937" spans="3:8" ht="14.25" customHeight="1">
      <c r="C1937" s="245"/>
      <c r="D1937" s="26"/>
      <c r="E1937" s="26"/>
      <c r="F1937" s="26"/>
      <c r="G1937" s="26"/>
      <c r="H1937" s="5"/>
    </row>
    <row r="1938" spans="3:8" ht="14.25" customHeight="1">
      <c r="C1938" s="245"/>
      <c r="D1938" s="26"/>
      <c r="E1938" s="26"/>
      <c r="F1938" s="26"/>
      <c r="G1938" s="26"/>
      <c r="H1938" s="5"/>
    </row>
    <row r="1939" spans="3:8" ht="14.25" customHeight="1">
      <c r="C1939" s="245"/>
      <c r="D1939" s="26"/>
      <c r="E1939" s="26"/>
      <c r="F1939" s="26"/>
      <c r="G1939" s="26"/>
      <c r="H1939" s="5"/>
    </row>
    <row r="1940" spans="3:8" ht="14.25" customHeight="1">
      <c r="C1940" s="245"/>
      <c r="D1940" s="26"/>
      <c r="E1940" s="26"/>
      <c r="F1940" s="26"/>
      <c r="G1940" s="26"/>
      <c r="H1940" s="5"/>
    </row>
    <row r="1941" spans="3:8" ht="14.25" customHeight="1">
      <c r="C1941" s="245"/>
      <c r="D1941" s="26"/>
      <c r="E1941" s="26"/>
      <c r="F1941" s="26"/>
      <c r="G1941" s="26"/>
      <c r="H1941" s="5"/>
    </row>
    <row r="1942" spans="3:8" ht="14.25" customHeight="1">
      <c r="C1942" s="245"/>
      <c r="D1942" s="26"/>
      <c r="E1942" s="26"/>
      <c r="F1942" s="26"/>
      <c r="G1942" s="26"/>
      <c r="H1942" s="5"/>
    </row>
    <row r="1943" spans="3:8" ht="14.25" customHeight="1">
      <c r="C1943" s="245"/>
      <c r="D1943" s="26"/>
      <c r="E1943" s="26"/>
      <c r="F1943" s="26"/>
      <c r="G1943" s="26"/>
      <c r="H1943" s="5"/>
    </row>
    <row r="1944" spans="3:8" ht="14.25" customHeight="1">
      <c r="C1944" s="245"/>
      <c r="D1944" s="26"/>
      <c r="E1944" s="26"/>
      <c r="F1944" s="26"/>
      <c r="G1944" s="26"/>
      <c r="H1944" s="5"/>
    </row>
    <row r="1945" spans="3:8" ht="14.25" customHeight="1">
      <c r="C1945" s="245"/>
      <c r="D1945" s="26"/>
      <c r="E1945" s="26"/>
      <c r="F1945" s="26"/>
      <c r="G1945" s="26"/>
      <c r="H1945" s="5"/>
    </row>
    <row r="1946" spans="3:8" ht="14.25" customHeight="1">
      <c r="C1946" s="245"/>
      <c r="D1946" s="26"/>
      <c r="E1946" s="26"/>
      <c r="F1946" s="26"/>
      <c r="G1946" s="26"/>
      <c r="H1946" s="5"/>
    </row>
    <row r="1947" spans="3:8" ht="14.25" customHeight="1">
      <c r="C1947" s="245"/>
      <c r="D1947" s="26"/>
      <c r="E1947" s="26"/>
      <c r="F1947" s="26"/>
      <c r="G1947" s="26"/>
      <c r="H1947" s="5"/>
    </row>
    <row r="1948" spans="3:8" ht="14.25" customHeight="1">
      <c r="C1948" s="245"/>
      <c r="D1948" s="26"/>
      <c r="E1948" s="26"/>
      <c r="F1948" s="26"/>
      <c r="G1948" s="26"/>
      <c r="H1948" s="5"/>
    </row>
    <row r="1949" spans="3:8" ht="14.25" customHeight="1">
      <c r="C1949" s="245"/>
      <c r="D1949" s="26"/>
      <c r="E1949" s="26"/>
      <c r="F1949" s="26"/>
      <c r="G1949" s="26"/>
      <c r="H1949" s="5"/>
    </row>
    <row r="1950" spans="3:8" ht="14.25" customHeight="1">
      <c r="C1950" s="245"/>
      <c r="D1950" s="26"/>
      <c r="E1950" s="26"/>
      <c r="F1950" s="26"/>
      <c r="G1950" s="26"/>
      <c r="H1950" s="5"/>
    </row>
    <row r="1951" spans="3:8" ht="14.25" customHeight="1">
      <c r="C1951" s="245"/>
      <c r="D1951" s="26"/>
      <c r="E1951" s="26"/>
      <c r="F1951" s="26"/>
      <c r="G1951" s="26"/>
      <c r="H1951" s="5"/>
    </row>
    <row r="1952" spans="3:8" ht="14.25" customHeight="1">
      <c r="C1952" s="245"/>
      <c r="D1952" s="26"/>
      <c r="E1952" s="26"/>
      <c r="F1952" s="26"/>
      <c r="G1952" s="26"/>
      <c r="H1952" s="5"/>
    </row>
    <row r="1953" spans="3:8" ht="14.25" customHeight="1">
      <c r="C1953" s="245"/>
      <c r="D1953" s="26"/>
      <c r="E1953" s="26"/>
      <c r="F1953" s="26"/>
      <c r="G1953" s="26"/>
      <c r="H1953" s="5"/>
    </row>
    <row r="1954" spans="3:8" ht="14.25" customHeight="1">
      <c r="C1954" s="245"/>
      <c r="D1954" s="26"/>
      <c r="E1954" s="26"/>
      <c r="F1954" s="26"/>
      <c r="G1954" s="26"/>
      <c r="H1954" s="5"/>
    </row>
    <row r="1955" spans="3:8" ht="14.25" customHeight="1">
      <c r="C1955" s="245"/>
      <c r="D1955" s="26"/>
      <c r="E1955" s="26"/>
      <c r="F1955" s="26"/>
      <c r="G1955" s="26"/>
      <c r="H1955" s="5"/>
    </row>
    <row r="1956" spans="3:8" ht="14.25" customHeight="1">
      <c r="C1956" s="245"/>
      <c r="D1956" s="26"/>
      <c r="E1956" s="26"/>
      <c r="F1956" s="26"/>
      <c r="G1956" s="26"/>
      <c r="H1956" s="5"/>
    </row>
    <row r="1957" spans="3:8" ht="14.25" customHeight="1">
      <c r="C1957" s="245"/>
      <c r="D1957" s="26"/>
      <c r="E1957" s="26"/>
      <c r="F1957" s="26"/>
      <c r="G1957" s="26"/>
      <c r="H1957" s="5"/>
    </row>
    <row r="1958" spans="3:8" ht="14.25" customHeight="1">
      <c r="C1958" s="245"/>
      <c r="D1958" s="26"/>
      <c r="E1958" s="26"/>
      <c r="F1958" s="26"/>
      <c r="G1958" s="26"/>
      <c r="H1958" s="5"/>
    </row>
    <row r="1959" spans="3:8" ht="14.25" customHeight="1">
      <c r="C1959" s="245"/>
      <c r="D1959" s="26"/>
      <c r="E1959" s="26"/>
      <c r="F1959" s="26"/>
      <c r="G1959" s="26"/>
      <c r="H1959" s="5"/>
    </row>
    <row r="1960" spans="3:8" ht="14.25" customHeight="1">
      <c r="C1960" s="245"/>
      <c r="D1960" s="26"/>
      <c r="E1960" s="26"/>
      <c r="F1960" s="26"/>
      <c r="G1960" s="26"/>
      <c r="H1960" s="5"/>
    </row>
    <row r="1961" spans="3:8" ht="14.25" customHeight="1">
      <c r="C1961" s="245"/>
      <c r="D1961" s="26"/>
      <c r="E1961" s="26"/>
      <c r="F1961" s="26"/>
      <c r="G1961" s="26"/>
      <c r="H1961" s="5"/>
    </row>
    <row r="1962" spans="3:8" ht="14.25" customHeight="1">
      <c r="C1962" s="245"/>
      <c r="D1962" s="26"/>
      <c r="E1962" s="26"/>
      <c r="F1962" s="26"/>
      <c r="G1962" s="26"/>
      <c r="H1962" s="5"/>
    </row>
    <row r="1963" spans="3:8" ht="14.25" customHeight="1">
      <c r="C1963" s="245"/>
      <c r="D1963" s="26"/>
      <c r="E1963" s="26"/>
      <c r="F1963" s="26"/>
      <c r="G1963" s="26"/>
      <c r="H1963" s="5"/>
    </row>
    <row r="1964" spans="3:8" ht="14.25" customHeight="1">
      <c r="C1964" s="245"/>
      <c r="D1964" s="26"/>
      <c r="E1964" s="26"/>
      <c r="F1964" s="26"/>
      <c r="G1964" s="26"/>
      <c r="H1964" s="5"/>
    </row>
    <row r="1965" spans="3:8" ht="14.25" customHeight="1">
      <c r="C1965" s="245"/>
      <c r="D1965" s="26"/>
      <c r="E1965" s="26"/>
      <c r="F1965" s="26"/>
      <c r="G1965" s="26"/>
      <c r="H1965" s="5"/>
    </row>
    <row r="1966" spans="3:8" ht="14.25" customHeight="1">
      <c r="C1966" s="245"/>
      <c r="D1966" s="26"/>
      <c r="E1966" s="26"/>
      <c r="F1966" s="26"/>
      <c r="G1966" s="26"/>
      <c r="H1966" s="5"/>
    </row>
    <row r="1967" spans="3:8" ht="14.25" customHeight="1">
      <c r="C1967" s="245"/>
      <c r="D1967" s="26"/>
      <c r="E1967" s="26"/>
      <c r="F1967" s="26"/>
      <c r="G1967" s="26"/>
      <c r="H1967" s="5"/>
    </row>
    <row r="1968" spans="3:8" ht="14.25" customHeight="1">
      <c r="C1968" s="245"/>
      <c r="D1968" s="26"/>
      <c r="E1968" s="26"/>
      <c r="F1968" s="26"/>
      <c r="G1968" s="26"/>
      <c r="H1968" s="5"/>
    </row>
    <row r="1969" spans="2:24" ht="14.25" customHeight="1">
      <c r="C1969" s="245"/>
      <c r="D1969" s="26"/>
      <c r="E1969" s="26"/>
      <c r="F1969" s="26"/>
      <c r="G1969" s="26"/>
      <c r="H1969" s="5"/>
    </row>
    <row r="1970" spans="2:24" ht="14.25" customHeight="1">
      <c r="C1970" s="245"/>
      <c r="D1970" s="26"/>
      <c r="E1970" s="26"/>
      <c r="F1970" s="26"/>
      <c r="G1970" s="26"/>
      <c r="H1970" s="5"/>
    </row>
    <row r="1971" spans="2:24" ht="14.25" customHeight="1">
      <c r="C1971" s="245"/>
      <c r="D1971" s="26"/>
      <c r="E1971" s="26"/>
      <c r="F1971" s="26"/>
      <c r="G1971" s="26"/>
      <c r="H1971" s="5"/>
    </row>
    <row r="1972" spans="2:24" ht="14.25" customHeight="1">
      <c r="C1972" s="245"/>
      <c r="D1972" s="26"/>
      <c r="E1972" s="26"/>
      <c r="F1972" s="26"/>
      <c r="G1972" s="26"/>
      <c r="H1972" s="5"/>
    </row>
    <row r="1973" spans="2:24" ht="14.25" customHeight="1">
      <c r="C1973" s="245"/>
      <c r="D1973" s="26"/>
      <c r="E1973" s="26"/>
      <c r="F1973" s="26"/>
      <c r="G1973" s="26"/>
      <c r="H1973" s="5"/>
    </row>
    <row r="1974" spans="2:24" ht="14.25" customHeight="1">
      <c r="C1974" s="245"/>
      <c r="D1974" s="26"/>
      <c r="E1974" s="26"/>
      <c r="F1974" s="26"/>
      <c r="G1974" s="26"/>
      <c r="H1974" s="5"/>
    </row>
    <row r="1975" spans="2:24" ht="14.25" customHeight="1">
      <c r="C1975" s="245"/>
      <c r="D1975" s="26"/>
      <c r="E1975" s="26"/>
      <c r="F1975" s="26"/>
      <c r="G1975" s="26"/>
      <c r="H1975" s="5"/>
    </row>
    <row r="1976" spans="2:24" ht="14.25" customHeight="1">
      <c r="C1976" s="245"/>
      <c r="D1976" s="26"/>
      <c r="E1976" s="26"/>
      <c r="F1976" s="26"/>
      <c r="G1976" s="26"/>
      <c r="H1976" s="5"/>
    </row>
    <row r="1977" spans="2:24" ht="14.25" customHeight="1">
      <c r="C1977" s="245"/>
      <c r="D1977" s="26"/>
      <c r="E1977" s="26"/>
      <c r="F1977" s="26"/>
      <c r="G1977" s="26"/>
      <c r="H1977" s="5"/>
    </row>
    <row r="1978" spans="2:24" ht="14.25" customHeight="1">
      <c r="C1978" s="245"/>
      <c r="D1978" s="26"/>
      <c r="E1978" s="26"/>
      <c r="F1978" s="26"/>
      <c r="G1978" s="26"/>
      <c r="H1978" s="5"/>
    </row>
    <row r="1979" spans="2:24" ht="14.25" customHeight="1">
      <c r="C1979" s="245"/>
      <c r="D1979" s="26"/>
      <c r="E1979" s="26"/>
      <c r="F1979" s="26"/>
      <c r="G1979" s="26"/>
      <c r="H1979" s="5"/>
    </row>
    <row r="1980" spans="2:24" ht="14.25" customHeight="1">
      <c r="C1980" s="245"/>
      <c r="D1980" s="26"/>
      <c r="E1980" s="26"/>
      <c r="F1980" s="26"/>
      <c r="G1980" s="26"/>
      <c r="H1980" s="5"/>
    </row>
    <row r="1981" spans="2:24" ht="14.25" customHeight="1">
      <c r="B1981" s="512" t="str">
        <f>TITLE!$C$35</f>
        <v>Полотна: ДОБОР LADA</v>
      </c>
      <c r="C1981" s="513"/>
      <c r="D1981" s="118"/>
      <c r="E1981" s="118"/>
      <c r="F1981" s="118"/>
      <c r="G1981" s="118"/>
      <c r="H1981" s="118"/>
      <c r="I1981" s="121"/>
      <c r="J1981" s="121"/>
      <c r="K1981" s="121"/>
      <c r="L1981" s="121"/>
      <c r="M1981" s="121"/>
      <c r="N1981" s="121"/>
      <c r="O1981" s="121"/>
      <c r="P1981" s="121"/>
      <c r="Q1981" s="121"/>
      <c r="R1981" s="121"/>
      <c r="S1981" s="517" t="str">
        <f>IF($C$1="ENG",CONCATENATE("up to: ",B1913),CONCATENATE("вгору до: ",B1913))</f>
        <v>вгору до: Полотна скляні: ГЛАСФОРД</v>
      </c>
      <c r="T1981" s="517"/>
      <c r="U1981" s="517"/>
      <c r="V1981" s="517"/>
      <c r="W1981" s="517"/>
    </row>
    <row r="1982" spans="2:24" ht="14.25" customHeight="1">
      <c r="B1982" s="147"/>
      <c r="C1982" s="425"/>
      <c r="D1982" s="9"/>
      <c r="E1982" s="9"/>
      <c r="F1982" s="10"/>
      <c r="G1982" s="10"/>
      <c r="H1982" s="10"/>
      <c r="I1982" s="8"/>
      <c r="J1982" s="8"/>
      <c r="K1982" s="8"/>
      <c r="L1982" s="8"/>
      <c r="M1982" s="11"/>
      <c r="P1982" s="8"/>
      <c r="Q1982" s="11"/>
    </row>
    <row r="1983" spans="2:24" ht="14.25" customHeight="1">
      <c r="B1983" s="509" t="str">
        <f>IF($C$1="ENG","model","модель")</f>
        <v>модель</v>
      </c>
      <c r="C1983" s="122" t="str">
        <f>IF($C$1="ENG","cover:","покриття:")</f>
        <v>покриття:</v>
      </c>
      <c r="D1983" s="498" t="str">
        <f>IF($C$1="ENG","Verto-CELL","Verto-CELL")</f>
        <v>Verto-CELL</v>
      </c>
      <c r="E1983" s="500"/>
      <c r="F1983" s="498" t="str">
        <f>IF($C$1="ENG","UNI-MAT","UNI-MAT")</f>
        <v>UNI-MAT</v>
      </c>
      <c r="G1983" s="500"/>
      <c r="H1983" s="498" t="str">
        <f>IF($C$1="ENG","RESIST","RESIST")</f>
        <v>RESIST</v>
      </c>
      <c r="I1983" s="500"/>
      <c r="J1983" s="498" t="str">
        <f>IF($C$1="ENG","Verto LINE-3D","Verto LINE-3D")</f>
        <v>Verto LINE-3D</v>
      </c>
      <c r="K1983" s="500"/>
      <c r="L1983" s="498" t="str">
        <f>IF($C$1="ENG","ECO Shpon","ЕКО Шпон")</f>
        <v>ЕКО Шпон</v>
      </c>
      <c r="M1983" s="500"/>
      <c r="P1983" s="20"/>
      <c r="Q1983" s="20"/>
    </row>
    <row r="1984" spans="2:24" ht="27.75" customHeight="1">
      <c r="B1984" s="510"/>
      <c r="C1984" s="123" t="str">
        <f>IF($C$1="ENG","filling:","заповнення:")</f>
        <v>заповнення:</v>
      </c>
      <c r="D1984" s="505" t="str">
        <f>IF($C$1="ENG","softwood","клеєний сосновий брус")</f>
        <v>клеєний сосновий брус</v>
      </c>
      <c r="E1984" s="506"/>
      <c r="F1984" s="505" t="str">
        <f>IF($C$1="ENG","softwood","клеєний сосновий брус")</f>
        <v>клеєний сосновий брус</v>
      </c>
      <c r="G1984" s="506"/>
      <c r="H1984" s="505" t="str">
        <f>IF($C$1="ENG","softwood","клеєний сосновий брус")</f>
        <v>клеєний сосновий брус</v>
      </c>
      <c r="I1984" s="506"/>
      <c r="J1984" s="505" t="str">
        <f>IF($C$1="ENG","softwood","клеєний сосновий брус")</f>
        <v>клеєний сосновий брус</v>
      </c>
      <c r="K1984" s="506"/>
      <c r="L1984" s="505" t="str">
        <f>IF($C$1="ENG","softwood","клеєний сосновий брус")</f>
        <v>клеєний сосновий брус</v>
      </c>
      <c r="M1984" s="506"/>
      <c r="P1984" s="20"/>
      <c r="Q1984" s="20"/>
      <c r="X1984" s="385"/>
    </row>
    <row r="1985" spans="2:44" ht="14.25" customHeight="1">
      <c r="B1985" s="511"/>
      <c r="C1985" s="124" t="str">
        <f>IF($C$1="ENG","glazing:","скління:")</f>
        <v>скління:</v>
      </c>
      <c r="D1985" s="489" t="str">
        <f>IF($C$1="ENG","Satin","Сатин")</f>
        <v>Сатин</v>
      </c>
      <c r="E1985" s="492"/>
      <c r="F1985" s="489" t="str">
        <f>IF($C$1="ENG","Satin","Сатин")</f>
        <v>Сатин</v>
      </c>
      <c r="G1985" s="492"/>
      <c r="H1985" s="489" t="str">
        <f>IF($C$1="ENG","Satin","Сатин")</f>
        <v>Сатин</v>
      </c>
      <c r="I1985" s="492"/>
      <c r="J1985" s="489" t="str">
        <f>IF($C$1="ENG","Satin","Сатин")</f>
        <v>Сатин</v>
      </c>
      <c r="K1985" s="492"/>
      <c r="L1985" s="489" t="str">
        <f>IF($C$1="ENG","Satin","Сатин")</f>
        <v>Сатин</v>
      </c>
      <c r="M1985" s="492"/>
      <c r="N1985" s="104"/>
      <c r="O1985" s="20"/>
      <c r="P1985" s="20"/>
      <c r="Q1985" s="20"/>
      <c r="R1985" s="104"/>
      <c r="S1985" s="20"/>
      <c r="T1985" s="104"/>
      <c r="V1985" s="104"/>
      <c r="W1985" s="20"/>
    </row>
    <row r="1986" spans="2:44" ht="34.5" customHeight="1">
      <c r="B1986" s="13" t="s">
        <v>53</v>
      </c>
      <c r="C1986" s="14"/>
      <c r="D1986" s="15">
        <f>IF(AC1986="","",(1-$W$2)*(AC1986/1.2))</f>
        <v>4933.3333333333339</v>
      </c>
      <c r="E1986" s="64">
        <f>IF($W$5=0.2,D1986*1.2,D1986)/$W$4</f>
        <v>5920.0000000000009</v>
      </c>
      <c r="F1986" s="15">
        <f>IF(AD1986="","",(1-$W$2)*(AD1986/1.2))</f>
        <v>5658.3333333333339</v>
      </c>
      <c r="G1986" s="64">
        <f>IF($W$5=0.2,F1986*1.2,F1986)/$W$4</f>
        <v>6790.0000000000009</v>
      </c>
      <c r="H1986" s="15">
        <f>IF(AE1986="","",(1-$W$2)*(AE1986/1.2))</f>
        <v>5841.666666666667</v>
      </c>
      <c r="I1986" s="64">
        <f>IF($W$5=0.2,H1986*1.2,H1986)/$W$4</f>
        <v>7010</v>
      </c>
      <c r="J1986" s="15">
        <f>IF(AF1986="","",(1-$W$2)*(AF1986/1.2))</f>
        <v>6200</v>
      </c>
      <c r="K1986" s="64">
        <f>IF($W$5=0.2,J1986*1.2,J1986)/$W$4</f>
        <v>7440</v>
      </c>
      <c r="L1986" s="15">
        <f>IF(AG1986="","",(1-$W$2)*(AG1986/1.2))</f>
        <v>6433.3333333333339</v>
      </c>
      <c r="M1986" s="64">
        <f>IF($W$5=0.2,L1986*1.2,L1986)/$W$4</f>
        <v>7720</v>
      </c>
      <c r="N1986" s="104"/>
      <c r="O1986" s="20"/>
      <c r="P1986" s="20"/>
      <c r="Q1986" s="20"/>
      <c r="R1986" s="104"/>
      <c r="S1986" s="20"/>
      <c r="T1986" s="104"/>
      <c r="V1986" s="104"/>
      <c r="W1986" s="20"/>
      <c r="AC1986" s="332">
        <v>5920</v>
      </c>
      <c r="AD1986" s="332">
        <v>6790</v>
      </c>
      <c r="AE1986" s="332">
        <v>7010</v>
      </c>
      <c r="AF1986" s="332">
        <v>7440</v>
      </c>
      <c r="AG1986" s="332">
        <v>7720</v>
      </c>
      <c r="AH1986" s="289">
        <v>5920</v>
      </c>
      <c r="AI1986" s="289">
        <f>AH1986/AC1986-1</f>
        <v>0</v>
      </c>
      <c r="AJ1986" s="289">
        <v>6790</v>
      </c>
      <c r="AK1986" s="289">
        <f>AJ1986/AD1986-1</f>
        <v>0</v>
      </c>
      <c r="AL1986" s="289">
        <v>7010</v>
      </c>
      <c r="AM1986" s="289">
        <f>AL1986/AE1986-1</f>
        <v>0</v>
      </c>
      <c r="AN1986" s="289">
        <v>7440</v>
      </c>
      <c r="AO1986" s="289">
        <f>AN1986/AF1986-1</f>
        <v>0</v>
      </c>
      <c r="AP1986" s="289">
        <v>7720</v>
      </c>
      <c r="AQ1986" s="289">
        <f>AP1986/AG1986-1</f>
        <v>0</v>
      </c>
      <c r="AR1986" s="333"/>
    </row>
    <row r="1987" spans="2:44" ht="34.5" customHeight="1">
      <c r="B1987" s="16" t="s">
        <v>54</v>
      </c>
      <c r="C1987" s="17"/>
      <c r="D1987" s="18">
        <f>IF(AC1987="","",(1-$W$2)*(AC1987/1.2))</f>
        <v>5033.3333333333339</v>
      </c>
      <c r="E1987" s="66">
        <f>IF($W$5=0.2,D1987*1.2,D1987)/$W$4</f>
        <v>6040.0000000000009</v>
      </c>
      <c r="F1987" s="18">
        <f>IF(AD1987="","",(1-$W$2)*(AD1987/1.2))</f>
        <v>5766.666666666667</v>
      </c>
      <c r="G1987" s="66">
        <f>IF($W$5=0.2,F1987*1.2,F1987)/$W$4</f>
        <v>6920</v>
      </c>
      <c r="H1987" s="18">
        <f>IF(AE1987="","",(1-$W$2)*(AE1987/1.2))</f>
        <v>5966.666666666667</v>
      </c>
      <c r="I1987" s="66">
        <f>IF($W$5=0.2,H1987*1.2,H1987)/$W$4</f>
        <v>7160</v>
      </c>
      <c r="J1987" s="18">
        <f>IF(AF1987="","",(1-$W$2)*(AF1987/1.2))</f>
        <v>6325</v>
      </c>
      <c r="K1987" s="66">
        <f>IF($W$5=0.2,J1987*1.2,J1987)/$W$4</f>
        <v>7590</v>
      </c>
      <c r="L1987" s="18">
        <f>IF(AG1987="","",(1-$W$2)*(AG1987/1.2))</f>
        <v>6958.3333333333339</v>
      </c>
      <c r="M1987" s="66">
        <f>IF($W$5=0.2,L1987*1.2,L1987)/$W$4</f>
        <v>8350</v>
      </c>
      <c r="N1987" s="104"/>
      <c r="O1987" s="20"/>
      <c r="P1987" s="20"/>
      <c r="Q1987" s="20"/>
      <c r="R1987" s="104"/>
      <c r="S1987" s="20"/>
      <c r="T1987" s="104"/>
      <c r="V1987" s="104"/>
      <c r="W1987" s="20"/>
      <c r="AC1987" s="332">
        <v>6040</v>
      </c>
      <c r="AD1987" s="332">
        <v>6920</v>
      </c>
      <c r="AE1987" s="332">
        <v>7160</v>
      </c>
      <c r="AF1987" s="332">
        <v>7590</v>
      </c>
      <c r="AG1987" s="332">
        <v>8350</v>
      </c>
      <c r="AH1987" s="289">
        <v>6040</v>
      </c>
      <c r="AI1987" s="289">
        <f t="shared" ref="AI1987:AI1990" si="288">AH1987/AC1987-1</f>
        <v>0</v>
      </c>
      <c r="AJ1987" s="289">
        <v>6920</v>
      </c>
      <c r="AK1987" s="289">
        <f t="shared" ref="AK1987:AK1990" si="289">AJ1987/AD1987-1</f>
        <v>0</v>
      </c>
      <c r="AL1987" s="289">
        <v>7160</v>
      </c>
      <c r="AM1987" s="289">
        <f t="shared" ref="AM1987:AM1990" si="290">AL1987/AE1987-1</f>
        <v>0</v>
      </c>
      <c r="AN1987" s="289">
        <v>7590</v>
      </c>
      <c r="AO1987" s="289">
        <f t="shared" ref="AO1987:AO1990" si="291">AN1987/AF1987-1</f>
        <v>0</v>
      </c>
      <c r="AP1987" s="289">
        <v>8350</v>
      </c>
      <c r="AQ1987" s="289">
        <f t="shared" ref="AQ1987:AQ1990" si="292">AP1987/AG1987-1</f>
        <v>0</v>
      </c>
      <c r="AR1987" s="333"/>
    </row>
    <row r="1988" spans="2:44" ht="34.5" customHeight="1">
      <c r="B1988" s="16" t="s">
        <v>55</v>
      </c>
      <c r="C1988" s="17"/>
      <c r="D1988" s="18">
        <f>IF(AC1988="","",(1-$W$2)*(AC1988/1.2))</f>
        <v>4933.3333333333339</v>
      </c>
      <c r="E1988" s="66">
        <f>IF($W$5=0.2,D1988*1.2,D1988)/$W$4</f>
        <v>5920.0000000000009</v>
      </c>
      <c r="F1988" s="18">
        <f>IF(AD1988="","",(1-$W$2)*(AD1988/1.2))</f>
        <v>5650</v>
      </c>
      <c r="G1988" s="66">
        <f>IF($W$5=0.2,F1988*1.2,F1988)/$W$4</f>
        <v>6780</v>
      </c>
      <c r="H1988" s="18">
        <f>IF(AE1988="","",(1-$W$2)*(AE1988/1.2))</f>
        <v>5841.666666666667</v>
      </c>
      <c r="I1988" s="66">
        <f>IF($W$5=0.2,H1988*1.2,H1988)/$W$4</f>
        <v>7010</v>
      </c>
      <c r="J1988" s="18">
        <f>IF(AF1988="","",(1-$W$2)*(AF1988/1.2))</f>
        <v>6200</v>
      </c>
      <c r="K1988" s="66">
        <f>IF($W$5=0.2,J1988*1.2,J1988)/$W$4</f>
        <v>7440</v>
      </c>
      <c r="L1988" s="18">
        <f>IF(AG1988="","",(1-$W$2)*(AG1988/1.2))</f>
        <v>6433.3333333333339</v>
      </c>
      <c r="M1988" s="66">
        <f>IF($W$5=0.2,L1988*1.2,L1988)/$W$4</f>
        <v>7720</v>
      </c>
      <c r="N1988" s="104"/>
      <c r="O1988" s="20"/>
      <c r="P1988" s="20"/>
      <c r="Q1988" s="20"/>
      <c r="R1988" s="104"/>
      <c r="S1988" s="20"/>
      <c r="T1988" s="104"/>
      <c r="V1988" s="104"/>
      <c r="W1988" s="20"/>
      <c r="AC1988" s="332">
        <v>5920</v>
      </c>
      <c r="AD1988" s="332">
        <v>6780</v>
      </c>
      <c r="AE1988" s="332">
        <v>7010</v>
      </c>
      <c r="AF1988" s="332">
        <v>7440</v>
      </c>
      <c r="AG1988" s="332">
        <v>7720</v>
      </c>
      <c r="AH1988" s="289">
        <v>5920</v>
      </c>
      <c r="AI1988" s="289">
        <f t="shared" si="288"/>
        <v>0</v>
      </c>
      <c r="AJ1988" s="289">
        <v>6780</v>
      </c>
      <c r="AK1988" s="289">
        <f t="shared" si="289"/>
        <v>0</v>
      </c>
      <c r="AL1988" s="289">
        <v>7010</v>
      </c>
      <c r="AM1988" s="289">
        <f t="shared" si="290"/>
        <v>0</v>
      </c>
      <c r="AN1988" s="289">
        <v>7440</v>
      </c>
      <c r="AO1988" s="289">
        <f t="shared" si="291"/>
        <v>0</v>
      </c>
      <c r="AP1988" s="289">
        <v>7720</v>
      </c>
      <c r="AQ1988" s="289">
        <f t="shared" si="292"/>
        <v>0</v>
      </c>
      <c r="AR1988" s="333"/>
    </row>
    <row r="1989" spans="2:44" ht="34.5" customHeight="1">
      <c r="B1989" s="16" t="s">
        <v>56</v>
      </c>
      <c r="C1989" s="17"/>
      <c r="D1989" s="18">
        <f>IF(AC1989="","",(1-$W$2)*(AC1989/1.2))</f>
        <v>5108.3333333333339</v>
      </c>
      <c r="E1989" s="66">
        <f>IF($W$5=0.2,D1989*1.2,D1989)/$W$4</f>
        <v>6130.0000000000009</v>
      </c>
      <c r="F1989" s="18">
        <f>IF(AD1989="","",(1-$W$2)*(AD1989/1.2))</f>
        <v>5875</v>
      </c>
      <c r="G1989" s="66">
        <f>IF($W$5=0.2,F1989*1.2,F1989)/$W$4</f>
        <v>7050</v>
      </c>
      <c r="H1989" s="18">
        <f>IF(AE1989="","",(1-$W$2)*(AE1989/1.2))</f>
        <v>6033.3333333333339</v>
      </c>
      <c r="I1989" s="66">
        <f>IF($W$5=0.2,H1989*1.2,H1989)/$W$4</f>
        <v>7240.0000000000009</v>
      </c>
      <c r="J1989" s="18">
        <f>IF(AF1989="","",(1-$W$2)*(AF1989/1.2))</f>
        <v>6383.3333333333339</v>
      </c>
      <c r="K1989" s="66">
        <f>IF($W$5=0.2,J1989*1.2,J1989)/$W$4</f>
        <v>7660</v>
      </c>
      <c r="L1989" s="18">
        <f>IF(AG1989="","",(1-$W$2)*(AG1989/1.2))</f>
        <v>6591.666666666667</v>
      </c>
      <c r="M1989" s="66">
        <f>IF($W$5=0.2,L1989*1.2,L1989)/$W$4</f>
        <v>7910</v>
      </c>
      <c r="N1989" s="104"/>
      <c r="O1989" s="20"/>
      <c r="P1989" s="20"/>
      <c r="Q1989" s="20"/>
      <c r="R1989" s="104"/>
      <c r="S1989" s="20"/>
      <c r="T1989" s="104"/>
      <c r="V1989" s="104"/>
      <c r="W1989" s="20"/>
      <c r="AC1989" s="332">
        <v>6130</v>
      </c>
      <c r="AD1989" s="332">
        <v>7050</v>
      </c>
      <c r="AE1989" s="332">
        <v>7240</v>
      </c>
      <c r="AF1989" s="332">
        <v>7660</v>
      </c>
      <c r="AG1989" s="332">
        <v>7910</v>
      </c>
      <c r="AH1989" s="289">
        <v>6130</v>
      </c>
      <c r="AI1989" s="289">
        <f t="shared" si="288"/>
        <v>0</v>
      </c>
      <c r="AJ1989" s="289">
        <v>7050</v>
      </c>
      <c r="AK1989" s="289">
        <f t="shared" si="289"/>
        <v>0</v>
      </c>
      <c r="AL1989" s="289">
        <v>7240</v>
      </c>
      <c r="AM1989" s="289">
        <f t="shared" si="290"/>
        <v>0</v>
      </c>
      <c r="AN1989" s="289">
        <v>7660</v>
      </c>
      <c r="AO1989" s="289">
        <f t="shared" si="291"/>
        <v>0</v>
      </c>
      <c r="AP1989" s="289">
        <v>7910</v>
      </c>
      <c r="AQ1989" s="289">
        <f t="shared" si="292"/>
        <v>0</v>
      </c>
      <c r="AR1989" s="333"/>
    </row>
    <row r="1990" spans="2:44" ht="34.5" customHeight="1">
      <c r="B1990" s="23" t="s">
        <v>57</v>
      </c>
      <c r="C1990" s="24"/>
      <c r="D1990" s="25">
        <f>IF(AC1990="","",(1-$W$2)*(AC1990/1.2))</f>
        <v>5291.666666666667</v>
      </c>
      <c r="E1990" s="69">
        <f>IF($W$5=0.2,D1990*1.2,D1990)/$W$4</f>
        <v>6350</v>
      </c>
      <c r="F1990" s="25">
        <f>IF(AD1990="","",(1-$W$2)*(AD1990/1.2))</f>
        <v>6066.666666666667</v>
      </c>
      <c r="G1990" s="69">
        <f>IF($W$5=0.2,F1990*1.2,F1990)/$W$4</f>
        <v>7280</v>
      </c>
      <c r="H1990" s="25">
        <f>IF(AE1990="","",(1-$W$2)*(AE1990/1.2))</f>
        <v>6216.666666666667</v>
      </c>
      <c r="I1990" s="69">
        <f>IF($W$5=0.2,H1990*1.2,H1990)/$W$4</f>
        <v>7460</v>
      </c>
      <c r="J1990" s="25">
        <f>IF(AF1990="","",(1-$W$2)*(AF1990/1.2))</f>
        <v>6591.666666666667</v>
      </c>
      <c r="K1990" s="69">
        <f>IF($W$5=0.2,J1990*1.2,J1990)/$W$4</f>
        <v>7910</v>
      </c>
      <c r="L1990" s="25">
        <f>IF(AG1990="","",(1-$W$2)*(AG1990/1.2))</f>
        <v>6791.666666666667</v>
      </c>
      <c r="M1990" s="69">
        <f>IF($W$5=0.2,L1990*1.2,L1990)/$W$4</f>
        <v>8150</v>
      </c>
      <c r="P1990" s="20"/>
      <c r="Q1990" s="20"/>
      <c r="AC1990" s="332">
        <v>6350</v>
      </c>
      <c r="AD1990" s="332">
        <v>7280</v>
      </c>
      <c r="AE1990" s="332">
        <v>7460</v>
      </c>
      <c r="AF1990" s="332">
        <v>7910</v>
      </c>
      <c r="AG1990" s="332">
        <v>8150</v>
      </c>
      <c r="AH1990" s="289">
        <v>6350</v>
      </c>
      <c r="AI1990" s="289">
        <f t="shared" si="288"/>
        <v>0</v>
      </c>
      <c r="AJ1990" s="289">
        <v>7280</v>
      </c>
      <c r="AK1990" s="289">
        <f t="shared" si="289"/>
        <v>0</v>
      </c>
      <c r="AL1990" s="289">
        <v>7460</v>
      </c>
      <c r="AM1990" s="289">
        <f t="shared" si="290"/>
        <v>0</v>
      </c>
      <c r="AN1990" s="289">
        <v>7910</v>
      </c>
      <c r="AO1990" s="289">
        <f t="shared" si="291"/>
        <v>0</v>
      </c>
      <c r="AP1990" s="289">
        <v>8150</v>
      </c>
      <c r="AQ1990" s="289">
        <f t="shared" si="292"/>
        <v>0</v>
      </c>
      <c r="AR1990" s="333"/>
    </row>
    <row r="1991" spans="2:44" ht="14.25" customHeight="1">
      <c r="C1991" s="245"/>
      <c r="D1991" s="26"/>
      <c r="E1991" s="57"/>
      <c r="F1991" s="10"/>
      <c r="G1991" s="10"/>
      <c r="H1991" s="10"/>
      <c r="I1991" s="143"/>
      <c r="J1991" s="48"/>
      <c r="K1991" s="48"/>
      <c r="L1991" s="8"/>
      <c r="P1991" s="20"/>
      <c r="Q1991" s="20"/>
    </row>
    <row r="1992" spans="2:44">
      <c r="B1992" s="212" t="str">
        <f>IF($C$1="ENG","For additonal charge:","Послуги за додаткову плату:")</f>
        <v>Послуги за додаткову плату:</v>
      </c>
      <c r="C1992" s="421"/>
      <c r="D1992" s="213"/>
      <c r="E1992" s="214"/>
      <c r="F1992" s="26"/>
      <c r="G1992" s="57"/>
      <c r="H1992" s="10"/>
      <c r="I1992" s="8"/>
      <c r="J1992" s="8"/>
      <c r="K1992" s="8"/>
    </row>
    <row r="1993" spans="2:44" ht="5.0999999999999996" customHeight="1">
      <c r="B1993" s="27"/>
      <c r="C1993" s="245"/>
      <c r="D1993" s="26"/>
      <c r="E1993" s="57"/>
      <c r="F1993" s="26"/>
      <c r="G1993" s="26"/>
      <c r="H1993" s="10"/>
      <c r="I1993" s="8"/>
      <c r="J1993" s="8"/>
      <c r="K1993" s="8"/>
    </row>
    <row r="1994" spans="2:44">
      <c r="B1994" s="501" t="str">
        <f>IF($C$1="ENG","glazing Graphite / Bronze","скло Графіт / Бронза")</f>
        <v>скло Графіт / Бронза</v>
      </c>
      <c r="C1994" s="502"/>
      <c r="D1994" s="102">
        <f>IF(AC1994="","",(1-$W$2)*(AC1994/1.2))</f>
        <v>425</v>
      </c>
      <c r="E1994" s="92">
        <f>IF($W$5=0.2,D1994*1.2,D1994)/$W$4</f>
        <v>510</v>
      </c>
      <c r="F1994" s="26"/>
      <c r="G1994" s="26"/>
      <c r="H1994" s="5"/>
      <c r="AC1994" s="298">
        <v>510</v>
      </c>
      <c r="AD1994" s="289">
        <v>510</v>
      </c>
      <c r="AE1994" s="289">
        <f>AD1994/AC1994-1</f>
        <v>0</v>
      </c>
      <c r="AF1994" s="289"/>
      <c r="AG1994" s="289"/>
      <c r="AH1994" s="289"/>
      <c r="AI1994" s="289"/>
      <c r="AJ1994" s="289"/>
      <c r="AK1994" s="289"/>
      <c r="AL1994" s="289"/>
    </row>
    <row r="1995" spans="2:44">
      <c r="B1995" s="501" t="str">
        <f>IF($C$1="ENG","glazing Lacobel black ","скло Lacobel чорне")</f>
        <v>скло Lacobel чорне</v>
      </c>
      <c r="C1995" s="502"/>
      <c r="D1995" s="407">
        <f t="shared" ref="D1995" si="293">IF(AC1995="","",(1-$W$2)*(AC1995/1.2))</f>
        <v>458.33333333333337</v>
      </c>
      <c r="E1995" s="93">
        <f>IF($W$5=0.2,D1995*1.2,D1995)/$W$4</f>
        <v>550</v>
      </c>
      <c r="F1995" s="26"/>
      <c r="G1995" s="26"/>
      <c r="H1995" s="5"/>
      <c r="AC1995" s="298">
        <v>550</v>
      </c>
      <c r="AD1995" s="298">
        <v>550</v>
      </c>
      <c r="AE1995" s="289"/>
      <c r="AF1995" s="289"/>
      <c r="AG1995" s="289"/>
      <c r="AH1995" s="289"/>
      <c r="AI1995" s="289"/>
      <c r="AJ1995" s="289"/>
      <c r="AK1995" s="289"/>
      <c r="AL1995" s="289"/>
    </row>
    <row r="1996" spans="2:44">
      <c r="B1996" s="501" t="str">
        <f>IF($C$1="ENG","door hindge Prestige (1 unit)","завіса Prestige (1 шт)")</f>
        <v>завіса Prestige (1 шт)</v>
      </c>
      <c r="C1996" s="502"/>
      <c r="D1996" s="135">
        <f>IF(AC1996="","",(1-$W$2)*(AC1996/1.2))</f>
        <v>216.66666666666669</v>
      </c>
      <c r="E1996" s="93">
        <f>IF($W$5=0.2,D1996*1.2,D1996)/$W$4</f>
        <v>260</v>
      </c>
      <c r="F1996" s="26"/>
      <c r="G1996" s="26"/>
      <c r="AC1996" s="298">
        <v>260</v>
      </c>
      <c r="AD1996" s="289">
        <v>260</v>
      </c>
      <c r="AE1996" s="289">
        <f t="shared" ref="AE1996:AE1997" si="294">AD1996/AC1996-1</f>
        <v>0</v>
      </c>
      <c r="AF1996" s="289"/>
      <c r="AG1996" s="289"/>
      <c r="AH1996" s="289"/>
      <c r="AI1996" s="289"/>
      <c r="AJ1996" s="289"/>
      <c r="AK1996" s="289"/>
      <c r="AL1996" s="289"/>
    </row>
    <row r="1997" spans="2:44">
      <c r="B1997" s="501" t="str">
        <f>IF($C$1="ENG","door hinge caps (1 set)","накладка на завіси (1 к-т)")</f>
        <v>накладка на завіси (1 к-т)</v>
      </c>
      <c r="C1997" s="502"/>
      <c r="D1997" s="135">
        <f>IF(AC1997="","",(1-$W$2)*(AC1997/1.2))</f>
        <v>66.666666666666671</v>
      </c>
      <c r="E1997" s="324">
        <f>IF($W$5=0.2,D1997*1.2,D1997)/$W$4</f>
        <v>80</v>
      </c>
      <c r="F1997" s="26"/>
      <c r="G1997" s="26"/>
      <c r="AC1997" s="298">
        <v>80</v>
      </c>
      <c r="AD1997" s="289">
        <v>80</v>
      </c>
      <c r="AE1997" s="289">
        <f t="shared" si="294"/>
        <v>0</v>
      </c>
      <c r="AF1997" s="289"/>
      <c r="AG1997" s="289"/>
      <c r="AH1997" s="289"/>
      <c r="AI1997" s="289"/>
      <c r="AJ1997" s="289"/>
      <c r="AK1997" s="289"/>
      <c r="AL1997" s="289"/>
    </row>
    <row r="1998" spans="2:44" ht="14.25" customHeight="1">
      <c r="C1998" s="245"/>
      <c r="D1998" s="26"/>
      <c r="E1998" s="26"/>
      <c r="F1998" s="26"/>
      <c r="G1998" s="26"/>
      <c r="H1998" s="5"/>
      <c r="T1998" s="503" t="str">
        <f>IF($C$1="ENG",CONCATENATE("down to: ",B2048),CONCATENATE("вниз до: ",B2048))</f>
        <v>вниз до: Полотна: ДОБОРИ</v>
      </c>
      <c r="U1998" s="503"/>
      <c r="V1998" s="503"/>
      <c r="W1998" s="503"/>
    </row>
    <row r="1999" spans="2:44" ht="14.25" customHeight="1">
      <c r="C1999" s="245"/>
      <c r="D1999" s="26"/>
      <c r="E1999" s="26"/>
      <c r="F1999" s="26"/>
      <c r="G1999" s="26"/>
      <c r="H1999" s="5"/>
    </row>
    <row r="2000" spans="2:44" ht="14.25" customHeight="1">
      <c r="C2000" s="245"/>
      <c r="D2000" s="26"/>
      <c r="E2000" s="26"/>
      <c r="F2000" s="26"/>
      <c r="G2000" s="26"/>
      <c r="H2000" s="5"/>
    </row>
    <row r="2001" spans="3:8" ht="14.25" customHeight="1">
      <c r="C2001" s="245"/>
      <c r="D2001" s="26"/>
      <c r="E2001" s="26"/>
      <c r="F2001" s="26"/>
      <c r="G2001" s="26"/>
      <c r="H2001" s="5"/>
    </row>
    <row r="2002" spans="3:8" ht="14.25" customHeight="1">
      <c r="C2002" s="245"/>
      <c r="D2002" s="26"/>
      <c r="E2002" s="26"/>
      <c r="F2002" s="26"/>
      <c r="G2002" s="26"/>
      <c r="H2002" s="5"/>
    </row>
    <row r="2003" spans="3:8" ht="14.25" customHeight="1">
      <c r="C2003" s="245"/>
      <c r="D2003" s="26"/>
      <c r="E2003" s="26"/>
      <c r="F2003" s="26"/>
      <c r="G2003" s="26"/>
      <c r="H2003" s="5"/>
    </row>
    <row r="2004" spans="3:8" ht="14.25" customHeight="1">
      <c r="C2004" s="245"/>
      <c r="D2004" s="26"/>
      <c r="E2004" s="26"/>
      <c r="F2004" s="26"/>
      <c r="G2004" s="26"/>
      <c r="H2004" s="5"/>
    </row>
    <row r="2005" spans="3:8" ht="14.25" customHeight="1">
      <c r="C2005" s="245"/>
      <c r="D2005" s="26"/>
      <c r="E2005" s="26"/>
      <c r="F2005" s="26"/>
      <c r="G2005" s="26"/>
      <c r="H2005" s="5"/>
    </row>
    <row r="2006" spans="3:8" ht="14.25" customHeight="1">
      <c r="C2006" s="245"/>
      <c r="D2006" s="26"/>
      <c r="E2006" s="26"/>
      <c r="F2006" s="26"/>
      <c r="G2006" s="26"/>
      <c r="H2006" s="5"/>
    </row>
    <row r="2007" spans="3:8" ht="14.25" customHeight="1">
      <c r="C2007" s="245"/>
      <c r="D2007" s="26"/>
      <c r="E2007" s="26"/>
      <c r="F2007" s="26"/>
      <c r="G2007" s="26"/>
      <c r="H2007" s="5"/>
    </row>
    <row r="2008" spans="3:8" ht="14.25" customHeight="1">
      <c r="C2008" s="245"/>
      <c r="D2008" s="26"/>
      <c r="E2008" s="26"/>
      <c r="F2008" s="26"/>
      <c r="G2008" s="26"/>
      <c r="H2008" s="5"/>
    </row>
    <row r="2009" spans="3:8" ht="14.25" customHeight="1">
      <c r="C2009" s="245"/>
      <c r="D2009" s="26"/>
      <c r="E2009" s="26"/>
      <c r="F2009" s="26"/>
      <c r="G2009" s="26"/>
      <c r="H2009" s="5"/>
    </row>
    <row r="2010" spans="3:8" ht="14.25" customHeight="1">
      <c r="C2010" s="245"/>
      <c r="D2010" s="26"/>
      <c r="E2010" s="26"/>
      <c r="F2010" s="26"/>
      <c r="G2010" s="26"/>
      <c r="H2010" s="5"/>
    </row>
    <row r="2011" spans="3:8" ht="14.25" customHeight="1">
      <c r="C2011" s="245"/>
      <c r="D2011" s="26"/>
      <c r="E2011" s="26"/>
      <c r="F2011" s="26"/>
      <c r="G2011" s="26"/>
      <c r="H2011" s="5"/>
    </row>
    <row r="2012" spans="3:8" ht="14.25" customHeight="1">
      <c r="C2012" s="245"/>
      <c r="D2012" s="26"/>
      <c r="E2012" s="26"/>
      <c r="F2012" s="26"/>
      <c r="G2012" s="26"/>
      <c r="H2012" s="5"/>
    </row>
    <row r="2013" spans="3:8" ht="14.25" customHeight="1">
      <c r="C2013" s="245"/>
      <c r="D2013" s="26"/>
      <c r="E2013" s="26"/>
      <c r="F2013" s="26"/>
      <c r="G2013" s="26"/>
      <c r="H2013" s="5"/>
    </row>
    <row r="2014" spans="3:8" ht="14.25" customHeight="1">
      <c r="C2014" s="245"/>
      <c r="D2014" s="26"/>
      <c r="E2014" s="26"/>
      <c r="F2014" s="26"/>
      <c r="G2014" s="26"/>
      <c r="H2014" s="5"/>
    </row>
    <row r="2015" spans="3:8" ht="14.25" customHeight="1">
      <c r="C2015" s="245"/>
      <c r="D2015" s="26"/>
      <c r="E2015" s="26"/>
      <c r="F2015" s="26"/>
      <c r="G2015" s="26"/>
      <c r="H2015" s="5"/>
    </row>
    <row r="2016" spans="3:8" ht="14.25" customHeight="1">
      <c r="C2016" s="245"/>
      <c r="D2016" s="26"/>
      <c r="E2016" s="26"/>
      <c r="F2016" s="26"/>
      <c r="G2016" s="26"/>
      <c r="H2016" s="5"/>
    </row>
    <row r="2017" spans="3:8" ht="14.25" customHeight="1">
      <c r="C2017" s="245"/>
      <c r="D2017" s="26"/>
      <c r="E2017" s="26"/>
      <c r="F2017" s="26"/>
      <c r="G2017" s="26"/>
      <c r="H2017" s="5"/>
    </row>
    <row r="2018" spans="3:8" ht="14.25" customHeight="1">
      <c r="C2018" s="245"/>
      <c r="D2018" s="26"/>
      <c r="E2018" s="26"/>
      <c r="F2018" s="26"/>
      <c r="G2018" s="26"/>
      <c r="H2018" s="5"/>
    </row>
    <row r="2019" spans="3:8" ht="14.25" customHeight="1">
      <c r="C2019" s="245"/>
      <c r="D2019" s="26"/>
      <c r="E2019" s="26"/>
      <c r="F2019" s="26"/>
      <c r="G2019" s="26"/>
      <c r="H2019" s="5"/>
    </row>
    <row r="2020" spans="3:8" ht="14.25" customHeight="1">
      <c r="C2020" s="245"/>
      <c r="D2020" s="26"/>
      <c r="E2020" s="26"/>
      <c r="F2020" s="26"/>
      <c r="G2020" s="26"/>
      <c r="H2020" s="5"/>
    </row>
    <row r="2021" spans="3:8" ht="14.25" customHeight="1">
      <c r="C2021" s="245"/>
      <c r="D2021" s="26"/>
      <c r="E2021" s="26"/>
      <c r="F2021" s="26"/>
      <c r="G2021" s="26"/>
      <c r="H2021" s="5"/>
    </row>
    <row r="2022" spans="3:8" ht="14.25" customHeight="1">
      <c r="C2022" s="245"/>
      <c r="D2022" s="26"/>
      <c r="E2022" s="26"/>
      <c r="F2022" s="26"/>
      <c r="G2022" s="26"/>
      <c r="H2022" s="5"/>
    </row>
    <row r="2023" spans="3:8" ht="14.25" customHeight="1">
      <c r="C2023" s="245"/>
      <c r="D2023" s="26"/>
      <c r="E2023" s="26"/>
      <c r="F2023" s="26"/>
      <c r="G2023" s="26"/>
      <c r="H2023" s="5"/>
    </row>
    <row r="2024" spans="3:8" ht="14.25" customHeight="1">
      <c r="C2024" s="245"/>
      <c r="D2024" s="26"/>
      <c r="E2024" s="26"/>
      <c r="F2024" s="26"/>
      <c r="G2024" s="26"/>
      <c r="H2024" s="5"/>
    </row>
    <row r="2025" spans="3:8" ht="14.25" customHeight="1">
      <c r="C2025" s="245"/>
      <c r="D2025" s="26"/>
      <c r="E2025" s="26"/>
      <c r="F2025" s="26"/>
      <c r="G2025" s="26"/>
      <c r="H2025" s="5"/>
    </row>
    <row r="2026" spans="3:8" ht="14.25" customHeight="1">
      <c r="C2026" s="245"/>
      <c r="D2026" s="26"/>
      <c r="E2026" s="26"/>
      <c r="F2026" s="26"/>
      <c r="G2026" s="26"/>
      <c r="H2026" s="5"/>
    </row>
    <row r="2027" spans="3:8" ht="14.25" customHeight="1">
      <c r="C2027" s="245"/>
      <c r="D2027" s="26"/>
      <c r="E2027" s="26"/>
      <c r="F2027" s="26"/>
      <c r="G2027" s="26"/>
      <c r="H2027" s="5"/>
    </row>
    <row r="2028" spans="3:8" ht="14.25" customHeight="1">
      <c r="C2028" s="245"/>
      <c r="D2028" s="26"/>
      <c r="E2028" s="26"/>
      <c r="F2028" s="26"/>
      <c r="G2028" s="26"/>
      <c r="H2028" s="5"/>
    </row>
    <row r="2029" spans="3:8" ht="14.25" customHeight="1">
      <c r="C2029" s="245"/>
      <c r="D2029" s="26"/>
      <c r="E2029" s="26"/>
      <c r="F2029" s="26"/>
      <c r="G2029" s="26"/>
      <c r="H2029" s="5"/>
    </row>
    <row r="2030" spans="3:8" ht="14.25" customHeight="1">
      <c r="C2030" s="245"/>
      <c r="D2030" s="26"/>
      <c r="E2030" s="26"/>
      <c r="F2030" s="26"/>
      <c r="G2030" s="26"/>
      <c r="H2030" s="5"/>
    </row>
    <row r="2031" spans="3:8" ht="14.25" customHeight="1">
      <c r="C2031" s="245"/>
      <c r="D2031" s="26"/>
      <c r="E2031" s="26"/>
      <c r="F2031" s="26"/>
      <c r="G2031" s="26"/>
      <c r="H2031" s="5"/>
    </row>
    <row r="2032" spans="3:8" ht="14.25" customHeight="1">
      <c r="C2032" s="245"/>
      <c r="D2032" s="26"/>
      <c r="E2032" s="26"/>
      <c r="F2032" s="26"/>
      <c r="G2032" s="26"/>
      <c r="H2032" s="5"/>
    </row>
    <row r="2033" spans="2:46" ht="14.25" customHeight="1">
      <c r="C2033" s="245"/>
      <c r="D2033" s="26"/>
      <c r="E2033" s="26"/>
      <c r="F2033" s="26"/>
      <c r="G2033" s="26"/>
      <c r="H2033" s="5"/>
    </row>
    <row r="2034" spans="2:46" ht="14.25" customHeight="1">
      <c r="C2034" s="245"/>
      <c r="D2034" s="26"/>
      <c r="E2034" s="26"/>
      <c r="F2034" s="26"/>
      <c r="G2034" s="26"/>
      <c r="H2034" s="5"/>
    </row>
    <row r="2035" spans="2:46" ht="14.25" customHeight="1">
      <c r="C2035" s="245"/>
      <c r="D2035" s="26"/>
      <c r="E2035" s="26"/>
      <c r="F2035" s="26"/>
      <c r="G2035" s="26"/>
      <c r="H2035" s="5"/>
    </row>
    <row r="2036" spans="2:46" ht="14.25" customHeight="1">
      <c r="C2036" s="245"/>
      <c r="D2036" s="26"/>
      <c r="E2036" s="26"/>
      <c r="F2036" s="26"/>
      <c r="G2036" s="26"/>
      <c r="H2036" s="5"/>
    </row>
    <row r="2037" spans="2:46" ht="14.25" customHeight="1">
      <c r="C2037" s="245"/>
      <c r="D2037" s="26"/>
      <c r="E2037" s="26"/>
      <c r="F2037" s="26"/>
      <c r="G2037" s="26"/>
      <c r="H2037" s="5"/>
    </row>
    <row r="2038" spans="2:46" ht="14.25" customHeight="1">
      <c r="C2038" s="245"/>
      <c r="D2038" s="26"/>
      <c r="E2038" s="26"/>
      <c r="F2038" s="26"/>
      <c r="G2038" s="26"/>
      <c r="H2038" s="5"/>
    </row>
    <row r="2039" spans="2:46" ht="14.25" customHeight="1">
      <c r="C2039" s="245"/>
      <c r="D2039" s="26"/>
      <c r="E2039" s="26"/>
      <c r="F2039" s="26"/>
      <c r="G2039" s="26"/>
      <c r="H2039" s="5"/>
    </row>
    <row r="2040" spans="2:46" ht="14.25" customHeight="1">
      <c r="C2040" s="245"/>
      <c r="D2040" s="26"/>
      <c r="E2040" s="26"/>
      <c r="F2040" s="26"/>
      <c r="G2040" s="26"/>
      <c r="H2040" s="5"/>
    </row>
    <row r="2041" spans="2:46" ht="14.25" customHeight="1">
      <c r="C2041" s="245"/>
      <c r="D2041" s="26"/>
      <c r="E2041" s="26"/>
      <c r="F2041" s="26"/>
      <c r="G2041" s="26"/>
      <c r="H2041" s="5"/>
    </row>
    <row r="2042" spans="2:46" ht="14.25" customHeight="1">
      <c r="C2042" s="245"/>
      <c r="D2042" s="26"/>
      <c r="E2042" s="26"/>
      <c r="F2042" s="26"/>
      <c r="G2042" s="26"/>
      <c r="H2042" s="5"/>
    </row>
    <row r="2043" spans="2:46" ht="14.25" customHeight="1">
      <c r="C2043" s="245"/>
      <c r="D2043" s="26"/>
      <c r="E2043" s="26"/>
      <c r="F2043" s="26"/>
      <c r="G2043" s="26"/>
      <c r="H2043" s="5"/>
    </row>
    <row r="2044" spans="2:46" ht="14.25" customHeight="1">
      <c r="C2044" s="245"/>
      <c r="D2044" s="26"/>
      <c r="E2044" s="26"/>
      <c r="F2044" s="26"/>
      <c r="G2044" s="26"/>
      <c r="H2044" s="5"/>
    </row>
    <row r="2045" spans="2:46" ht="14.25" customHeight="1">
      <c r="C2045" s="245"/>
      <c r="D2045" s="26"/>
      <c r="E2045" s="26"/>
      <c r="F2045" s="26"/>
      <c r="G2045" s="26"/>
      <c r="H2045" s="5"/>
    </row>
    <row r="2046" spans="2:46" ht="14.25" customHeight="1">
      <c r="C2046" s="245"/>
      <c r="D2046" s="26"/>
      <c r="E2046" s="26"/>
      <c r="F2046" s="26"/>
      <c r="G2046" s="26"/>
      <c r="H2046" s="5"/>
      <c r="AE2046" s="289">
        <f>AD2046/100*12+AD2046</f>
        <v>0</v>
      </c>
      <c r="AF2046" s="289" t="e">
        <f>AE2046/AD2046-1</f>
        <v>#DIV/0!</v>
      </c>
    </row>
    <row r="2047" spans="2:46" s="8" customFormat="1">
      <c r="B2047" s="1"/>
      <c r="C2047" s="245"/>
      <c r="D2047" s="26"/>
      <c r="E2047" s="26"/>
      <c r="F2047" s="26"/>
      <c r="G2047" s="26"/>
      <c r="H2047" s="5"/>
      <c r="I2047" s="1"/>
      <c r="J2047" s="1"/>
      <c r="K2047" s="1"/>
      <c r="AN2047" s="280"/>
      <c r="AO2047" s="280"/>
      <c r="AP2047" s="280"/>
      <c r="AQ2047" s="280"/>
      <c r="AR2047" s="280"/>
      <c r="AS2047" s="280"/>
      <c r="AT2047" s="280"/>
    </row>
    <row r="2048" spans="2:46" s="8" customFormat="1" ht="12.75" customHeight="1">
      <c r="B2048" s="512" t="str">
        <f>TITLE!C36</f>
        <v>Полотна: ДОБОРИ</v>
      </c>
      <c r="C2048" s="513"/>
      <c r="D2048" s="118"/>
      <c r="E2048" s="118"/>
      <c r="F2048" s="118"/>
      <c r="G2048" s="118"/>
      <c r="H2048" s="118"/>
      <c r="I2048" s="121"/>
      <c r="J2048" s="121"/>
      <c r="K2048" s="121"/>
      <c r="L2048" s="121"/>
      <c r="M2048" s="121"/>
      <c r="N2048" s="121"/>
      <c r="O2048" s="121"/>
      <c r="P2048" s="121"/>
      <c r="Q2048" s="121"/>
      <c r="R2048" s="121"/>
      <c r="S2048" s="517" t="str">
        <f>IF($C$1="ENG",CONCATENATE("up to: ",B1981),CONCATENATE("вгору до: ",B1981))</f>
        <v>вгору до: Полотна: ДОБОР LADA</v>
      </c>
      <c r="T2048" s="517"/>
      <c r="U2048" s="517"/>
      <c r="V2048" s="517"/>
      <c r="W2048" s="517"/>
      <c r="AN2048" s="280"/>
      <c r="AO2048" s="280"/>
      <c r="AP2048" s="280"/>
      <c r="AQ2048" s="280"/>
      <c r="AR2048" s="280"/>
      <c r="AS2048" s="280"/>
      <c r="AT2048" s="280"/>
    </row>
    <row r="2049" spans="1:41" ht="4.5" customHeight="1">
      <c r="A2049" s="8"/>
      <c r="B2049" s="147"/>
      <c r="C2049" s="425"/>
      <c r="D2049" s="9"/>
      <c r="E2049" s="9"/>
      <c r="F2049" s="10"/>
      <c r="G2049" s="10"/>
      <c r="H2049" s="10"/>
      <c r="I2049" s="8"/>
      <c r="J2049" s="8"/>
      <c r="K2049" s="8"/>
      <c r="L2049" s="8"/>
      <c r="M2049" s="11"/>
      <c r="P2049" s="8"/>
      <c r="Q2049" s="11"/>
    </row>
    <row r="2050" spans="1:41" ht="12.75" customHeight="1">
      <c r="A2050" s="8"/>
      <c r="B2050" s="509" t="str">
        <f>IF($C$1="ENG","model","модель")</f>
        <v>модель</v>
      </c>
      <c r="C2050" s="122" t="str">
        <f>IF($C$1="ENG","cover:","покриття:")</f>
        <v>покриття:</v>
      </c>
      <c r="D2050" s="498" t="str">
        <f>IF($C$1="ENG","SIMPL / V-CELL","SIMPL / V-CELL")</f>
        <v>SIMPL / V-CELL</v>
      </c>
      <c r="E2050" s="500"/>
      <c r="F2050" s="498" t="str">
        <f>IF($C$1="ENG","UNI-MAT","UNI-MAT")</f>
        <v>UNI-MAT</v>
      </c>
      <c r="G2050" s="500"/>
      <c r="H2050" s="498" t="str">
        <f>IF($C$1="ENG","RESIST","RESIST")</f>
        <v>RESIST</v>
      </c>
      <c r="I2050" s="500"/>
      <c r="J2050" s="46"/>
      <c r="K2050" s="46"/>
      <c r="L2050" s="8"/>
      <c r="M2050" s="11"/>
      <c r="P2050" s="8"/>
      <c r="Q2050" s="11"/>
    </row>
    <row r="2051" spans="1:41" ht="12.75" customHeight="1">
      <c r="A2051" s="8"/>
      <c r="B2051" s="510"/>
      <c r="C2051" s="123" t="str">
        <f>IF($C$1="ENG","filling:","заповнення:")</f>
        <v>заповнення:</v>
      </c>
      <c r="D2051" s="505" t="str">
        <f>IF($C$1="ENG","honeycomb core ","сотове заповнення")</f>
        <v>сотове заповнення</v>
      </c>
      <c r="E2051" s="506"/>
      <c r="F2051" s="505" t="str">
        <f>IF($C$1="ENG","honeycomb core ","сотове заповнення")</f>
        <v>сотове заповнення</v>
      </c>
      <c r="G2051" s="506"/>
      <c r="H2051" s="505" t="str">
        <f>IF($C$1="ENG","honeycomb core ","сотове заповнення")</f>
        <v>сотове заповнення</v>
      </c>
      <c r="I2051" s="506"/>
      <c r="J2051" s="146"/>
      <c r="K2051" s="146"/>
      <c r="L2051" s="8"/>
      <c r="M2051" s="11"/>
      <c r="P2051" s="8"/>
      <c r="Q2051" s="11"/>
      <c r="Z2051" s="385"/>
    </row>
    <row r="2052" spans="1:41" ht="12.75" customHeight="1">
      <c r="A2052" s="8"/>
      <c r="B2052" s="511"/>
      <c r="C2052" s="124" t="str">
        <f>IF($C$1="ENG","glazing:","скління:")</f>
        <v>скління:</v>
      </c>
      <c r="D2052" s="489" t="str">
        <f>IF($C$1="ENG","Satin (Б)","Сатин (Б)")</f>
        <v>Сатин (Б)</v>
      </c>
      <c r="E2052" s="492"/>
      <c r="F2052" s="489" t="str">
        <f>IF($C$1="ENG","Satin (Б)","Сатин (Б)")</f>
        <v>Сатин (Б)</v>
      </c>
      <c r="G2052" s="492"/>
      <c r="H2052" s="489" t="str">
        <f>IF($C$1="ENG","Satin (Б)","Сатин (Б)")</f>
        <v>Сатин (Б)</v>
      </c>
      <c r="I2052" s="492"/>
      <c r="J2052" s="47"/>
      <c r="K2052" s="131"/>
      <c r="L2052" s="104"/>
      <c r="M2052" s="20"/>
      <c r="N2052" s="104"/>
      <c r="O2052" s="20"/>
      <c r="P2052" s="104"/>
      <c r="Q2052" s="20"/>
      <c r="R2052" s="104"/>
      <c r="S2052" s="20"/>
      <c r="T2052" s="104"/>
      <c r="V2052" s="104"/>
      <c r="W2052" s="20"/>
      <c r="X2052" s="22"/>
      <c r="Y2052" s="22"/>
      <c r="Z2052" s="22"/>
      <c r="AA2052" s="22"/>
      <c r="AB2052" s="22"/>
      <c r="AD2052" s="297">
        <f>AD2053/AC2053-1</f>
        <v>0.1515151515151516</v>
      </c>
      <c r="AE2052" s="297">
        <f>AE2053/AD2053-1</f>
        <v>0.10902255639097747</v>
      </c>
    </row>
    <row r="2053" spans="1:41" ht="35.1" customHeight="1">
      <c r="A2053" s="8"/>
      <c r="B2053" s="13" t="s">
        <v>4</v>
      </c>
      <c r="C2053" s="14"/>
      <c r="D2053" s="53">
        <f>IF(AC2053="","",(1-$W$2)*(AC2053/1.2))</f>
        <v>1925</v>
      </c>
      <c r="E2053" s="86">
        <f>IF($W$5=0.2,D2053*1.2,D2053)/$W$4</f>
        <v>2310</v>
      </c>
      <c r="F2053" s="15">
        <f>IF(AD2053="","",(1-$W$2)*(AD2053/1.2))</f>
        <v>2216.666666666667</v>
      </c>
      <c r="G2053" s="64">
        <f>IF($W$5=0.2,F2053*1.2,F2053)/$W$4</f>
        <v>2660.0000000000005</v>
      </c>
      <c r="H2053" s="15">
        <f>IF(AE2053="","",(1-$W$2)*(AE2053/1.2))</f>
        <v>2458.3333333333335</v>
      </c>
      <c r="I2053" s="64">
        <f>IF($W$5=0.2,H2053*1.2,H2053)/$W$4</f>
        <v>2950</v>
      </c>
      <c r="J2053" s="28"/>
      <c r="K2053" s="59"/>
      <c r="L2053" s="104"/>
      <c r="M2053" s="20"/>
      <c r="N2053" s="104"/>
      <c r="O2053" s="20"/>
      <c r="P2053" s="104"/>
      <c r="Q2053" s="20"/>
      <c r="R2053" s="104"/>
      <c r="S2053" s="20"/>
      <c r="T2053" s="104"/>
      <c r="V2053" s="104"/>
      <c r="W2053" s="20"/>
      <c r="AC2053" s="332">
        <v>2310</v>
      </c>
      <c r="AD2053" s="332">
        <v>2660</v>
      </c>
      <c r="AE2053" s="332">
        <v>2950</v>
      </c>
      <c r="AF2053" s="289">
        <v>2310</v>
      </c>
      <c r="AG2053" s="289">
        <f>AF2053/AC2053-1</f>
        <v>0</v>
      </c>
      <c r="AH2053" s="289">
        <v>2660</v>
      </c>
      <c r="AI2053" s="289">
        <f>AH2053/AD2053-1</f>
        <v>0</v>
      </c>
      <c r="AJ2053" s="289">
        <v>2950</v>
      </c>
      <c r="AK2053" s="289">
        <f>AJ2053/AE2053-1</f>
        <v>0</v>
      </c>
      <c r="AL2053" s="289"/>
      <c r="AO2053" s="1"/>
    </row>
    <row r="2054" spans="1:41" ht="34.5" customHeight="1">
      <c r="B2054" s="23" t="s">
        <v>5</v>
      </c>
      <c r="C2054" s="24"/>
      <c r="D2054" s="25">
        <f>IF(AC2054="","",(1-$W$2)*(AC2054/1.2))</f>
        <v>3858.3333333333335</v>
      </c>
      <c r="E2054" s="69">
        <f>IF($W$5=0.2,D2054*1.2,D2054)/$W$4</f>
        <v>4630</v>
      </c>
      <c r="F2054" s="25">
        <f>IF(AD2054="","",(1-$W$2)*(AD2054/1.2))</f>
        <v>4291.666666666667</v>
      </c>
      <c r="G2054" s="69">
        <f>IF($W$5=0.2,F2054*1.2,F2054)/$W$4</f>
        <v>5150</v>
      </c>
      <c r="H2054" s="25">
        <f>IF(AE2054="","",(1-$W$2)*(AE2054/1.2))</f>
        <v>4433.3333333333339</v>
      </c>
      <c r="I2054" s="69">
        <f>IF($W$5=0.2,H2054*1.2,H2054)/$W$4</f>
        <v>5320.0000000000009</v>
      </c>
      <c r="J2054" s="28"/>
      <c r="K2054" s="143"/>
      <c r="L2054" s="8"/>
      <c r="P2054" s="8"/>
      <c r="AC2054" s="332">
        <v>4630</v>
      </c>
      <c r="AD2054" s="332">
        <v>5150</v>
      </c>
      <c r="AE2054" s="332">
        <v>5320</v>
      </c>
      <c r="AF2054" s="289">
        <v>4630</v>
      </c>
      <c r="AG2054" s="289">
        <f>AF2054/AC2054-1</f>
        <v>0</v>
      </c>
      <c r="AH2054" s="289">
        <v>5150</v>
      </c>
      <c r="AI2054" s="289">
        <f>AH2054/AD2054-1</f>
        <v>0</v>
      </c>
      <c r="AJ2054" s="289">
        <v>5320</v>
      </c>
      <c r="AK2054" s="289">
        <f>AJ2054/AE2054-1</f>
        <v>0</v>
      </c>
      <c r="AL2054" s="289"/>
      <c r="AN2054" s="1"/>
      <c r="AO2054" s="1"/>
    </row>
    <row r="2055" spans="1:41">
      <c r="C2055" s="245"/>
      <c r="D2055" s="26"/>
      <c r="E2055" s="57"/>
      <c r="F2055" s="10"/>
      <c r="G2055" s="10"/>
      <c r="H2055" s="10"/>
      <c r="I2055" s="143"/>
      <c r="J2055" s="48"/>
      <c r="K2055" s="48"/>
      <c r="L2055" s="8"/>
      <c r="P2055" s="8"/>
    </row>
    <row r="2056" spans="1:41" ht="12.75" customHeight="1">
      <c r="B2056" s="212" t="str">
        <f>IF($C$1="ENG","For additonal charge:","Послуги за додаткову плату:")</f>
        <v>Послуги за додаткову плату:</v>
      </c>
      <c r="C2056" s="421"/>
      <c r="D2056" s="213"/>
      <c r="E2056" s="214"/>
      <c r="F2056" s="39"/>
      <c r="G2056" s="39"/>
      <c r="H2056" s="10"/>
      <c r="I2056" s="84"/>
      <c r="J2056" s="8"/>
      <c r="K2056" s="8"/>
    </row>
    <row r="2057" spans="1:41" ht="4.5" customHeight="1">
      <c r="B2057" s="27"/>
      <c r="C2057" s="245"/>
      <c r="D2057" s="26"/>
      <c r="E2057" s="57"/>
      <c r="F2057" s="39"/>
      <c r="G2057" s="26"/>
      <c r="H2057" s="10"/>
      <c r="I2057" s="8"/>
      <c r="J2057" s="8"/>
      <c r="K2057" s="8"/>
    </row>
    <row r="2058" spans="1:41">
      <c r="B2058" s="514" t="str">
        <f>IF($C$1="ENG","third door hindge","третя завіса")</f>
        <v>третя завіса</v>
      </c>
      <c r="C2058" s="515"/>
      <c r="D2058" s="132">
        <f t="shared" ref="D2058:D2063" si="295">IF(AC2058="","",(1-$W$2)*(AC2058/1.2))</f>
        <v>66.666666666666671</v>
      </c>
      <c r="E2058" s="92">
        <f t="shared" ref="E2058:E2063" si="296">IF($W$5=0.2,D2058*1.2,D2058)/$W$4</f>
        <v>80</v>
      </c>
      <c r="F2058" s="39"/>
      <c r="G2058" s="26"/>
      <c r="H2058" s="10"/>
      <c r="I2058" s="8"/>
      <c r="J2058" s="8"/>
      <c r="K2058" s="8"/>
      <c r="AC2058" s="298">
        <v>80</v>
      </c>
      <c r="AD2058" s="289">
        <v>80</v>
      </c>
      <c r="AE2058" s="289">
        <f>AD2058/AC2058-1</f>
        <v>0</v>
      </c>
      <c r="AF2058" s="289"/>
      <c r="AG2058" s="289"/>
      <c r="AH2058" s="289"/>
      <c r="AI2058" s="289"/>
      <c r="AJ2058" s="289"/>
      <c r="AK2058" s="289"/>
      <c r="AL2058" s="289"/>
    </row>
    <row r="2059" spans="1:41">
      <c r="B2059" s="439" t="str">
        <f>IF($C$1="ENG","glazing Triplex mat / black","скло Триплекс матовий / чорний")</f>
        <v>скло Триплекс матовий / чорний</v>
      </c>
      <c r="C2059" s="440" t="str">
        <f>IF($C$1="ENG","mod.Б","мод.Б")</f>
        <v>мод.Б</v>
      </c>
      <c r="D2059" s="274">
        <f t="shared" si="295"/>
        <v>941.66666666666674</v>
      </c>
      <c r="E2059" s="93">
        <f t="shared" si="296"/>
        <v>1130</v>
      </c>
      <c r="F2059" s="39"/>
      <c r="G2059" s="26"/>
      <c r="I2059" s="19"/>
      <c r="J2059" s="11"/>
      <c r="K2059" s="19"/>
      <c r="AC2059" s="332">
        <v>1130</v>
      </c>
      <c r="AD2059" s="289">
        <v>1130</v>
      </c>
      <c r="AE2059" s="289">
        <f t="shared" ref="AE2059:AE2063" si="297">AD2059/AC2059-1</f>
        <v>0</v>
      </c>
      <c r="AF2059" s="289"/>
      <c r="AG2059" s="289"/>
      <c r="AH2059" s="289"/>
      <c r="AI2059" s="289"/>
      <c r="AJ2059" s="289"/>
      <c r="AK2059" s="289"/>
      <c r="AL2059" s="289"/>
    </row>
    <row r="2060" spans="1:41">
      <c r="B2060" s="439" t="str">
        <f>IF($C$1="ENG","glazing Graphite / Bronze","скло Графіт / Бронза")</f>
        <v>скло Графіт / Бронза</v>
      </c>
      <c r="C2060" s="440" t="str">
        <f>IF($C$1="ENG","mod.Б","мод.Б")</f>
        <v>мод.Б</v>
      </c>
      <c r="D2060" s="274">
        <f t="shared" si="295"/>
        <v>616.66666666666674</v>
      </c>
      <c r="E2060" s="93">
        <f t="shared" si="296"/>
        <v>740.00000000000011</v>
      </c>
      <c r="F2060" s="39"/>
      <c r="G2060" s="26"/>
      <c r="I2060" s="19"/>
      <c r="J2060" s="11"/>
      <c r="K2060" s="19"/>
      <c r="AC2060" s="332">
        <v>740</v>
      </c>
      <c r="AD2060" s="289">
        <v>740</v>
      </c>
      <c r="AE2060" s="289">
        <f t="shared" si="297"/>
        <v>0</v>
      </c>
      <c r="AF2060" s="289"/>
      <c r="AG2060" s="289"/>
      <c r="AH2060" s="289"/>
      <c r="AI2060" s="289"/>
      <c r="AJ2060" s="289"/>
      <c r="AK2060" s="289"/>
      <c r="AL2060" s="289"/>
    </row>
    <row r="2061" spans="1:41">
      <c r="B2061" s="501" t="str">
        <f>IF($C$1="ENG","door hindge Prestige (1 unit)","завіса Prestige (1 шт)")</f>
        <v>завіса Prestige (1 шт)</v>
      </c>
      <c r="C2061" s="502"/>
      <c r="D2061" s="135">
        <f t="shared" si="295"/>
        <v>216.66666666666669</v>
      </c>
      <c r="E2061" s="93">
        <f t="shared" si="296"/>
        <v>260</v>
      </c>
      <c r="F2061" s="39"/>
      <c r="G2061" s="26"/>
      <c r="AC2061" s="298">
        <v>260</v>
      </c>
      <c r="AD2061" s="289">
        <v>260</v>
      </c>
      <c r="AE2061" s="289">
        <f t="shared" si="297"/>
        <v>0</v>
      </c>
      <c r="AF2061" s="289"/>
      <c r="AG2061" s="289"/>
      <c r="AH2061" s="289"/>
      <c r="AI2061" s="289"/>
      <c r="AJ2061" s="289"/>
      <c r="AK2061" s="289"/>
      <c r="AL2061" s="289"/>
    </row>
    <row r="2062" spans="1:41">
      <c r="B2062" s="501" t="str">
        <f>IF($C$1="ENG","door hinge caps (1 set)","накладка на завіси (1 к-т)")</f>
        <v>накладка на завіси (1 к-т)</v>
      </c>
      <c r="C2062" s="502"/>
      <c r="D2062" s="135">
        <f t="shared" si="295"/>
        <v>66.666666666666671</v>
      </c>
      <c r="E2062" s="93">
        <f t="shared" si="296"/>
        <v>80</v>
      </c>
      <c r="F2062" s="26"/>
      <c r="G2062" s="26"/>
      <c r="AC2062" s="298">
        <v>80</v>
      </c>
      <c r="AD2062" s="289">
        <v>80</v>
      </c>
      <c r="AE2062" s="289">
        <f t="shared" si="297"/>
        <v>0</v>
      </c>
      <c r="AF2062" s="289"/>
      <c r="AG2062" s="289"/>
      <c r="AH2062" s="289"/>
      <c r="AI2062" s="289"/>
      <c r="AJ2062" s="289"/>
      <c r="AK2062" s="289"/>
      <c r="AL2062" s="289"/>
    </row>
    <row r="2063" spans="1:41" ht="12" customHeight="1">
      <c r="B2063" s="439" t="str">
        <f>IF($C$1="ENG","perforated chipboard","ДСП трубчасте")</f>
        <v>ДСП трубчасте</v>
      </c>
      <c r="C2063" s="440" t="str">
        <f>IF($C$1="ENG","mod.A","мод.A")</f>
        <v>мод.A</v>
      </c>
      <c r="D2063" s="134">
        <f t="shared" si="295"/>
        <v>775</v>
      </c>
      <c r="E2063" s="94">
        <f t="shared" si="296"/>
        <v>930</v>
      </c>
      <c r="F2063" s="26"/>
      <c r="G2063" s="26"/>
      <c r="AC2063" s="298">
        <v>930</v>
      </c>
      <c r="AD2063" s="289">
        <v>930</v>
      </c>
      <c r="AE2063" s="289">
        <f t="shared" si="297"/>
        <v>0</v>
      </c>
      <c r="AF2063" s="289"/>
      <c r="AG2063" s="289"/>
      <c r="AH2063" s="289"/>
      <c r="AI2063" s="289"/>
      <c r="AJ2063" s="289"/>
      <c r="AK2063" s="289"/>
      <c r="AL2063" s="289"/>
    </row>
    <row r="2064" spans="1:41" ht="14.25" customHeight="1">
      <c r="C2064" s="245"/>
      <c r="D2064" s="26"/>
      <c r="E2064" s="26"/>
      <c r="F2064" s="26"/>
      <c r="G2064" s="26"/>
      <c r="H2064" s="5"/>
      <c r="T2064" s="503" t="str">
        <f>IF($C$1="ENG",CONCATENATE("down to: ",B2114),CONCATENATE("вниз до: ",B2114))</f>
        <v>вниз до: Розсувна система Verto-SLIDE</v>
      </c>
      <c r="U2064" s="503"/>
      <c r="V2064" s="503"/>
      <c r="W2064" s="503"/>
    </row>
    <row r="2065" spans="3:8" ht="14.25" customHeight="1">
      <c r="C2065" s="245"/>
      <c r="D2065" s="26"/>
      <c r="E2065" s="26"/>
      <c r="F2065" s="26"/>
      <c r="G2065" s="26"/>
      <c r="H2065" s="5"/>
    </row>
    <row r="2066" spans="3:8" ht="14.25" customHeight="1">
      <c r="C2066" s="245"/>
      <c r="D2066" s="26"/>
      <c r="E2066" s="26"/>
      <c r="F2066" s="26"/>
      <c r="G2066" s="26"/>
      <c r="H2066" s="5"/>
    </row>
    <row r="2067" spans="3:8" ht="14.25" customHeight="1">
      <c r="C2067" s="245"/>
      <c r="D2067" s="26"/>
      <c r="E2067" s="26"/>
      <c r="F2067" s="26"/>
      <c r="G2067" s="26"/>
      <c r="H2067" s="5"/>
    </row>
    <row r="2068" spans="3:8" ht="14.25" customHeight="1">
      <c r="C2068" s="245"/>
      <c r="D2068" s="26"/>
      <c r="E2068" s="26"/>
      <c r="F2068" s="26"/>
      <c r="G2068" s="26"/>
      <c r="H2068" s="5"/>
    </row>
    <row r="2069" spans="3:8" ht="14.25" customHeight="1">
      <c r="C2069" s="245"/>
      <c r="D2069" s="26"/>
      <c r="E2069" s="26"/>
      <c r="F2069" s="26"/>
      <c r="G2069" s="26"/>
      <c r="H2069" s="5"/>
    </row>
    <row r="2070" spans="3:8" ht="14.25" customHeight="1">
      <c r="C2070" s="245"/>
      <c r="D2070" s="26"/>
      <c r="E2070" s="26"/>
      <c r="F2070" s="26"/>
      <c r="G2070" s="26"/>
      <c r="H2070" s="5"/>
    </row>
    <row r="2071" spans="3:8" ht="14.25" customHeight="1">
      <c r="C2071" s="245"/>
      <c r="D2071" s="26"/>
      <c r="E2071" s="26"/>
      <c r="F2071" s="26"/>
      <c r="G2071" s="26"/>
      <c r="H2071" s="5"/>
    </row>
    <row r="2072" spans="3:8" ht="14.25" customHeight="1">
      <c r="C2072" s="245"/>
      <c r="D2072" s="26"/>
      <c r="E2072" s="26"/>
      <c r="F2072" s="26"/>
      <c r="G2072" s="26"/>
      <c r="H2072" s="5"/>
    </row>
    <row r="2073" spans="3:8" ht="14.25" customHeight="1">
      <c r="C2073" s="245"/>
      <c r="D2073" s="26"/>
      <c r="E2073" s="26"/>
      <c r="F2073" s="26"/>
      <c r="G2073" s="26"/>
      <c r="H2073" s="5"/>
    </row>
    <row r="2074" spans="3:8" ht="14.25" customHeight="1">
      <c r="C2074" s="245"/>
      <c r="D2074" s="26"/>
      <c r="E2074" s="26"/>
      <c r="F2074" s="26"/>
      <c r="G2074" s="26"/>
      <c r="H2074" s="5"/>
    </row>
    <row r="2075" spans="3:8" ht="14.25" customHeight="1">
      <c r="C2075" s="245"/>
      <c r="D2075" s="26"/>
      <c r="E2075" s="26"/>
      <c r="F2075" s="26"/>
      <c r="G2075" s="26"/>
      <c r="H2075" s="5"/>
    </row>
    <row r="2076" spans="3:8" ht="14.25" customHeight="1">
      <c r="C2076" s="245"/>
      <c r="D2076" s="26"/>
      <c r="E2076" s="26"/>
      <c r="F2076" s="26"/>
      <c r="G2076" s="26"/>
      <c r="H2076" s="5"/>
    </row>
    <row r="2077" spans="3:8" ht="14.25" customHeight="1">
      <c r="C2077" s="245"/>
      <c r="D2077" s="26"/>
      <c r="E2077" s="26"/>
      <c r="F2077" s="26"/>
      <c r="G2077" s="26"/>
      <c r="H2077" s="5"/>
    </row>
    <row r="2078" spans="3:8" ht="14.25" customHeight="1">
      <c r="C2078" s="245"/>
      <c r="D2078" s="26"/>
      <c r="E2078" s="26"/>
      <c r="F2078" s="26"/>
      <c r="G2078" s="26"/>
      <c r="H2078" s="5"/>
    </row>
    <row r="2079" spans="3:8" ht="14.25" customHeight="1">
      <c r="C2079" s="245"/>
      <c r="D2079" s="26"/>
      <c r="E2079" s="26"/>
      <c r="F2079" s="26"/>
      <c r="G2079" s="26"/>
      <c r="H2079" s="5"/>
    </row>
    <row r="2080" spans="3:8" ht="14.25" customHeight="1">
      <c r="C2080" s="245"/>
      <c r="D2080" s="26"/>
      <c r="E2080" s="26"/>
      <c r="F2080" s="26"/>
      <c r="G2080" s="26"/>
      <c r="H2080" s="5"/>
    </row>
    <row r="2081" spans="3:8" ht="14.25" customHeight="1">
      <c r="C2081" s="245"/>
      <c r="D2081" s="26"/>
      <c r="E2081" s="26"/>
      <c r="F2081" s="26"/>
      <c r="G2081" s="26"/>
      <c r="H2081" s="5"/>
    </row>
    <row r="2082" spans="3:8" ht="14.25" customHeight="1">
      <c r="C2082" s="245"/>
      <c r="D2082" s="26"/>
      <c r="E2082" s="26"/>
      <c r="F2082" s="26"/>
      <c r="G2082" s="26"/>
      <c r="H2082" s="5"/>
    </row>
    <row r="2083" spans="3:8" ht="14.25" customHeight="1">
      <c r="C2083" s="245"/>
      <c r="D2083" s="26"/>
      <c r="E2083" s="26"/>
      <c r="F2083" s="26"/>
      <c r="G2083" s="26"/>
      <c r="H2083" s="5"/>
    </row>
    <row r="2084" spans="3:8" ht="14.25" customHeight="1">
      <c r="C2084" s="245"/>
      <c r="D2084" s="26"/>
      <c r="E2084" s="26"/>
      <c r="F2084" s="26"/>
      <c r="G2084" s="26"/>
      <c r="H2084" s="5"/>
    </row>
    <row r="2085" spans="3:8" ht="14.25" customHeight="1">
      <c r="C2085" s="245"/>
      <c r="D2085" s="26"/>
      <c r="E2085" s="26"/>
      <c r="F2085" s="26"/>
      <c r="G2085" s="26"/>
      <c r="H2085" s="5"/>
    </row>
    <row r="2086" spans="3:8" ht="14.25" customHeight="1">
      <c r="C2086" s="245"/>
      <c r="D2086" s="26"/>
      <c r="E2086" s="26"/>
      <c r="F2086" s="26"/>
      <c r="G2086" s="26"/>
      <c r="H2086" s="5"/>
    </row>
    <row r="2087" spans="3:8" ht="14.25" customHeight="1">
      <c r="C2087" s="245"/>
      <c r="D2087" s="26"/>
      <c r="E2087" s="26"/>
      <c r="F2087" s="26"/>
      <c r="G2087" s="26"/>
      <c r="H2087" s="5"/>
    </row>
    <row r="2088" spans="3:8" ht="14.25" customHeight="1">
      <c r="C2088" s="245"/>
      <c r="D2088" s="26"/>
      <c r="E2088" s="26"/>
      <c r="F2088" s="26"/>
      <c r="G2088" s="26"/>
      <c r="H2088" s="5"/>
    </row>
    <row r="2089" spans="3:8" ht="14.25" customHeight="1">
      <c r="C2089" s="245"/>
      <c r="D2089" s="26"/>
      <c r="E2089" s="26"/>
      <c r="F2089" s="26"/>
      <c r="G2089" s="26"/>
      <c r="H2089" s="5"/>
    </row>
    <row r="2090" spans="3:8" ht="14.25" customHeight="1">
      <c r="C2090" s="245"/>
      <c r="D2090" s="26"/>
      <c r="E2090" s="26"/>
      <c r="F2090" s="26"/>
      <c r="G2090" s="26"/>
      <c r="H2090" s="5"/>
    </row>
    <row r="2091" spans="3:8" ht="14.25" customHeight="1">
      <c r="C2091" s="245"/>
      <c r="D2091" s="26"/>
      <c r="E2091" s="26"/>
      <c r="F2091" s="26"/>
      <c r="G2091" s="26"/>
      <c r="H2091" s="5"/>
    </row>
    <row r="2092" spans="3:8" ht="14.25" customHeight="1">
      <c r="C2092" s="245"/>
      <c r="D2092" s="26"/>
      <c r="E2092" s="26"/>
      <c r="F2092" s="26"/>
      <c r="G2092" s="26"/>
      <c r="H2092" s="5"/>
    </row>
    <row r="2093" spans="3:8" ht="14.25" customHeight="1">
      <c r="C2093" s="245"/>
      <c r="D2093" s="26"/>
      <c r="E2093" s="26"/>
      <c r="F2093" s="26"/>
      <c r="G2093" s="26"/>
      <c r="H2093" s="5"/>
    </row>
    <row r="2094" spans="3:8" ht="14.25" customHeight="1">
      <c r="C2094" s="245"/>
      <c r="D2094" s="26"/>
      <c r="E2094" s="26"/>
      <c r="F2094" s="26"/>
      <c r="G2094" s="26"/>
      <c r="H2094" s="5"/>
    </row>
    <row r="2095" spans="3:8" ht="14.25" customHeight="1">
      <c r="C2095" s="245"/>
      <c r="D2095" s="26"/>
      <c r="E2095" s="26"/>
      <c r="F2095" s="26"/>
      <c r="G2095" s="26"/>
      <c r="H2095" s="5"/>
    </row>
    <row r="2096" spans="3:8" ht="14.25" customHeight="1">
      <c r="C2096" s="245"/>
      <c r="D2096" s="26"/>
      <c r="E2096" s="26"/>
      <c r="F2096" s="26"/>
      <c r="G2096" s="26"/>
      <c r="H2096" s="5"/>
    </row>
    <row r="2097" spans="3:23" ht="14.25" customHeight="1">
      <c r="C2097" s="245"/>
      <c r="D2097" s="26"/>
      <c r="E2097" s="26"/>
      <c r="F2097" s="26"/>
      <c r="G2097" s="26"/>
      <c r="H2097" s="5"/>
    </row>
    <row r="2098" spans="3:23" ht="14.25" customHeight="1">
      <c r="C2098" s="245"/>
      <c r="D2098" s="26"/>
      <c r="E2098" s="26"/>
      <c r="F2098" s="26"/>
      <c r="G2098" s="26"/>
      <c r="H2098" s="5"/>
    </row>
    <row r="2099" spans="3:23" ht="14.25" customHeight="1">
      <c r="C2099" s="245"/>
      <c r="D2099" s="26"/>
      <c r="E2099" s="26"/>
      <c r="F2099" s="26"/>
      <c r="G2099" s="26"/>
      <c r="H2099" s="5"/>
    </row>
    <row r="2100" spans="3:23" ht="14.25" customHeight="1">
      <c r="C2100" s="245"/>
      <c r="D2100" s="26"/>
      <c r="E2100" s="26"/>
      <c r="F2100" s="26"/>
      <c r="G2100" s="26"/>
      <c r="H2100" s="5"/>
    </row>
    <row r="2101" spans="3:23" ht="14.25" customHeight="1">
      <c r="C2101" s="245"/>
      <c r="D2101" s="26"/>
      <c r="E2101" s="26"/>
      <c r="F2101" s="26"/>
      <c r="G2101" s="26"/>
      <c r="H2101" s="5"/>
    </row>
    <row r="2102" spans="3:23" ht="14.25" customHeight="1">
      <c r="C2102" s="245"/>
      <c r="D2102" s="26"/>
      <c r="E2102" s="26"/>
      <c r="F2102" s="26"/>
      <c r="G2102" s="26"/>
      <c r="H2102" s="5"/>
    </row>
    <row r="2103" spans="3:23" ht="14.25" customHeight="1">
      <c r="C2103" s="245"/>
      <c r="D2103" s="26"/>
      <c r="E2103" s="26"/>
      <c r="F2103" s="26"/>
      <c r="G2103" s="26"/>
      <c r="H2103" s="5"/>
    </row>
    <row r="2104" spans="3:23" ht="14.25" customHeight="1">
      <c r="C2104" s="245"/>
      <c r="D2104" s="26"/>
      <c r="E2104" s="26"/>
      <c r="F2104" s="26"/>
      <c r="G2104" s="26"/>
      <c r="H2104" s="5"/>
    </row>
    <row r="2105" spans="3:23" ht="14.25" customHeight="1">
      <c r="C2105" s="245"/>
      <c r="D2105" s="26"/>
      <c r="E2105" s="26"/>
      <c r="F2105" s="26"/>
      <c r="G2105" s="26"/>
      <c r="H2105" s="5"/>
    </row>
    <row r="2106" spans="3:23" ht="14.25" customHeight="1">
      <c r="C2106" s="245"/>
      <c r="D2106" s="26"/>
      <c r="E2106" s="26"/>
      <c r="F2106" s="26"/>
      <c r="G2106" s="26"/>
      <c r="H2106" s="5"/>
    </row>
    <row r="2107" spans="3:23" ht="14.25" customHeight="1">
      <c r="C2107" s="245"/>
      <c r="D2107" s="26"/>
      <c r="E2107" s="26"/>
      <c r="F2107" s="26"/>
      <c r="G2107" s="26"/>
      <c r="H2107" s="5"/>
      <c r="O2107" s="38"/>
      <c r="S2107" s="38"/>
      <c r="T2107" s="38"/>
      <c r="U2107" s="38"/>
      <c r="V2107" s="38"/>
      <c r="W2107" s="38"/>
    </row>
    <row r="2108" spans="3:23" ht="14.25" customHeight="1">
      <c r="C2108" s="245"/>
      <c r="D2108" s="26"/>
      <c r="E2108" s="26"/>
      <c r="F2108" s="26"/>
      <c r="G2108" s="26"/>
      <c r="H2108" s="5"/>
      <c r="O2108" s="48"/>
      <c r="S2108" s="48"/>
      <c r="T2108" s="48"/>
      <c r="U2108" s="48"/>
      <c r="V2108" s="48"/>
      <c r="W2108" s="48"/>
    </row>
    <row r="2109" spans="3:23" ht="14.25" customHeight="1">
      <c r="C2109" s="245"/>
      <c r="D2109" s="26"/>
      <c r="E2109" s="26"/>
      <c r="F2109" s="26"/>
      <c r="G2109" s="26"/>
      <c r="H2109" s="5"/>
      <c r="O2109" s="149"/>
      <c r="S2109" s="149"/>
      <c r="T2109" s="149"/>
      <c r="U2109" s="149"/>
      <c r="V2109" s="149"/>
      <c r="W2109" s="149"/>
    </row>
    <row r="2110" spans="3:23" ht="14.25" customHeight="1">
      <c r="C2110" s="245"/>
      <c r="D2110" s="26"/>
      <c r="E2110" s="26"/>
      <c r="F2110" s="26"/>
      <c r="G2110" s="26"/>
      <c r="H2110" s="5"/>
      <c r="O2110" s="38"/>
      <c r="S2110" s="38"/>
      <c r="T2110" s="38"/>
      <c r="U2110" s="38"/>
      <c r="V2110" s="38"/>
      <c r="W2110" s="38"/>
    </row>
    <row r="2111" spans="3:23" ht="14.25" customHeight="1">
      <c r="C2111" s="245"/>
      <c r="D2111" s="26"/>
      <c r="E2111" s="26"/>
      <c r="F2111" s="26"/>
      <c r="G2111" s="26"/>
      <c r="H2111" s="26"/>
      <c r="J2111" s="26"/>
    </row>
    <row r="2112" spans="3:23" ht="14.25" customHeight="1">
      <c r="C2112" s="245"/>
      <c r="D2112" s="26"/>
      <c r="E2112" s="26"/>
      <c r="F2112" s="26"/>
      <c r="G2112" s="26"/>
      <c r="H2112" s="5"/>
    </row>
    <row r="2113" spans="1:46" s="8" customFormat="1">
      <c r="B2113" s="1"/>
      <c r="C2113" s="245"/>
      <c r="D2113" s="26"/>
      <c r="E2113" s="26"/>
      <c r="F2113" s="26"/>
      <c r="G2113" s="26"/>
      <c r="H2113" s="5"/>
      <c r="I2113" s="1"/>
      <c r="J2113" s="1"/>
      <c r="K2113" s="1"/>
      <c r="AN2113" s="280"/>
      <c r="AO2113" s="280"/>
      <c r="AP2113" s="280"/>
      <c r="AQ2113" s="280"/>
      <c r="AR2113" s="280"/>
      <c r="AS2113" s="280"/>
      <c r="AT2113" s="280"/>
    </row>
    <row r="2114" spans="1:46" s="8" customFormat="1" ht="12.75" customHeight="1">
      <c r="B2114" s="493" t="str">
        <f>TITLE!$C$39</f>
        <v>Розсувна система Verto-SLIDE</v>
      </c>
      <c r="C2114" s="494"/>
      <c r="D2114" s="118"/>
      <c r="E2114" s="118"/>
      <c r="F2114" s="118"/>
      <c r="G2114" s="118"/>
      <c r="H2114" s="496"/>
      <c r="I2114" s="496"/>
      <c r="J2114" s="121"/>
      <c r="K2114" s="121"/>
      <c r="L2114" s="121"/>
      <c r="M2114" s="121"/>
      <c r="N2114" s="121"/>
      <c r="O2114" s="121"/>
      <c r="P2114" s="121"/>
      <c r="Q2114" s="121"/>
      <c r="R2114" s="121"/>
      <c r="S2114" s="121"/>
      <c r="T2114" s="517" t="str">
        <f>IF($C$1="ENG",CONCATENATE("up to: ",B2048),CONCATENATE("вгору до: ",B2048))</f>
        <v>вгору до: Полотна: ДОБОРИ</v>
      </c>
      <c r="U2114" s="517"/>
      <c r="V2114" s="517"/>
      <c r="W2114" s="517"/>
      <c r="AN2114" s="280"/>
      <c r="AO2114" s="280"/>
      <c r="AP2114" s="280"/>
      <c r="AQ2114" s="280"/>
      <c r="AR2114" s="280"/>
      <c r="AS2114" s="280"/>
      <c r="AT2114" s="280"/>
    </row>
    <row r="2115" spans="1:46" ht="4.5" customHeight="1">
      <c r="A2115" s="8"/>
      <c r="B2115" s="148"/>
      <c r="C2115" s="420"/>
      <c r="D2115" s="9"/>
      <c r="E2115" s="9"/>
      <c r="F2115" s="10"/>
      <c r="G2115" s="10"/>
      <c r="H2115" s="120"/>
      <c r="I2115" s="120"/>
      <c r="J2115" s="8"/>
      <c r="K2115" s="8"/>
      <c r="L2115" s="47"/>
      <c r="M2115" s="47"/>
      <c r="N2115" s="46"/>
      <c r="O2115" s="46"/>
      <c r="P2115" s="47"/>
      <c r="Q2115" s="47"/>
      <c r="R2115" s="46"/>
      <c r="S2115" s="46"/>
      <c r="T2115" s="48"/>
    </row>
    <row r="2116" spans="1:46" ht="12.75" customHeight="1">
      <c r="A2116" s="8"/>
      <c r="B2116" s="509" t="str">
        <f>IF($C$1="ENG","(without door)","(без полотна)")</f>
        <v>(без полотна)</v>
      </c>
      <c r="C2116" s="122" t="str">
        <f>IF($C$1="ENG","cover:","покриття:")</f>
        <v>покриття:</v>
      </c>
      <c r="D2116" s="498" t="str">
        <f>IF($C$1="ENG","SIMPL / V-CELL","SIMPL / V-CELL")</f>
        <v>SIMPL / V-CELL</v>
      </c>
      <c r="E2116" s="500"/>
      <c r="F2116" s="498" t="str">
        <f>IF($C$1="ENG","UNI-MAT","UNI-MAT")</f>
        <v>UNI-MAT</v>
      </c>
      <c r="G2116" s="500"/>
      <c r="H2116" s="498" t="str">
        <f>IF($C$1="ENG","RESIST","RESIST")</f>
        <v>RESIST</v>
      </c>
      <c r="I2116" s="500"/>
      <c r="J2116" s="498" t="str">
        <f>IF($C$1="ENG","Verto LINE-3D","Verto LINE-3D")</f>
        <v>Verto LINE-3D</v>
      </c>
      <c r="K2116" s="500"/>
      <c r="L2116" s="498" t="str">
        <f>IF($C$1="ENG","ECO Shpon / LOFT ","ЕКО Шпон / ЛОФТ")</f>
        <v>ЕКО Шпон / ЛОФТ</v>
      </c>
      <c r="M2116" s="500"/>
      <c r="N2116" s="46"/>
      <c r="O2116" s="46"/>
      <c r="R2116" s="46"/>
      <c r="S2116" s="46"/>
      <c r="T2116" s="48"/>
      <c r="AD2116" s="384">
        <f>AD2118/AC2118-1</f>
        <v>3.7037037037036979E-2</v>
      </c>
      <c r="AE2116" s="384">
        <f>AE2118/AD2118-1</f>
        <v>2.8061224489795977E-2</v>
      </c>
      <c r="AF2116" s="384">
        <f>AF2118/AE2118-1</f>
        <v>8.4367245657568146E-2</v>
      </c>
      <c r="AG2116" s="384">
        <f>AG2118/AF2118-1</f>
        <v>5.720823798626995E-2</v>
      </c>
    </row>
    <row r="2117" spans="1:46" ht="12.75" customHeight="1">
      <c r="A2117" s="8"/>
      <c r="B2117" s="511"/>
      <c r="C2117" s="124" t="str">
        <f>IF($C$1="ENG","type:","виконання:")</f>
        <v>виконання:</v>
      </c>
      <c r="D2117" s="489" t="str">
        <f>IF($C$1="ENG","single leaf","одностулкове")</f>
        <v>одностулкове</v>
      </c>
      <c r="E2117" s="492"/>
      <c r="F2117" s="489" t="str">
        <f>IF($C$1="ENG","single leaf","одностулкове")</f>
        <v>одностулкове</v>
      </c>
      <c r="G2117" s="492"/>
      <c r="H2117" s="489" t="str">
        <f>IF($C$1="ENG","single leaf","одностулкове")</f>
        <v>одностулкове</v>
      </c>
      <c r="I2117" s="492"/>
      <c r="J2117" s="489" t="str">
        <f>IF($C$1="ENG","single leaf","одностулкове")</f>
        <v>одностулкове</v>
      </c>
      <c r="K2117" s="492"/>
      <c r="L2117" s="489" t="str">
        <f>IF($C$1="ENG","single leaf","одностулкове")</f>
        <v>одностулкове</v>
      </c>
      <c r="M2117" s="492"/>
      <c r="N2117" s="28"/>
      <c r="O2117" s="29"/>
      <c r="R2117" s="28"/>
      <c r="S2117" s="29"/>
      <c r="T2117" s="52"/>
      <c r="U2117" s="29"/>
      <c r="W2117" s="29"/>
      <c r="X2117" s="22"/>
      <c r="Y2117" s="22"/>
      <c r="Z2117" s="22"/>
      <c r="AA2117" s="22"/>
      <c r="AB2117" s="22"/>
    </row>
    <row r="2118" spans="1:46" ht="34.5" customHeight="1">
      <c r="B2118" s="150" t="str">
        <f>IF($C$1="ENG","Sliding system","Розсувна система")</f>
        <v>Розсувна система</v>
      </c>
      <c r="C2118" s="329"/>
      <c r="D2118" s="51">
        <f>IF(AC2118="","",(1-$W$2)*(AC2118/1.2))</f>
        <v>3150</v>
      </c>
      <c r="E2118" s="85">
        <f>IF($W$5=0.2,D2118*1.2,D2118)/$W$4</f>
        <v>3780</v>
      </c>
      <c r="F2118" s="51">
        <f>IF(AD2118="","",(1-$W$2)*(AD2118/1.2))</f>
        <v>3266.666666666667</v>
      </c>
      <c r="G2118" s="85">
        <f>IF($W$5=0.2,F2118*1.2,F2118)/$W$4</f>
        <v>3920</v>
      </c>
      <c r="H2118" s="51">
        <f>IF(AE2118="","",(1-$W$2)*(AE2118/1.2))</f>
        <v>3358.3333333333335</v>
      </c>
      <c r="I2118" s="85">
        <f>IF($W$5=0.2,H2118*1.2,H2118)/$W$4</f>
        <v>4030</v>
      </c>
      <c r="J2118" s="51">
        <f>IF(AF2118="","",(1-$W$2)*(AF2118/1.2))</f>
        <v>3641.666666666667</v>
      </c>
      <c r="K2118" s="85">
        <f>IF($W$5=0.2,J2118*1.2,J2118)/$W$4</f>
        <v>4370</v>
      </c>
      <c r="L2118" s="51">
        <f>IF(AG2118="","",(1-$W$2)*(AG2118/1.2))</f>
        <v>3850</v>
      </c>
      <c r="M2118" s="85">
        <f>IF($W$5=0.2,L2118*1.2,L2118)/$W$4</f>
        <v>4620</v>
      </c>
      <c r="AC2118" s="332">
        <v>3780</v>
      </c>
      <c r="AD2118" s="332">
        <v>3920</v>
      </c>
      <c r="AE2118" s="332">
        <v>4030</v>
      </c>
      <c r="AF2118" s="332">
        <v>4370</v>
      </c>
      <c r="AG2118" s="332">
        <v>4620</v>
      </c>
      <c r="AH2118" s="289">
        <v>3780</v>
      </c>
      <c r="AI2118" s="289">
        <f>AH2118/AC2118-1</f>
        <v>0</v>
      </c>
      <c r="AJ2118" s="289">
        <v>3920</v>
      </c>
      <c r="AK2118" s="289">
        <f>AJ2118/AD2118-1</f>
        <v>0</v>
      </c>
      <c r="AL2118" s="289">
        <v>4030</v>
      </c>
      <c r="AM2118" s="289">
        <f>AL2118/AE2118-1</f>
        <v>0</v>
      </c>
      <c r="AN2118" s="289">
        <v>4370</v>
      </c>
      <c r="AO2118" s="289">
        <f>AN2118/AF2118-1</f>
        <v>0</v>
      </c>
      <c r="AP2118" s="289">
        <v>4620</v>
      </c>
      <c r="AQ2118" s="289">
        <f>AP2118/AG2118-1</f>
        <v>0</v>
      </c>
    </row>
    <row r="2119" spans="1:46">
      <c r="C2119" s="245"/>
      <c r="D2119" s="26"/>
      <c r="E2119" s="26"/>
      <c r="F2119" s="26"/>
      <c r="G2119" s="26"/>
      <c r="H2119" s="5"/>
      <c r="L2119" s="8"/>
    </row>
    <row r="2120" spans="1:46" ht="12.75" customHeight="1">
      <c r="B2120" s="212" t="str">
        <f>IF($C$1="ENG","For additonal charge:","Послуги за додаткову плату:")</f>
        <v>Послуги за додаткову плату:</v>
      </c>
      <c r="C2120" s="421"/>
      <c r="D2120" s="213"/>
      <c r="E2120" s="214"/>
      <c r="F2120" s="39"/>
      <c r="G2120" s="39"/>
      <c r="H2120" s="10"/>
      <c r="I2120" s="8"/>
      <c r="J2120" s="8"/>
      <c r="K2120" s="8"/>
    </row>
    <row r="2121" spans="1:46" ht="4.5" customHeight="1">
      <c r="B2121" s="27"/>
      <c r="C2121" s="245"/>
      <c r="D2121" s="26"/>
      <c r="E2121" s="57"/>
      <c r="F2121" s="26"/>
      <c r="G2121" s="26"/>
      <c r="H2121" s="10"/>
      <c r="I2121" s="8"/>
      <c r="J2121" s="8"/>
      <c r="K2121" s="8"/>
    </row>
    <row r="2122" spans="1:46" ht="14.25" customHeight="1">
      <c r="B2122" s="486" t="str">
        <f>IF($C$1="ENG","Door lock hatch","відповідна планка замка")</f>
        <v>відповідна планка замка</v>
      </c>
      <c r="C2122" s="487"/>
      <c r="D2122" s="51">
        <f>IF(AC2122="","",(1-$W$2)*(AC2122/1.2))</f>
        <v>91.666666666666671</v>
      </c>
      <c r="E2122" s="85">
        <f>IF($W$5=0.2,D2122*1.2,D2122)/$W$4</f>
        <v>110</v>
      </c>
      <c r="F2122" s="26"/>
      <c r="G2122" s="26"/>
      <c r="H2122" s="10"/>
      <c r="I2122" s="84"/>
      <c r="J2122" s="8"/>
      <c r="K2122" s="8"/>
      <c r="AC2122" s="298">
        <v>110</v>
      </c>
      <c r="AD2122" s="289"/>
      <c r="AE2122" s="289"/>
      <c r="AF2122" s="289"/>
      <c r="AG2122" s="289"/>
      <c r="AH2122" s="289"/>
      <c r="AI2122" s="289"/>
      <c r="AJ2122" s="289"/>
      <c r="AK2122" s="289"/>
      <c r="AL2122" s="289"/>
    </row>
    <row r="2123" spans="1:46" ht="14.25" customHeight="1">
      <c r="B2123" s="95"/>
      <c r="C2123" s="95"/>
      <c r="D2123" s="96"/>
      <c r="E2123" s="59"/>
      <c r="F2123" s="26"/>
      <c r="G2123" s="26"/>
      <c r="I2123" s="11"/>
      <c r="J2123" s="11"/>
      <c r="K2123" s="19"/>
      <c r="T2123" s="521" t="str">
        <f>IF($C$1="ENG",CONCATENATE("down to: ",B2173),CONCATENATE("вниз до: ",B2173))</f>
        <v>вниз до: Дверна коробка STANDARD</v>
      </c>
      <c r="U2123" s="521"/>
      <c r="V2123" s="521"/>
      <c r="W2123" s="521"/>
    </row>
    <row r="2124" spans="1:46" ht="14.25" customHeight="1">
      <c r="C2124" s="245"/>
      <c r="D2124" s="26"/>
      <c r="E2124" s="26"/>
      <c r="F2124" s="26"/>
      <c r="G2124" s="26"/>
      <c r="H2124" s="5"/>
      <c r="I2124" s="26"/>
    </row>
    <row r="2125" spans="1:46" ht="14.25" customHeight="1">
      <c r="C2125" s="245"/>
      <c r="D2125" s="26"/>
      <c r="E2125" s="26"/>
      <c r="F2125" s="26"/>
      <c r="G2125" s="57"/>
      <c r="H2125" s="5"/>
      <c r="I2125" s="26"/>
    </row>
    <row r="2126" spans="1:46" ht="14.25" customHeight="1">
      <c r="C2126" s="245"/>
      <c r="D2126" s="26"/>
      <c r="E2126" s="26"/>
      <c r="F2126" s="26"/>
      <c r="G2126" s="26"/>
      <c r="H2126" s="5"/>
      <c r="I2126" s="26"/>
    </row>
    <row r="2127" spans="1:46" ht="14.25" customHeight="1">
      <c r="C2127" s="245"/>
      <c r="D2127" s="26"/>
      <c r="E2127" s="26"/>
      <c r="F2127" s="26"/>
      <c r="G2127" s="26"/>
      <c r="H2127" s="5"/>
      <c r="I2127" s="57"/>
    </row>
    <row r="2128" spans="1:46" ht="14.25" customHeight="1">
      <c r="C2128" s="245"/>
      <c r="D2128" s="26"/>
      <c r="E2128" s="26"/>
      <c r="F2128" s="26"/>
      <c r="G2128" s="26"/>
      <c r="H2128" s="5"/>
      <c r="I2128" s="26"/>
    </row>
    <row r="2129" spans="3:9" ht="14.25" customHeight="1">
      <c r="C2129" s="245"/>
      <c r="D2129" s="26"/>
      <c r="E2129" s="26"/>
      <c r="F2129" s="26"/>
      <c r="G2129" s="26"/>
      <c r="H2129" s="5"/>
      <c r="I2129" s="26"/>
    </row>
    <row r="2130" spans="3:9" ht="14.25" customHeight="1">
      <c r="C2130" s="245"/>
      <c r="D2130" s="26"/>
      <c r="E2130" s="26"/>
      <c r="F2130" s="26"/>
      <c r="G2130" s="26"/>
      <c r="H2130" s="5"/>
      <c r="I2130" s="26"/>
    </row>
    <row r="2131" spans="3:9" ht="14.25" customHeight="1">
      <c r="C2131" s="245"/>
      <c r="D2131" s="26"/>
      <c r="E2131" s="26"/>
      <c r="F2131" s="26"/>
      <c r="G2131" s="26"/>
      <c r="H2131" s="5"/>
      <c r="I2131" s="26"/>
    </row>
    <row r="2132" spans="3:9" ht="14.25" customHeight="1">
      <c r="C2132" s="245"/>
      <c r="D2132" s="26"/>
      <c r="E2132" s="26"/>
      <c r="F2132" s="26"/>
      <c r="G2132" s="26"/>
      <c r="H2132" s="5"/>
      <c r="I2132" s="26"/>
    </row>
    <row r="2133" spans="3:9" ht="14.25" customHeight="1">
      <c r="C2133" s="245"/>
      <c r="D2133" s="26"/>
      <c r="E2133" s="26"/>
      <c r="F2133" s="26"/>
      <c r="G2133" s="26"/>
      <c r="H2133" s="5"/>
      <c r="I2133" s="26"/>
    </row>
    <row r="2134" spans="3:9" ht="14.25" customHeight="1">
      <c r="C2134" s="245"/>
      <c r="D2134" s="26"/>
      <c r="E2134" s="26"/>
      <c r="F2134" s="26"/>
      <c r="G2134" s="26"/>
      <c r="H2134" s="5"/>
      <c r="I2134" s="26"/>
    </row>
    <row r="2135" spans="3:9" ht="14.25" customHeight="1">
      <c r="C2135" s="245"/>
      <c r="D2135" s="26"/>
      <c r="E2135" s="26"/>
      <c r="F2135" s="26"/>
      <c r="G2135" s="26"/>
      <c r="H2135" s="5"/>
      <c r="I2135" s="26"/>
    </row>
    <row r="2136" spans="3:9" ht="14.25" customHeight="1">
      <c r="C2136" s="245"/>
      <c r="D2136" s="26"/>
      <c r="E2136" s="26"/>
      <c r="F2136" s="26"/>
      <c r="G2136" s="26"/>
      <c r="H2136" s="5"/>
      <c r="I2136" s="26"/>
    </row>
    <row r="2137" spans="3:9" ht="14.25" customHeight="1">
      <c r="C2137" s="245"/>
      <c r="D2137" s="26"/>
      <c r="E2137" s="26"/>
      <c r="F2137" s="26"/>
      <c r="G2137" s="26"/>
      <c r="H2137" s="5"/>
      <c r="I2137" s="26"/>
    </row>
    <row r="2138" spans="3:9" ht="14.25" customHeight="1">
      <c r="C2138" s="245"/>
      <c r="D2138" s="26"/>
      <c r="E2138" s="26"/>
      <c r="F2138" s="26"/>
      <c r="G2138" s="26"/>
      <c r="H2138" s="5"/>
      <c r="I2138" s="26"/>
    </row>
    <row r="2139" spans="3:9" ht="14.25" customHeight="1">
      <c r="C2139" s="245"/>
      <c r="D2139" s="26"/>
      <c r="E2139" s="26"/>
      <c r="F2139" s="26"/>
      <c r="G2139" s="26"/>
      <c r="H2139" s="5"/>
      <c r="I2139" s="26"/>
    </row>
    <row r="2140" spans="3:9" ht="14.25" customHeight="1">
      <c r="C2140" s="245"/>
      <c r="D2140" s="26"/>
      <c r="E2140" s="26"/>
      <c r="F2140" s="26"/>
      <c r="G2140" s="26"/>
      <c r="H2140" s="5"/>
      <c r="I2140" s="26"/>
    </row>
    <row r="2141" spans="3:9" ht="14.25" customHeight="1">
      <c r="C2141" s="245"/>
      <c r="D2141" s="26"/>
      <c r="E2141" s="26"/>
      <c r="F2141" s="26"/>
      <c r="G2141" s="26"/>
      <c r="H2141" s="5"/>
      <c r="I2141" s="26"/>
    </row>
    <row r="2142" spans="3:9" ht="14.25" customHeight="1">
      <c r="C2142" s="245"/>
      <c r="D2142" s="26"/>
      <c r="E2142" s="26"/>
      <c r="F2142" s="26"/>
      <c r="G2142" s="26"/>
      <c r="H2142" s="5"/>
      <c r="I2142" s="26"/>
    </row>
    <row r="2143" spans="3:9" ht="14.25" customHeight="1">
      <c r="C2143" s="245"/>
      <c r="D2143" s="26"/>
      <c r="E2143" s="26"/>
      <c r="F2143" s="26"/>
      <c r="G2143" s="26"/>
      <c r="H2143" s="5"/>
      <c r="I2143" s="26"/>
    </row>
    <row r="2144" spans="3:9" ht="14.25" customHeight="1">
      <c r="C2144" s="245"/>
      <c r="D2144" s="26"/>
      <c r="E2144" s="26"/>
      <c r="F2144" s="26"/>
      <c r="G2144" s="26"/>
      <c r="H2144" s="5"/>
      <c r="I2144" s="26"/>
    </row>
    <row r="2145" spans="3:23" ht="14.25" customHeight="1">
      <c r="C2145" s="245"/>
      <c r="D2145" s="26"/>
      <c r="E2145" s="26"/>
      <c r="F2145" s="26"/>
      <c r="G2145" s="26"/>
      <c r="H2145" s="5"/>
      <c r="I2145" s="26"/>
    </row>
    <row r="2146" spans="3:23" ht="14.25" customHeight="1">
      <c r="C2146" s="245"/>
      <c r="D2146" s="26"/>
      <c r="E2146" s="26"/>
      <c r="F2146" s="26"/>
      <c r="G2146" s="26"/>
      <c r="H2146" s="5"/>
      <c r="I2146" s="26"/>
    </row>
    <row r="2147" spans="3:23" ht="14.25" customHeight="1">
      <c r="C2147" s="245"/>
      <c r="D2147" s="26"/>
      <c r="E2147" s="26"/>
      <c r="F2147" s="26"/>
      <c r="G2147" s="26"/>
      <c r="H2147" s="5"/>
      <c r="I2147" s="26"/>
    </row>
    <row r="2148" spans="3:23" ht="14.25" customHeight="1">
      <c r="C2148" s="245"/>
      <c r="D2148" s="26"/>
      <c r="E2148" s="26"/>
      <c r="F2148" s="26"/>
      <c r="G2148" s="26"/>
      <c r="H2148" s="5"/>
      <c r="I2148" s="26"/>
    </row>
    <row r="2149" spans="3:23" ht="14.25" customHeight="1">
      <c r="C2149" s="245"/>
      <c r="D2149" s="26"/>
      <c r="E2149" s="26"/>
      <c r="F2149" s="26"/>
      <c r="G2149" s="26"/>
      <c r="H2149" s="5"/>
      <c r="I2149" s="26"/>
    </row>
    <row r="2150" spans="3:23" ht="14.25" customHeight="1">
      <c r="C2150" s="245"/>
      <c r="D2150" s="26"/>
      <c r="E2150" s="26"/>
      <c r="F2150" s="26"/>
      <c r="G2150" s="26"/>
      <c r="H2150" s="5"/>
      <c r="I2150" s="26"/>
    </row>
    <row r="2151" spans="3:23" ht="14.25" customHeight="1">
      <c r="C2151" s="245"/>
      <c r="D2151" s="26"/>
      <c r="E2151" s="26"/>
      <c r="F2151" s="26"/>
      <c r="G2151" s="26"/>
      <c r="H2151" s="5"/>
      <c r="I2151" s="26"/>
    </row>
    <row r="2152" spans="3:23" ht="14.25" customHeight="1">
      <c r="C2152" s="245"/>
      <c r="D2152" s="26"/>
      <c r="E2152" s="26"/>
      <c r="F2152" s="26"/>
      <c r="G2152" s="26"/>
      <c r="H2152" s="5"/>
      <c r="I2152" s="26"/>
    </row>
    <row r="2153" spans="3:23" ht="14.25" customHeight="1">
      <c r="C2153" s="245"/>
      <c r="D2153" s="26"/>
      <c r="E2153" s="26"/>
      <c r="F2153" s="26"/>
      <c r="G2153" s="26"/>
      <c r="H2153" s="5"/>
      <c r="I2153" s="26"/>
    </row>
    <row r="2154" spans="3:23" ht="14.25" customHeight="1">
      <c r="C2154" s="245"/>
      <c r="D2154" s="26"/>
      <c r="E2154" s="26"/>
      <c r="F2154" s="26"/>
      <c r="G2154" s="26"/>
      <c r="H2154" s="5"/>
      <c r="I2154" s="26"/>
    </row>
    <row r="2155" spans="3:23" ht="14.25" customHeight="1">
      <c r="C2155" s="245"/>
      <c r="D2155" s="26"/>
      <c r="E2155" s="26"/>
      <c r="F2155" s="26"/>
      <c r="G2155" s="26"/>
      <c r="H2155" s="5"/>
      <c r="I2155" s="26"/>
    </row>
    <row r="2156" spans="3:23" ht="14.25" customHeight="1">
      <c r="C2156" s="245"/>
      <c r="D2156" s="26"/>
      <c r="E2156" s="26"/>
      <c r="F2156" s="26"/>
      <c r="G2156" s="26"/>
      <c r="H2156" s="5"/>
      <c r="I2156" s="26"/>
    </row>
    <row r="2157" spans="3:23" ht="14.25" customHeight="1">
      <c r="C2157" s="245"/>
      <c r="D2157" s="26"/>
      <c r="E2157" s="26"/>
      <c r="F2157" s="26"/>
      <c r="G2157" s="26"/>
      <c r="H2157" s="5"/>
      <c r="I2157" s="26"/>
    </row>
    <row r="2158" spans="3:23" ht="14.25" customHeight="1">
      <c r="C2158" s="245"/>
      <c r="D2158" s="26"/>
      <c r="E2158" s="26"/>
      <c r="F2158" s="26"/>
      <c r="G2158" s="26"/>
      <c r="H2158" s="5"/>
      <c r="I2158" s="26"/>
    </row>
    <row r="2159" spans="3:23" ht="14.25" customHeight="1">
      <c r="C2159" s="245"/>
      <c r="D2159" s="26"/>
      <c r="E2159" s="26"/>
      <c r="F2159" s="26"/>
      <c r="G2159" s="26"/>
      <c r="H2159" s="5"/>
      <c r="I2159" s="26"/>
    </row>
    <row r="2160" spans="3:23" ht="14.25" customHeight="1">
      <c r="C2160" s="245"/>
      <c r="D2160" s="26"/>
      <c r="E2160" s="26"/>
      <c r="F2160" s="26"/>
      <c r="G2160" s="26"/>
      <c r="H2160" s="5"/>
      <c r="I2160" s="26"/>
      <c r="K2160" s="57"/>
      <c r="W2160" s="57"/>
    </row>
    <row r="2161" spans="1:46" ht="14.25" customHeight="1">
      <c r="C2161" s="245"/>
      <c r="D2161" s="26"/>
      <c r="E2161" s="26"/>
      <c r="F2161" s="26"/>
      <c r="G2161" s="57"/>
      <c r="H2161" s="5"/>
      <c r="I2161" s="26"/>
      <c r="K2161" s="57"/>
      <c r="O2161" s="57"/>
      <c r="S2161" s="57"/>
      <c r="W2161" s="57"/>
    </row>
    <row r="2162" spans="1:46" ht="14.25" customHeight="1">
      <c r="C2162" s="245"/>
      <c r="D2162" s="26"/>
      <c r="E2162" s="26"/>
      <c r="F2162" s="26"/>
      <c r="G2162" s="57"/>
      <c r="H2162" s="5"/>
      <c r="I2162" s="26"/>
      <c r="K2162" s="57"/>
      <c r="O2162" s="57"/>
      <c r="S2162" s="57"/>
      <c r="W2162" s="57"/>
    </row>
    <row r="2163" spans="1:46" ht="14.25" customHeight="1">
      <c r="C2163" s="245"/>
      <c r="D2163" s="26"/>
      <c r="E2163" s="26"/>
      <c r="F2163" s="26"/>
      <c r="G2163" s="57"/>
      <c r="H2163" s="5"/>
      <c r="I2163" s="26"/>
      <c r="K2163" s="57"/>
      <c r="O2163" s="57"/>
      <c r="S2163" s="57"/>
      <c r="W2163" s="57"/>
    </row>
    <row r="2164" spans="1:46" ht="14.25" customHeight="1">
      <c r="C2164" s="245"/>
      <c r="D2164" s="26"/>
      <c r="E2164" s="26"/>
      <c r="F2164" s="26"/>
      <c r="G2164" s="26"/>
      <c r="H2164" s="5"/>
      <c r="I2164" s="26"/>
      <c r="K2164" s="26"/>
      <c r="O2164" s="26"/>
      <c r="S2164" s="26"/>
      <c r="W2164" s="26"/>
    </row>
    <row r="2165" spans="1:46" ht="14.25" customHeight="1">
      <c r="C2165" s="245"/>
      <c r="D2165" s="26"/>
      <c r="E2165" s="26"/>
      <c r="F2165" s="26"/>
      <c r="G2165" s="57"/>
      <c r="H2165" s="5"/>
      <c r="I2165" s="26"/>
      <c r="K2165" s="57"/>
      <c r="O2165" s="57"/>
      <c r="S2165" s="57"/>
      <c r="W2165" s="57"/>
    </row>
    <row r="2166" spans="1:46" ht="14.25" customHeight="1">
      <c r="C2166" s="245"/>
      <c r="D2166" s="26"/>
      <c r="E2166" s="26"/>
      <c r="F2166" s="26"/>
      <c r="G2166" s="57"/>
      <c r="H2166" s="5"/>
      <c r="I2166" s="26"/>
      <c r="K2166" s="57"/>
      <c r="O2166" s="57"/>
      <c r="S2166" s="57"/>
      <c r="W2166" s="57"/>
    </row>
    <row r="2167" spans="1:46" ht="14.25" customHeight="1">
      <c r="C2167" s="245"/>
      <c r="D2167" s="26"/>
      <c r="E2167" s="26"/>
      <c r="F2167" s="26"/>
      <c r="G2167" s="57"/>
      <c r="H2167" s="5"/>
      <c r="I2167" s="26"/>
      <c r="K2167" s="57"/>
      <c r="O2167" s="57"/>
      <c r="S2167" s="57"/>
      <c r="W2167" s="57"/>
    </row>
    <row r="2168" spans="1:46" ht="14.25" customHeight="1">
      <c r="C2168" s="245"/>
      <c r="D2168" s="26"/>
      <c r="E2168" s="26"/>
      <c r="F2168" s="26"/>
      <c r="G2168" s="57"/>
      <c r="H2168" s="5"/>
      <c r="I2168" s="26"/>
      <c r="K2168" s="57"/>
      <c r="O2168" s="57"/>
      <c r="S2168" s="57"/>
      <c r="W2168" s="57"/>
    </row>
    <row r="2169" spans="1:46" ht="14.25" customHeight="1">
      <c r="C2169" s="245"/>
      <c r="D2169" s="26"/>
      <c r="E2169" s="26"/>
      <c r="F2169" s="26"/>
      <c r="G2169" s="57"/>
      <c r="H2169" s="5"/>
      <c r="I2169" s="26"/>
      <c r="K2169" s="57"/>
      <c r="O2169" s="57"/>
      <c r="S2169" s="57"/>
      <c r="W2169" s="57"/>
    </row>
    <row r="2170" spans="1:46" ht="14.25" customHeight="1">
      <c r="C2170" s="245"/>
      <c r="D2170" s="26"/>
      <c r="E2170" s="26"/>
      <c r="F2170" s="26"/>
      <c r="G2170" s="57"/>
      <c r="H2170" s="5"/>
      <c r="I2170" s="26"/>
      <c r="K2170" s="57"/>
      <c r="O2170" s="57"/>
      <c r="S2170" s="57"/>
      <c r="W2170" s="57"/>
      <c r="AC2170" s="20"/>
      <c r="AG2170" s="20"/>
    </row>
    <row r="2171" spans="1:46" ht="14.25" customHeight="1">
      <c r="C2171" s="245"/>
      <c r="D2171" s="26"/>
      <c r="E2171" s="26"/>
      <c r="F2171" s="26"/>
      <c r="G2171" s="57"/>
      <c r="H2171" s="5"/>
      <c r="I2171" s="26"/>
      <c r="J2171" s="5"/>
      <c r="K2171" s="57"/>
      <c r="L2171" s="26"/>
      <c r="N2171" s="26"/>
      <c r="O2171" s="57"/>
      <c r="P2171" s="26"/>
      <c r="R2171" s="26"/>
      <c r="S2171" s="57"/>
      <c r="T2171" s="26"/>
      <c r="V2171" s="26"/>
      <c r="W2171" s="57"/>
    </row>
    <row r="2172" spans="1:46" ht="14.25" customHeight="1">
      <c r="C2172" s="245"/>
      <c r="D2172" s="26"/>
      <c r="E2172" s="26"/>
      <c r="F2172" s="26"/>
      <c r="G2172" s="57"/>
      <c r="H2172" s="26"/>
      <c r="I2172" s="26"/>
      <c r="J2172" s="26"/>
      <c r="K2172" s="57"/>
      <c r="O2172" s="26"/>
      <c r="S2172" s="26"/>
      <c r="W2172" s="26"/>
    </row>
    <row r="2173" spans="1:46" s="8" customFormat="1">
      <c r="B2173" s="493" t="str">
        <f>TITLE!$C$42</f>
        <v>Дверна коробка STANDARD</v>
      </c>
      <c r="C2173" s="493"/>
      <c r="D2173" s="118"/>
      <c r="E2173" s="495" t="str">
        <f>IF($C$1="ENG","For Door Leafs with Rebbit","Для Дверних Полотен з Фальцем")</f>
        <v>Для Дверних Полотен з Фальцем</v>
      </c>
      <c r="F2173" s="495"/>
      <c r="G2173" s="495"/>
      <c r="H2173" s="495"/>
      <c r="I2173" s="495"/>
      <c r="J2173" s="495"/>
      <c r="K2173" s="495"/>
      <c r="L2173" s="496"/>
      <c r="M2173" s="496"/>
      <c r="N2173" s="496"/>
      <c r="O2173" s="496"/>
      <c r="P2173" s="496"/>
      <c r="Q2173" s="496"/>
      <c r="R2173" s="496"/>
      <c r="S2173" s="496"/>
      <c r="T2173" s="517" t="str">
        <f>IF($C$1="ENG",CONCATENATE("up to: ",B2114),CONCATENATE("вгору до: ",B2114))</f>
        <v>вгору до: Розсувна система Verto-SLIDE</v>
      </c>
      <c r="U2173" s="517"/>
      <c r="V2173" s="517"/>
      <c r="W2173" s="517"/>
      <c r="AN2173" s="280"/>
      <c r="AO2173" s="280"/>
      <c r="AP2173" s="280"/>
      <c r="AQ2173" s="280"/>
      <c r="AR2173" s="280"/>
      <c r="AS2173" s="280"/>
      <c r="AT2173" s="280"/>
    </row>
    <row r="2174" spans="1:46" s="8" customFormat="1" ht="5.0999999999999996" customHeight="1">
      <c r="C2174" s="424"/>
      <c r="L2174" s="151"/>
      <c r="M2174" s="151"/>
      <c r="N2174" s="151"/>
      <c r="O2174" s="151"/>
      <c r="P2174" s="151"/>
      <c r="Q2174" s="151"/>
      <c r="R2174" s="151"/>
      <c r="S2174" s="151"/>
      <c r="T2174" s="152"/>
      <c r="U2174" s="152"/>
      <c r="V2174" s="152"/>
      <c r="W2174" s="152"/>
      <c r="AN2174" s="280"/>
      <c r="AO2174" s="280"/>
      <c r="AP2174" s="280"/>
      <c r="AQ2174" s="280"/>
      <c r="AR2174" s="280"/>
      <c r="AS2174" s="280"/>
      <c r="AT2174" s="280"/>
    </row>
    <row r="2175" spans="1:46" ht="12.75" customHeight="1">
      <c r="A2175" s="8"/>
      <c r="B2175" s="307" t="str">
        <f>IF($C$1="ENG","model","модель")</f>
        <v>модель</v>
      </c>
      <c r="C2175" s="122" t="str">
        <f>IF($C$1="ENG","cover:","покриття:")</f>
        <v>покриття:</v>
      </c>
      <c r="D2175" s="498" t="str">
        <f>IF($C$1="ENG","SIMPLEX / VERTO-CELL ","SIMPLEX / VERTO-CELL")</f>
        <v>SIMPLEX / VERTO-CELL</v>
      </c>
      <c r="E2175" s="499"/>
      <c r="F2175" s="499"/>
      <c r="G2175" s="500"/>
      <c r="H2175" s="498" t="str">
        <f>IF($C$1="ENG","UNI-MAT","UNI-MAT")</f>
        <v>UNI-MAT</v>
      </c>
      <c r="I2175" s="499"/>
      <c r="J2175" s="499"/>
      <c r="K2175" s="500"/>
      <c r="L2175" s="498" t="str">
        <f>IF($C$1="ENG","RESIST","RESIST")</f>
        <v>RESIST</v>
      </c>
      <c r="M2175" s="499"/>
      <c r="N2175" s="499"/>
      <c r="O2175" s="500"/>
      <c r="P2175" s="498" t="str">
        <f>IF($C$1="ENG","Verto LINE-3D","Verto LINE-3D")</f>
        <v>Verto LINE-3D</v>
      </c>
      <c r="Q2175" s="499"/>
      <c r="R2175" s="499"/>
      <c r="S2175" s="500"/>
      <c r="T2175" s="498" t="str">
        <f>IF($C$1="ENG","ECO Shpon / LOFT","ЕКО Шпон / LOFT")</f>
        <v>ЕКО Шпон / LOFT</v>
      </c>
      <c r="U2175" s="499"/>
      <c r="V2175" s="499"/>
      <c r="W2175" s="500"/>
      <c r="AE2175" s="384">
        <f>AE2177/AC2177-1</f>
        <v>0.13114754098360648</v>
      </c>
      <c r="AF2175" s="384"/>
      <c r="AG2175" s="384">
        <f>AG2177/AE2177-1</f>
        <v>3.8647342995169032E-2</v>
      </c>
    </row>
    <row r="2176" spans="1:46" ht="12.75" customHeight="1">
      <c r="A2176" s="8"/>
      <c r="B2176" s="309"/>
      <c r="C2176" s="124" t="str">
        <f>IF($C$1="ENG","type:","виконання:")</f>
        <v>виконання:</v>
      </c>
      <c r="D2176" s="489" t="str">
        <f>IF($C$1="ENG","single leaf","одностулкове")</f>
        <v>одностулкове</v>
      </c>
      <c r="E2176" s="490"/>
      <c r="F2176" s="518" t="str">
        <f>IF($C$1="ENG","double leaf","двостулкові")</f>
        <v>двостулкові</v>
      </c>
      <c r="G2176" s="492"/>
      <c r="H2176" s="489" t="str">
        <f>IF($C$1="ENG","single leaf","одностулкове")</f>
        <v>одностулкове</v>
      </c>
      <c r="I2176" s="490"/>
      <c r="J2176" s="518" t="str">
        <f>IF($C$1="ENG","double leaf","двостулкові")</f>
        <v>двостулкові</v>
      </c>
      <c r="K2176" s="492"/>
      <c r="L2176" s="489" t="str">
        <f>IF($C$1="ENG","single leaf","одностулкове")</f>
        <v>одностулкове</v>
      </c>
      <c r="M2176" s="490"/>
      <c r="N2176" s="491" t="str">
        <f>IF($C$1="ENG","double leaf","двостулкові")</f>
        <v>двостулкові</v>
      </c>
      <c r="O2176" s="492"/>
      <c r="P2176" s="489" t="str">
        <f>IF($C$1="ENG","single leaf","одностулкове")</f>
        <v>одностулкове</v>
      </c>
      <c r="Q2176" s="490"/>
      <c r="R2176" s="491" t="str">
        <f>IF($C$1="ENG","double leaf","двостулкові")</f>
        <v>двостулкові</v>
      </c>
      <c r="S2176" s="492"/>
      <c r="T2176" s="489" t="str">
        <f>IF($C$1="ENG","single leaf","одностулкове")</f>
        <v>одностулкове</v>
      </c>
      <c r="U2176" s="490"/>
      <c r="V2176" s="491" t="str">
        <f>IF($C$1="ENG","double leaf","двостулкові")</f>
        <v>двостулкові</v>
      </c>
      <c r="W2176" s="492"/>
      <c r="AR2176" s="384"/>
    </row>
    <row r="2177" spans="1:58" ht="34.5" customHeight="1">
      <c r="A2177" s="8"/>
      <c r="B2177" s="244" t="str">
        <f>IF($C$1="ENG","Door Frame 80 mm MDF","Коробка МДФ 80 мм")</f>
        <v>Коробка МДФ 80 мм</v>
      </c>
      <c r="C2177" s="426"/>
      <c r="D2177" s="15">
        <f>IF(AC2177="","",(1-$W$2)*(AC2177/1.2))</f>
        <v>1525</v>
      </c>
      <c r="E2177" s="267">
        <f>IF($W$5=0.2,D2177*1.2,D2177)/$W$4</f>
        <v>1830</v>
      </c>
      <c r="F2177" s="270">
        <f>IF(AD2177="","",(1-$W$2)*(AD2177/1.2))</f>
        <v>2133.3333333333335</v>
      </c>
      <c r="G2177" s="64">
        <f>IF($W$5=0.2,F2177*1.2,F2177)/$W$4</f>
        <v>2560</v>
      </c>
      <c r="H2177" s="15">
        <f>IF(AE2177="","",(1-$W$2)*(AE2177/1.2))</f>
        <v>1725</v>
      </c>
      <c r="I2177" s="267">
        <f>IF($W$5=0.2,H2177*1.2,H2177)/$W$4</f>
        <v>2070</v>
      </c>
      <c r="J2177" s="270">
        <f>IF(AF2177="","",(1-$W$2)*(AF2177/1.2))</f>
        <v>2408.3333333333335</v>
      </c>
      <c r="K2177" s="64">
        <f>IF($W$5=0.2,J2177*1.2,J2177)/$W$4</f>
        <v>2890</v>
      </c>
      <c r="L2177" s="15">
        <f>IF(AG2177="","",(1-$W$2)*(AG2177/1.2))</f>
        <v>1791.6666666666667</v>
      </c>
      <c r="M2177" s="267">
        <f>IF($W$5=0.2,L2177*1.2,L2177)/$W$4</f>
        <v>2150</v>
      </c>
      <c r="N2177" s="270">
        <f>IF(AH2177="","",(1-$W$2)*(AH2177/1.2))</f>
        <v>2508.3333333333335</v>
      </c>
      <c r="O2177" s="64">
        <f>IF($W$5=0.2,N2177*1.2,N2177)/$W$4</f>
        <v>3010</v>
      </c>
      <c r="P2177" s="15">
        <f>IF(AI2177="","",(1-$W$2)*(AI2177/1.2))</f>
        <v>1975</v>
      </c>
      <c r="Q2177" s="267">
        <f>IF($W$5=0.2,P2177*1.2,P2177)/$W$4</f>
        <v>2370</v>
      </c>
      <c r="R2177" s="270">
        <f>IF(AJ2177="","",(1-$W$2)*(AJ2177/1.2))</f>
        <v>2766.666666666667</v>
      </c>
      <c r="S2177" s="64">
        <f>IF($W$5=0.2,R2177*1.2,R2177)/$W$4</f>
        <v>3320.0000000000005</v>
      </c>
      <c r="T2177" s="15">
        <f>IF(AK2177="","",(1-$W$2)*(AK2177/1.2))</f>
        <v>2125</v>
      </c>
      <c r="U2177" s="267">
        <f>IF($W$5=0.2,T2177*1.2,T2177)/$W$4</f>
        <v>2550</v>
      </c>
      <c r="V2177" s="270">
        <f>IF(AL2177="","",(1-$W$2)*(AL2177/1.2))</f>
        <v>2975</v>
      </c>
      <c r="W2177" s="64">
        <f>IF($W$5=0.2,V2177*1.2,V2177)/$W$4</f>
        <v>3570</v>
      </c>
      <c r="X2177" s="22"/>
      <c r="Y2177" s="22"/>
      <c r="Z2177" s="22"/>
      <c r="AA2177" s="22"/>
      <c r="AB2177" s="22"/>
      <c r="AC2177" s="393">
        <v>1830</v>
      </c>
      <c r="AD2177" s="394">
        <v>2560</v>
      </c>
      <c r="AE2177" s="395">
        <v>2070</v>
      </c>
      <c r="AF2177" s="394">
        <v>2890</v>
      </c>
      <c r="AG2177" s="393">
        <v>2150</v>
      </c>
      <c r="AH2177" s="394">
        <v>3010</v>
      </c>
      <c r="AI2177" s="393">
        <v>2370</v>
      </c>
      <c r="AJ2177" s="394">
        <v>3320</v>
      </c>
      <c r="AK2177" s="393">
        <v>2550</v>
      </c>
      <c r="AL2177" s="394">
        <v>3570</v>
      </c>
      <c r="AM2177" s="334">
        <v>1830</v>
      </c>
      <c r="AN2177" s="310">
        <f>AM2177/AC2177-1</f>
        <v>0</v>
      </c>
      <c r="AO2177" s="334">
        <v>2560</v>
      </c>
      <c r="AP2177" s="310">
        <f>AO2177/AD2177-1</f>
        <v>0</v>
      </c>
      <c r="AQ2177" s="334">
        <v>2070</v>
      </c>
      <c r="AR2177" s="310">
        <f>AQ2177/AE2177-1</f>
        <v>0</v>
      </c>
      <c r="AS2177" s="334">
        <v>2890</v>
      </c>
      <c r="AT2177" s="310">
        <f>AS2177/AF2177-1</f>
        <v>0</v>
      </c>
      <c r="AU2177" s="334">
        <v>2150</v>
      </c>
      <c r="AV2177" s="310">
        <f>AU2177/AG2177-1</f>
        <v>0</v>
      </c>
      <c r="AW2177" s="334">
        <v>3000</v>
      </c>
      <c r="AX2177" s="310"/>
      <c r="AY2177" s="334"/>
      <c r="AZ2177" s="310"/>
      <c r="BA2177" s="334"/>
      <c r="BB2177" s="310"/>
      <c r="BC2177" s="334"/>
      <c r="BD2177" s="310"/>
      <c r="BE2177" s="334"/>
      <c r="BF2177" s="310"/>
    </row>
    <row r="2178" spans="1:58" ht="34.5" customHeight="1">
      <c r="A2178" s="8"/>
      <c r="B2178" s="108" t="str">
        <f>IF($C$1="ENG","Door Frame 80 mm Wood","Коробка Дерев'яна 80 мм")</f>
        <v>Коробка Дерев'яна 80 мм</v>
      </c>
      <c r="C2178" s="427"/>
      <c r="D2178" s="25">
        <f>IF(AC2178="","",(1-$W$2)*(AC2178/1.2))</f>
        <v>1850</v>
      </c>
      <c r="E2178" s="269">
        <f>IF($W$5=0.2,D2178*1.2,D2178)/$W$4</f>
        <v>2220</v>
      </c>
      <c r="F2178" s="272">
        <f>IF(AD2178="","",(1-$W$2)*(AD2178/1.2))</f>
        <v>2566.666666666667</v>
      </c>
      <c r="G2178" s="69">
        <f>IF($W$5=0.2,F2178*1.2,F2178)/$W$4</f>
        <v>3080.0000000000005</v>
      </c>
      <c r="H2178" s="25">
        <f>IF(AE2178="","",(1-$W$2)*(AE2178/1.2))</f>
        <v>2100</v>
      </c>
      <c r="I2178" s="269">
        <f>IF($W$5=0.2,H2178*1.2,H2178)/$W$4</f>
        <v>2520</v>
      </c>
      <c r="J2178" s="272">
        <f>IF(AF2178="","",(1-$W$2)*(AF2178/1.2))</f>
        <v>2941.666666666667</v>
      </c>
      <c r="K2178" s="69">
        <f>IF($W$5=0.2,J2178*1.2,J2178)/$W$4</f>
        <v>3530.0000000000005</v>
      </c>
      <c r="L2178" s="25">
        <f>IF(AG2178="","",(1-$W$2)*(AG2178/1.2))</f>
        <v>2233.3333333333335</v>
      </c>
      <c r="M2178" s="269">
        <f>IF($W$5=0.2,L2178*1.2,L2178)/$W$4</f>
        <v>2680</v>
      </c>
      <c r="N2178" s="272">
        <f>IF(AH2178="","",(1-$W$2)*(AH2178/1.2))</f>
        <v>3125</v>
      </c>
      <c r="O2178" s="69">
        <f>IF($W$5=0.2,N2178*1.2,N2178)/$W$4</f>
        <v>3750</v>
      </c>
      <c r="P2178" s="25">
        <f>IF(AI2178="","",(1-$W$2)*(AI2178/1.2))</f>
        <v>2450</v>
      </c>
      <c r="Q2178" s="269">
        <f>IF($W$5=0.2,P2178*1.2,P2178)/$W$4</f>
        <v>2940</v>
      </c>
      <c r="R2178" s="272">
        <f>IF(AJ2178="","",(1-$W$2)*(AJ2178/1.2))</f>
        <v>3425</v>
      </c>
      <c r="S2178" s="69">
        <f>IF($W$5=0.2,R2178*1.2,R2178)/$W$4</f>
        <v>4110</v>
      </c>
      <c r="T2178" s="25">
        <f>IF(AK2178="","",(1-$W$2)*(AK2178/1.2))</f>
        <v>2700</v>
      </c>
      <c r="U2178" s="269">
        <f>IF($W$5=0.2,T2178*1.2,T2178)/$W$4</f>
        <v>3240</v>
      </c>
      <c r="V2178" s="272">
        <f>IF(AL2178="","",(1-$W$2)*(AL2178/1.2))</f>
        <v>3775</v>
      </c>
      <c r="W2178" s="69">
        <f>IF($W$5=0.2,V2178*1.2,V2178)/$W$4</f>
        <v>4530</v>
      </c>
      <c r="X2178" s="22"/>
      <c r="Y2178" s="22"/>
      <c r="Z2178" s="22"/>
      <c r="AA2178" s="22"/>
      <c r="AB2178" s="22"/>
      <c r="AC2178" s="393">
        <v>2220</v>
      </c>
      <c r="AD2178" s="394">
        <v>3080</v>
      </c>
      <c r="AE2178" s="395">
        <v>2520</v>
      </c>
      <c r="AF2178" s="394">
        <v>3530</v>
      </c>
      <c r="AG2178" s="393">
        <v>2680</v>
      </c>
      <c r="AH2178" s="394">
        <v>3750</v>
      </c>
      <c r="AI2178" s="393">
        <v>2940</v>
      </c>
      <c r="AJ2178" s="394">
        <v>4110</v>
      </c>
      <c r="AK2178" s="393">
        <v>3240</v>
      </c>
      <c r="AL2178" s="394">
        <v>4530</v>
      </c>
      <c r="AM2178" s="334">
        <v>2220</v>
      </c>
      <c r="AN2178" s="310">
        <f>AM2178/AC2178-1</f>
        <v>0</v>
      </c>
      <c r="AO2178" s="334">
        <v>3120</v>
      </c>
      <c r="AP2178" s="310">
        <f>AO2178/AD2178-1</f>
        <v>1.298701298701288E-2</v>
      </c>
      <c r="AQ2178" s="334">
        <v>2520</v>
      </c>
      <c r="AR2178" s="310">
        <f>AQ2178/AE2178-1</f>
        <v>0</v>
      </c>
      <c r="AS2178" s="334">
        <v>3530</v>
      </c>
      <c r="AT2178" s="310">
        <f>AS2178/AF2178-1</f>
        <v>0</v>
      </c>
      <c r="AU2178" s="334">
        <v>2680</v>
      </c>
      <c r="AV2178" s="310">
        <f>AU2178/AG2178-1</f>
        <v>0</v>
      </c>
      <c r="AW2178" s="334">
        <v>3750</v>
      </c>
      <c r="AX2178" s="310"/>
      <c r="AY2178" s="334"/>
      <c r="AZ2178" s="310"/>
      <c r="BA2178" s="334"/>
      <c r="BB2178" s="310"/>
      <c r="BC2178" s="334"/>
      <c r="BD2178" s="310"/>
      <c r="BE2178" s="334"/>
      <c r="BF2178" s="310"/>
    </row>
    <row r="2179" spans="1:58" s="48" customFormat="1" ht="24" customHeight="1">
      <c r="B2179" s="54" t="str">
        <f>IF($C$1="ENG","MASKING ARCHITRAVES","ЛИШТВА")</f>
        <v>ЛИШТВА</v>
      </c>
      <c r="C2179" s="428"/>
      <c r="D2179" s="28"/>
      <c r="E2179" s="59"/>
      <c r="F2179" s="59"/>
      <c r="G2179" s="59"/>
      <c r="H2179" s="59"/>
      <c r="I2179" s="59"/>
      <c r="J2179" s="59"/>
      <c r="K2179" s="59"/>
      <c r="L2179" s="59"/>
      <c r="M2179" s="59"/>
      <c r="N2179" s="59"/>
      <c r="O2179" s="59"/>
      <c r="P2179" s="59"/>
      <c r="Q2179" s="59"/>
      <c r="R2179" s="59"/>
      <c r="S2179" s="59"/>
      <c r="T2179" s="59"/>
      <c r="U2179" s="59"/>
      <c r="V2179" s="59"/>
      <c r="W2179" s="59"/>
      <c r="AM2179" s="386"/>
      <c r="AN2179" s="56"/>
      <c r="AO2179" s="56"/>
      <c r="AP2179" s="56"/>
      <c r="AQ2179" s="56"/>
      <c r="AR2179" s="56"/>
      <c r="AS2179" s="56"/>
      <c r="AT2179" s="56"/>
    </row>
    <row r="2180" spans="1:58" ht="34.5" customHeight="1">
      <c r="A2180" s="8"/>
      <c r="B2180" s="13" t="str">
        <f>IF($C$1="ENG","Straight (set for 1 side) 60 mm","Прямокутна (1 к-т) 60 мм")</f>
        <v>Прямокутна (1 к-т) 60 мм</v>
      </c>
      <c r="C2180" s="429"/>
      <c r="D2180" s="15">
        <f>IF(AC2180="","",(1-$W$2)*(AC2180/1.2))</f>
        <v>425</v>
      </c>
      <c r="E2180" s="299">
        <f>IF($W$5=0.2,D2180*1.2,D2180)/$W$4</f>
        <v>510</v>
      </c>
      <c r="F2180" s="270">
        <f>IF(AD2180="","",(1-$W$2)*(AD2180/1.2))</f>
        <v>550</v>
      </c>
      <c r="G2180" s="64">
        <f>IF($W$5=0.2,F2180*1.2,F2180)/$W$4</f>
        <v>660</v>
      </c>
      <c r="H2180" s="15">
        <f>IF(AE2180="","",(1-$W$2)*(AE2180/1.2))</f>
        <v>491.66666666666669</v>
      </c>
      <c r="I2180" s="267">
        <f>IF($W$5=0.2,H2180*1.2,H2180)/$W$4</f>
        <v>590</v>
      </c>
      <c r="J2180" s="270">
        <f>IF(AF2180="","",(1-$W$2)*(AF2180/1.2))</f>
        <v>633.33333333333337</v>
      </c>
      <c r="K2180" s="64">
        <f>IF($W$5=0.2,J2180*1.2,J2180)/$W$4</f>
        <v>760</v>
      </c>
      <c r="L2180" s="15">
        <f>IF(AG2180="","",(1-$W$2)*(AG2180/1.2))</f>
        <v>575</v>
      </c>
      <c r="M2180" s="267">
        <f>IF($W$5=0.2,L2180*1.2,L2180)/$W$4</f>
        <v>690</v>
      </c>
      <c r="N2180" s="270">
        <f>IF(AH2180="","",(1-$W$2)*(AH2180/1.2))</f>
        <v>741.66666666666674</v>
      </c>
      <c r="O2180" s="64">
        <f>IF($W$5=0.2,N2180*1.2,N2180)/$W$4</f>
        <v>890.00000000000011</v>
      </c>
      <c r="P2180" s="15">
        <f>IF(AI2180="","",(1-$W$2)*(AI2180/1.2))</f>
        <v>658.33333333333337</v>
      </c>
      <c r="Q2180" s="267">
        <f>IF($W$5=0.2,P2180*1.2,P2180)/$W$4</f>
        <v>790</v>
      </c>
      <c r="R2180" s="270">
        <f>IF(AJ2180="","",(1-$W$2)*(AJ2180/1.2))</f>
        <v>858.33333333333337</v>
      </c>
      <c r="S2180" s="64">
        <f>IF($W$5=0.2,R2180*1.2,R2180)/$W$4</f>
        <v>1030</v>
      </c>
      <c r="T2180" s="15">
        <f>IF(AK2180="","",(1-$W$2)*(AK2180/1.2))</f>
        <v>716.66666666666674</v>
      </c>
      <c r="U2180" s="267">
        <f>IF($W$5=0.2,T2180*1.2,T2180)/$W$4</f>
        <v>860.00000000000011</v>
      </c>
      <c r="V2180" s="270">
        <f>IF(AL2180="","",(1-$W$2)*(AL2180/1.2))</f>
        <v>933.33333333333337</v>
      </c>
      <c r="W2180" s="64">
        <f>IF($W$5=0.2,V2180*1.2,V2180)/$W$4</f>
        <v>1120</v>
      </c>
      <c r="X2180" s="22"/>
      <c r="Y2180" s="22"/>
      <c r="Z2180" s="22"/>
      <c r="AA2180" s="22"/>
      <c r="AB2180" s="22"/>
      <c r="AC2180" s="332">
        <v>510</v>
      </c>
      <c r="AD2180" s="332">
        <v>660</v>
      </c>
      <c r="AE2180" s="332">
        <v>590</v>
      </c>
      <c r="AF2180" s="332">
        <v>760</v>
      </c>
      <c r="AG2180" s="332">
        <v>690</v>
      </c>
      <c r="AH2180" s="332">
        <v>890</v>
      </c>
      <c r="AI2180" s="332">
        <v>790</v>
      </c>
      <c r="AJ2180" s="332">
        <v>1030</v>
      </c>
      <c r="AK2180" s="332">
        <v>860</v>
      </c>
      <c r="AL2180" s="332">
        <v>1120</v>
      </c>
      <c r="AM2180" s="334">
        <v>510</v>
      </c>
      <c r="AN2180" s="310">
        <f>AM2180/AC2180-1</f>
        <v>0</v>
      </c>
      <c r="AO2180" s="334">
        <v>660</v>
      </c>
      <c r="AP2180" s="400">
        <f>AO2180/AD2180-1</f>
        <v>0</v>
      </c>
      <c r="AQ2180" s="334">
        <v>590</v>
      </c>
      <c r="AR2180" s="400">
        <f>AQ2180/AE2180-1</f>
        <v>0</v>
      </c>
      <c r="AS2180" s="334">
        <v>760</v>
      </c>
      <c r="AT2180" s="400">
        <f>AS2180/AF2180-1</f>
        <v>0</v>
      </c>
      <c r="AU2180" s="334">
        <v>690</v>
      </c>
      <c r="AV2180" s="400">
        <f>AU2180/AG2180-1</f>
        <v>0</v>
      </c>
      <c r="AW2180" s="1">
        <v>890</v>
      </c>
      <c r="AX2180" s="384"/>
      <c r="AZ2180" s="384"/>
      <c r="BB2180" s="384"/>
      <c r="BD2180" s="384"/>
      <c r="BF2180" s="384"/>
    </row>
    <row r="2181" spans="1:58" ht="34.5" customHeight="1">
      <c r="A2181" s="8"/>
      <c r="B2181" s="23" t="str">
        <f>IF($C$1="ENG","Straight (set for 1 side) 80 mm","Прямокутна (1 к-т) 80 мм")</f>
        <v>Прямокутна (1 к-т) 80 мм</v>
      </c>
      <c r="C2181" s="430"/>
      <c r="D2181" s="25">
        <f>IF(AC2181="","",(1-$W$2)*(AC2181/1.2))</f>
        <v>500</v>
      </c>
      <c r="E2181" s="269">
        <f>IF($W$5=0.2,D2181*1.2,D2181)/$W$4</f>
        <v>600</v>
      </c>
      <c r="F2181" s="272">
        <f>IF(AD2181="","",(1-$W$2)*(AD2181/1.2))</f>
        <v>641.66666666666674</v>
      </c>
      <c r="G2181" s="69">
        <f>IF($W$5=0.2,F2181*1.2,F2181)/$W$4</f>
        <v>770.00000000000011</v>
      </c>
      <c r="H2181" s="25">
        <f>IF(AE2181="","",(1-$W$2)*(AE2181/1.2))</f>
        <v>583.33333333333337</v>
      </c>
      <c r="I2181" s="269">
        <f>IF($W$5=0.2,H2181*1.2,H2181)/$W$4</f>
        <v>700</v>
      </c>
      <c r="J2181" s="272">
        <f>IF(AF2181="","",(1-$W$2)*(AF2181/1.2))</f>
        <v>750</v>
      </c>
      <c r="K2181" s="69">
        <f>IF($W$5=0.2,J2181*1.2,J2181)/$W$4</f>
        <v>900</v>
      </c>
      <c r="L2181" s="25">
        <f>IF(AG2181="","",(1-$W$2)*(AG2181/1.2))</f>
        <v>708.33333333333337</v>
      </c>
      <c r="M2181" s="269">
        <f>IF($W$5=0.2,L2181*1.2,L2181)/$W$4</f>
        <v>850</v>
      </c>
      <c r="N2181" s="272">
        <f>IF(AH2181="","",(1-$W$2)*(AH2181/1.2))</f>
        <v>916.66666666666674</v>
      </c>
      <c r="O2181" s="69">
        <f>IF($W$5=0.2,N2181*1.2,N2181)/$W$4</f>
        <v>1100</v>
      </c>
      <c r="P2181" s="25">
        <f>IF(AI2181="","",(1-$W$2)*(AI2181/1.2))</f>
        <v>808.33333333333337</v>
      </c>
      <c r="Q2181" s="269">
        <f>IF($W$5=0.2,P2181*1.2,P2181)/$W$4</f>
        <v>970</v>
      </c>
      <c r="R2181" s="272">
        <f>IF(AJ2181="","",(1-$W$2)*(AJ2181/1.2))</f>
        <v>1041.6666666666667</v>
      </c>
      <c r="S2181" s="69">
        <f>IF($W$5=0.2,R2181*1.2,R2181)/$W$4</f>
        <v>1250</v>
      </c>
      <c r="T2181" s="25">
        <f>IF(AK2181="","",(1-$W$2)*(AK2181/1.2))</f>
        <v>866.66666666666674</v>
      </c>
      <c r="U2181" s="269">
        <f>IF($W$5=0.2,T2181*1.2,T2181)/$W$4</f>
        <v>1040</v>
      </c>
      <c r="V2181" s="272">
        <f>IF(AL2181="","",(1-$W$2)*(AL2181/1.2))</f>
        <v>1125</v>
      </c>
      <c r="W2181" s="69">
        <f>IF($W$5=0.2,V2181*1.2,V2181)/$W$4</f>
        <v>1350</v>
      </c>
      <c r="X2181" s="22"/>
      <c r="Y2181" s="22"/>
      <c r="Z2181" s="22"/>
      <c r="AA2181" s="22"/>
      <c r="AB2181" s="22"/>
      <c r="AC2181" s="332">
        <v>600</v>
      </c>
      <c r="AD2181" s="332">
        <v>770</v>
      </c>
      <c r="AE2181" s="332">
        <v>700</v>
      </c>
      <c r="AF2181" s="332">
        <v>900</v>
      </c>
      <c r="AG2181" s="332">
        <v>850</v>
      </c>
      <c r="AH2181" s="332">
        <v>1100</v>
      </c>
      <c r="AI2181" s="332">
        <v>970</v>
      </c>
      <c r="AJ2181" s="332">
        <v>1250</v>
      </c>
      <c r="AK2181" s="332">
        <v>1040</v>
      </c>
      <c r="AL2181" s="332">
        <v>1350</v>
      </c>
      <c r="AM2181" s="334">
        <v>600</v>
      </c>
      <c r="AN2181" s="310">
        <f>AM2181/AC2181-1</f>
        <v>0</v>
      </c>
      <c r="AO2181" s="334">
        <v>770</v>
      </c>
      <c r="AP2181" s="400">
        <f>AO2181/AD2181-1</f>
        <v>0</v>
      </c>
      <c r="AQ2181" s="334">
        <v>700</v>
      </c>
      <c r="AR2181" s="400">
        <f>AQ2181/AE2181-1</f>
        <v>0</v>
      </c>
      <c r="AS2181" s="334">
        <v>900</v>
      </c>
      <c r="AT2181" s="400">
        <f>AS2181/AF2181-1</f>
        <v>0</v>
      </c>
      <c r="AU2181" s="334">
        <v>850</v>
      </c>
      <c r="AV2181" s="400">
        <f>AU2181/AG2181-1</f>
        <v>0</v>
      </c>
      <c r="AW2181" s="1">
        <v>1100</v>
      </c>
      <c r="AX2181" s="384"/>
      <c r="AZ2181" s="384"/>
      <c r="BB2181" s="384"/>
      <c r="BD2181" s="384"/>
      <c r="BF2181" s="384"/>
    </row>
    <row r="2182" spans="1:58" s="48" customFormat="1" ht="24.75" customHeight="1">
      <c r="B2182" s="54" t="str">
        <f>IF($C$1="ENG","ADJUSTABLE PANELS","ДОБІРНІ ПЛАНКИ")</f>
        <v>ДОБІРНІ ПЛАНКИ</v>
      </c>
      <c r="C2182" s="428"/>
      <c r="D2182" s="28"/>
      <c r="E2182" s="59"/>
      <c r="F2182" s="59"/>
      <c r="G2182" s="59"/>
      <c r="H2182" s="59"/>
      <c r="I2182" s="59"/>
      <c r="J2182" s="59"/>
      <c r="K2182" s="59"/>
      <c r="L2182" s="59"/>
      <c r="M2182" s="59"/>
      <c r="N2182" s="59"/>
      <c r="O2182" s="59"/>
      <c r="P2182" s="59"/>
      <c r="Q2182" s="59"/>
      <c r="R2182" s="59"/>
      <c r="S2182" s="59"/>
      <c r="T2182" s="59"/>
      <c r="U2182" s="59"/>
      <c r="V2182" s="59">
        <f t="shared" ref="V2182" si="298">V2185/100*30</f>
        <v>840</v>
      </c>
      <c r="W2182" s="59"/>
      <c r="AN2182" s="310"/>
      <c r="AP2182" s="30"/>
      <c r="AQ2182" s="56"/>
      <c r="AR2182" s="30"/>
      <c r="AS2182" s="56"/>
      <c r="AT2182" s="30"/>
      <c r="AV2182" s="1"/>
    </row>
    <row r="2183" spans="1:58" ht="34.5" customHeight="1">
      <c r="A2183" s="8"/>
      <c r="B2183" s="13" t="str">
        <f>IF($C$1="ENG","Panel (1 set) 60 mm","Планка (1 к-т) 60 мм")</f>
        <v>Планка (1 к-т) 60 мм</v>
      </c>
      <c r="C2183" s="429"/>
      <c r="D2183" s="15">
        <f>IF(AC2183="","",(1-$W$2)*(AC2183/1.2))</f>
        <v>425</v>
      </c>
      <c r="E2183" s="299">
        <f>IF($W$5=0.2,D2183*1.2,D2183)/$W$4</f>
        <v>510</v>
      </c>
      <c r="F2183" s="270">
        <f>IF(AD2183="","",(1-$W$2)*(AD2183/1.2))</f>
        <v>550</v>
      </c>
      <c r="G2183" s="64">
        <f>IF($W$5=0.2,F2183*1.2,F2183)/$W$4</f>
        <v>660</v>
      </c>
      <c r="H2183" s="15">
        <f>IF(AE2183="","",(1-$W$2)*(AE2183/1.2))</f>
        <v>491.66666666666669</v>
      </c>
      <c r="I2183" s="267">
        <f>IF($W$5=0.2,H2183*1.2,H2183)/$W$4</f>
        <v>590</v>
      </c>
      <c r="J2183" s="270">
        <f>IF(AF2183="","",(1-$W$2)*(AF2183/1.2))</f>
        <v>633.33333333333337</v>
      </c>
      <c r="K2183" s="64">
        <f>IF($W$5=0.2,J2183*1.2,J2183)/$W$4</f>
        <v>760</v>
      </c>
      <c r="L2183" s="15">
        <f>IF(AG2183="","",(1-$W$2)*(AG2183/1.2))</f>
        <v>575</v>
      </c>
      <c r="M2183" s="267">
        <f>IF($W$5=0.2,L2183*1.2,L2183)/$W$4</f>
        <v>690</v>
      </c>
      <c r="N2183" s="270">
        <f>IF(AH2183="","",(1-$W$2)*(AH2183/1.2))</f>
        <v>741.66666666666674</v>
      </c>
      <c r="O2183" s="64">
        <f>IF($W$5=0.2,N2183*1.2,N2183)/$W$4</f>
        <v>890.00000000000011</v>
      </c>
      <c r="P2183" s="15">
        <f>IF(AI2183="","",(1-$W$2)*(AI2183/1.2))</f>
        <v>658.33333333333337</v>
      </c>
      <c r="Q2183" s="267">
        <f>IF($W$5=0.2,P2183*1.2,P2183)/$W$4</f>
        <v>790</v>
      </c>
      <c r="R2183" s="270">
        <f>IF(AJ2183="","",(1-$W$2)*(AJ2183/1.2))</f>
        <v>858.33333333333337</v>
      </c>
      <c r="S2183" s="64">
        <f>IF($W$5=0.2,R2183*1.2,R2183)/$W$4</f>
        <v>1030</v>
      </c>
      <c r="T2183" s="15">
        <f>IF(AK2183="","",(1-$W$2)*(AK2183/1.2))</f>
        <v>716.66666666666674</v>
      </c>
      <c r="U2183" s="267">
        <f>IF($W$5=0.2,T2183*1.2,T2183)/$W$4</f>
        <v>860.00000000000011</v>
      </c>
      <c r="V2183" s="270">
        <f>IF(AL2183="","",(1-$W$2)*(AL2183/1.2))</f>
        <v>933.33333333333337</v>
      </c>
      <c r="W2183" s="64">
        <f>IF($W$5=0.2,V2183*1.2,V2183)/$W$4</f>
        <v>1120</v>
      </c>
      <c r="X2183" s="22"/>
      <c r="Y2183" s="22"/>
      <c r="Z2183" s="22"/>
      <c r="AA2183" s="22"/>
      <c r="AB2183" s="22"/>
      <c r="AC2183" s="332">
        <v>510</v>
      </c>
      <c r="AD2183" s="332">
        <v>660</v>
      </c>
      <c r="AE2183" s="332">
        <v>590</v>
      </c>
      <c r="AF2183" s="332">
        <v>760</v>
      </c>
      <c r="AG2183" s="332">
        <v>690</v>
      </c>
      <c r="AH2183" s="332">
        <v>890</v>
      </c>
      <c r="AI2183" s="332">
        <v>790</v>
      </c>
      <c r="AJ2183" s="332">
        <v>1030</v>
      </c>
      <c r="AK2183" s="332">
        <v>860</v>
      </c>
      <c r="AL2183" s="332">
        <v>1120</v>
      </c>
      <c r="AM2183" s="334">
        <v>510</v>
      </c>
      <c r="AN2183" s="310">
        <f>AM2183/AC2183-1</f>
        <v>0</v>
      </c>
      <c r="AO2183" s="334">
        <v>660</v>
      </c>
      <c r="AP2183" s="399">
        <f>AO2183/AD2183-1</f>
        <v>0</v>
      </c>
      <c r="AQ2183" s="334">
        <v>590</v>
      </c>
      <c r="AR2183" s="399">
        <f>AQ2183/AE2183-1</f>
        <v>0</v>
      </c>
      <c r="AS2183" s="334">
        <v>760</v>
      </c>
      <c r="AT2183" s="399">
        <f>AS2183/AF2183-1</f>
        <v>0</v>
      </c>
      <c r="AU2183" s="334">
        <v>690</v>
      </c>
      <c r="AV2183" s="399">
        <f>AU2183/AG2183-1</f>
        <v>0</v>
      </c>
      <c r="AW2183" s="1">
        <v>890</v>
      </c>
    </row>
    <row r="2184" spans="1:58" ht="34.5" customHeight="1">
      <c r="A2184" s="8"/>
      <c r="B2184" s="16" t="str">
        <f>IF($C$1="ENG","Panel (1 set) 110 mm","Планка (1 к-т) 110 мм")</f>
        <v>Планка (1 к-т) 110 мм</v>
      </c>
      <c r="C2184" s="431"/>
      <c r="D2184" s="18">
        <f>IF(AC2184="","",(1-$W$2)*(AC2184/1.2))</f>
        <v>658.33333333333337</v>
      </c>
      <c r="E2184" s="268">
        <f>IF($W$5=0.2,D2184*1.2,D2184)/$W$4</f>
        <v>790</v>
      </c>
      <c r="F2184" s="271">
        <f>IF(AD2184="","",(1-$W$2)*(AD2184/1.2))</f>
        <v>858.33333333333337</v>
      </c>
      <c r="G2184" s="66">
        <f>IF($W$5=0.2,F2184*1.2,F2184)/$W$4</f>
        <v>1030</v>
      </c>
      <c r="H2184" s="18">
        <f>IF(AE2184="","",(1-$W$2)*(AE2184/1.2))</f>
        <v>766.66666666666674</v>
      </c>
      <c r="I2184" s="268">
        <f>IF($W$5=0.2,H2184*1.2,H2184)/$W$4</f>
        <v>920.00000000000011</v>
      </c>
      <c r="J2184" s="271">
        <f>IF(AF2184="","",(1-$W$2)*(AF2184/1.2))</f>
        <v>958.33333333333337</v>
      </c>
      <c r="K2184" s="66">
        <f>IF($W$5=0.2,J2184*1.2,J2184)/$W$4</f>
        <v>1150</v>
      </c>
      <c r="L2184" s="18">
        <f>IF(AG2184="","",(1-$W$2)*(AG2184/1.2))</f>
        <v>866.66666666666674</v>
      </c>
      <c r="M2184" s="268">
        <f>IF($W$5=0.2,L2184*1.2,L2184)/$W$4</f>
        <v>1040</v>
      </c>
      <c r="N2184" s="271">
        <f>IF(AH2184="","",(1-$W$2)*(AH2184/1.2))</f>
        <v>1133.3333333333335</v>
      </c>
      <c r="O2184" s="66">
        <f>IF($W$5=0.2,N2184*1.2,N2184)/$W$4</f>
        <v>1360.0000000000002</v>
      </c>
      <c r="P2184" s="18">
        <f>IF(AI2184="","",(1-$W$2)*(AI2184/1.2))</f>
        <v>1016.6666666666667</v>
      </c>
      <c r="Q2184" s="268">
        <f>IF($W$5=0.2,P2184*1.2,P2184)/$W$4</f>
        <v>1220</v>
      </c>
      <c r="R2184" s="271">
        <f>IF(AJ2184="","",(1-$W$2)*(AJ2184/1.2))</f>
        <v>1325</v>
      </c>
      <c r="S2184" s="66">
        <f>IF($W$5=0.2,R2184*1.2,R2184)/$W$4</f>
        <v>1590</v>
      </c>
      <c r="T2184" s="18">
        <f>IF(AK2184="","",(1-$W$2)*(AK2184/1.2))</f>
        <v>1091.6666666666667</v>
      </c>
      <c r="U2184" s="268">
        <f>IF($W$5=0.2,T2184*1.2,T2184)/$W$4</f>
        <v>1310</v>
      </c>
      <c r="V2184" s="271">
        <f>IF(AL2184="","",(1-$W$2)*(AL2184/1.2))</f>
        <v>1425</v>
      </c>
      <c r="W2184" s="66">
        <f>IF($W$5=0.2,V2184*1.2,V2184)/$W$4</f>
        <v>1710</v>
      </c>
      <c r="X2184" s="22"/>
      <c r="Y2184" s="22"/>
      <c r="Z2184" s="22"/>
      <c r="AA2184" s="22"/>
      <c r="AB2184" s="22"/>
      <c r="AC2184" s="332">
        <v>790</v>
      </c>
      <c r="AD2184" s="332">
        <v>1030</v>
      </c>
      <c r="AE2184" s="332">
        <v>920</v>
      </c>
      <c r="AF2184" s="332">
        <v>1150</v>
      </c>
      <c r="AG2184" s="332">
        <v>1040</v>
      </c>
      <c r="AH2184" s="332">
        <v>1360</v>
      </c>
      <c r="AI2184" s="332">
        <v>1220</v>
      </c>
      <c r="AJ2184" s="332">
        <v>1590</v>
      </c>
      <c r="AK2184" s="332">
        <v>1310</v>
      </c>
      <c r="AL2184" s="332">
        <v>1710</v>
      </c>
      <c r="AM2184" s="334">
        <v>790</v>
      </c>
      <c r="AN2184" s="310">
        <f>AM2184/AC2184-1</f>
        <v>0</v>
      </c>
      <c r="AO2184" s="334">
        <v>1030</v>
      </c>
      <c r="AP2184" s="399">
        <f>AO2184/AD2184-1</f>
        <v>0</v>
      </c>
      <c r="AQ2184" s="334">
        <v>920</v>
      </c>
      <c r="AR2184" s="399">
        <f>AQ2184/AE2184-1</f>
        <v>0</v>
      </c>
      <c r="AS2184" s="334">
        <v>1150</v>
      </c>
      <c r="AT2184" s="399">
        <f>AS2184/AF2184-1</f>
        <v>0</v>
      </c>
      <c r="AU2184" s="334">
        <v>1040</v>
      </c>
      <c r="AV2184" s="399">
        <f>AU2184/AG2184-1</f>
        <v>0</v>
      </c>
      <c r="AW2184" s="1">
        <v>1360</v>
      </c>
    </row>
    <row r="2185" spans="1:58" ht="34.5" customHeight="1">
      <c r="A2185" s="8"/>
      <c r="B2185" s="23" t="str">
        <f>IF($C$1="ENG","Panel (1 set) 200 mm","Планка (1 к-т) 200 мм")</f>
        <v>Планка (1 к-т) 200 мм</v>
      </c>
      <c r="C2185" s="430"/>
      <c r="D2185" s="25">
        <f>IF(AC2185="","",(1-$W$2)*(AC2185/1.2))</f>
        <v>1283.3333333333335</v>
      </c>
      <c r="E2185" s="269">
        <f>IF($W$5=0.2,D2185*1.2,D2185)/$W$4</f>
        <v>1540.0000000000002</v>
      </c>
      <c r="F2185" s="272">
        <f>IF(AD2185="","",(1-$W$2)*(AD2185/1.2))</f>
        <v>1666.6666666666667</v>
      </c>
      <c r="G2185" s="69">
        <f>IF($W$5=0.2,F2185*1.2,F2185)/$W$4</f>
        <v>2000</v>
      </c>
      <c r="H2185" s="25">
        <f>IF(AE2185="","",(1-$W$2)*(AE2185/1.2))</f>
        <v>1475</v>
      </c>
      <c r="I2185" s="269">
        <f>IF($W$5=0.2,H2185*1.2,H2185)/$W$4</f>
        <v>1770</v>
      </c>
      <c r="J2185" s="272">
        <f>IF(AF2185="","",(1-$W$2)*(AF2185/1.2))</f>
        <v>1933.3333333333335</v>
      </c>
      <c r="K2185" s="69">
        <f>IF($W$5=0.2,J2185*1.2,J2185)/$W$4</f>
        <v>2320</v>
      </c>
      <c r="L2185" s="25">
        <f>IF(AG2185="","",(1-$W$2)*(AG2185/1.2))</f>
        <v>1750</v>
      </c>
      <c r="M2185" s="269">
        <f>IF($W$5=0.2,L2185*1.2,L2185)/$W$4</f>
        <v>2100</v>
      </c>
      <c r="N2185" s="272">
        <f>IF(AH2185="","",(1-$W$2)*(AH2185/1.2))</f>
        <v>2283.3333333333335</v>
      </c>
      <c r="O2185" s="69">
        <f>IF($W$5=0.2,N2185*1.2,N2185)/$W$4</f>
        <v>2740</v>
      </c>
      <c r="P2185" s="25">
        <f>IF(AI2185="","",(1-$W$2)*(AI2185/1.2))</f>
        <v>2016.6666666666667</v>
      </c>
      <c r="Q2185" s="269">
        <f>IF($W$5=0.2,P2185*1.2,P2185)/$W$4</f>
        <v>2420</v>
      </c>
      <c r="R2185" s="272">
        <f>IF(AJ2185="","",(1-$W$2)*(AJ2185/1.2))</f>
        <v>2625</v>
      </c>
      <c r="S2185" s="69">
        <f>IF($W$5=0.2,R2185*1.2,R2185)/$W$4</f>
        <v>3150</v>
      </c>
      <c r="T2185" s="25">
        <f>IF(AK2185="","",(1-$W$2)*(AK2185/1.2))</f>
        <v>2158.3333333333335</v>
      </c>
      <c r="U2185" s="269">
        <f>IF($W$5=0.2,T2185*1.2,T2185)/$W$4</f>
        <v>2590</v>
      </c>
      <c r="V2185" s="272">
        <f>IF(AL2185="","",(1-$W$2)*(AL2185/1.2))</f>
        <v>2800</v>
      </c>
      <c r="W2185" s="69">
        <f>IF($W$5=0.2,V2185*1.2,V2185)/$W$4</f>
        <v>3360</v>
      </c>
      <c r="X2185" s="22"/>
      <c r="Y2185" s="22"/>
      <c r="Z2185" s="22"/>
      <c r="AA2185" s="22"/>
      <c r="AB2185" s="22"/>
      <c r="AC2185" s="332">
        <v>1540</v>
      </c>
      <c r="AD2185" s="332">
        <v>2000</v>
      </c>
      <c r="AE2185" s="332">
        <v>1770</v>
      </c>
      <c r="AF2185" s="332">
        <v>2320</v>
      </c>
      <c r="AG2185" s="332">
        <v>2100</v>
      </c>
      <c r="AH2185" s="332">
        <v>2740</v>
      </c>
      <c r="AI2185" s="332">
        <v>2420</v>
      </c>
      <c r="AJ2185" s="332">
        <v>3150</v>
      </c>
      <c r="AK2185" s="332">
        <v>2590</v>
      </c>
      <c r="AL2185" s="332">
        <v>3360</v>
      </c>
      <c r="AM2185" s="334">
        <v>1540</v>
      </c>
      <c r="AN2185" s="310">
        <f>AM2185/AC2185-1</f>
        <v>0</v>
      </c>
      <c r="AO2185" s="334">
        <v>2000</v>
      </c>
      <c r="AP2185" s="399">
        <f>AO2185/AD2185-1</f>
        <v>0</v>
      </c>
      <c r="AQ2185" s="334">
        <v>1770</v>
      </c>
      <c r="AR2185" s="399">
        <f>AQ2185/AE2185-1</f>
        <v>0</v>
      </c>
      <c r="AS2185" s="334">
        <v>2320</v>
      </c>
      <c r="AT2185" s="399">
        <f>AS2185/AF2185-1</f>
        <v>0</v>
      </c>
      <c r="AU2185" s="334">
        <v>2100</v>
      </c>
      <c r="AV2185" s="399">
        <f>AU2185/AG2185-1</f>
        <v>0</v>
      </c>
      <c r="AW2185" s="1">
        <v>2740</v>
      </c>
    </row>
    <row r="2186" spans="1:58">
      <c r="C2186" s="245"/>
      <c r="D2186" s="26"/>
      <c r="E2186" s="57"/>
      <c r="F2186" s="10"/>
      <c r="G2186" s="87"/>
      <c r="H2186" s="10"/>
      <c r="I2186" s="84"/>
      <c r="J2186" s="8"/>
      <c r="K2186" s="84"/>
      <c r="L2186" s="48"/>
      <c r="M2186" s="48"/>
      <c r="N2186" s="48"/>
      <c r="O2186" s="48"/>
      <c r="P2186" s="48"/>
      <c r="Q2186" s="48"/>
      <c r="R2186" s="48"/>
      <c r="S2186" s="48"/>
    </row>
    <row r="2187" spans="1:58">
      <c r="B2187" s="212" t="str">
        <f>IF($C$1="ENG","For additonal charge:","Послуги за додаткову плату:")</f>
        <v>Послуги за додаткову плату:</v>
      </c>
      <c r="C2187" s="421"/>
      <c r="D2187" s="213"/>
      <c r="E2187" s="214"/>
      <c r="F2187" s="39"/>
      <c r="G2187" s="39"/>
      <c r="H2187" s="10"/>
      <c r="I2187" s="84"/>
      <c r="J2187" s="8"/>
      <c r="K2187" s="8"/>
      <c r="L2187" s="105"/>
      <c r="M2187" s="84"/>
      <c r="N2187" s="105"/>
      <c r="P2187" s="105"/>
      <c r="Q2187" s="84"/>
      <c r="R2187" s="105"/>
      <c r="U2187" s="84"/>
    </row>
    <row r="2188" spans="1:58" ht="5.0999999999999996" customHeight="1">
      <c r="B2188" s="27"/>
      <c r="C2188" s="245"/>
      <c r="D2188" s="26"/>
      <c r="E2188" s="57"/>
      <c r="F2188" s="26"/>
      <c r="G2188" s="26"/>
      <c r="H2188" s="10"/>
      <c r="I2188" s="8"/>
      <c r="J2188" s="8"/>
      <c r="K2188" s="8"/>
      <c r="M2188" s="8"/>
      <c r="Q2188" s="8"/>
      <c r="U2188" s="8"/>
    </row>
    <row r="2189" spans="1:58">
      <c r="B2189" s="486" t="str">
        <f>IF($C$1="ENG","third door hindge","третя завіса")</f>
        <v>третя завіса</v>
      </c>
      <c r="C2189" s="487"/>
      <c r="D2189" s="15">
        <f>IF(AC2189="","",(1-$W$2)*(AC2189/1.2))</f>
        <v>66.666666666666671</v>
      </c>
      <c r="E2189" s="64">
        <f>IF($W$5=0.2,D2189*1.2,D2189)/$W$4</f>
        <v>80</v>
      </c>
      <c r="F2189" s="26"/>
      <c r="G2189" s="26"/>
      <c r="H2189" s="10"/>
      <c r="I2189" s="84"/>
      <c r="J2189" s="8"/>
      <c r="K2189" s="26"/>
      <c r="L2189" s="105"/>
      <c r="M2189" s="84"/>
      <c r="N2189" s="105"/>
      <c r="O2189" s="26"/>
      <c r="P2189" s="105"/>
      <c r="Q2189" s="84"/>
      <c r="R2189" s="105"/>
      <c r="S2189" s="26"/>
      <c r="U2189" s="84"/>
      <c r="W2189" s="26"/>
      <c r="AC2189" s="298">
        <v>80</v>
      </c>
      <c r="AD2189" s="289"/>
      <c r="AE2189" s="289">
        <f>AD2189/AC2189-1</f>
        <v>-1</v>
      </c>
      <c r="AF2189" s="289"/>
      <c r="AG2189" s="289"/>
      <c r="AH2189" s="289"/>
      <c r="AI2189" s="289"/>
      <c r="AJ2189" s="289"/>
      <c r="AK2189" s="289"/>
      <c r="AL2189" s="289"/>
    </row>
    <row r="2190" spans="1:58">
      <c r="B2190" s="486" t="str">
        <f>IF($C$1="ENG","wooden door threshold","поріг сосновий")</f>
        <v>поріг сосновий</v>
      </c>
      <c r="C2190" s="487"/>
      <c r="D2190" s="25">
        <f>IF(AC2190="","",(1-$W$2)*(AC2190/1.2))</f>
        <v>458.33333333333337</v>
      </c>
      <c r="E2190" s="69">
        <f>IF($W$5=0.2,D2190*1.2,D2190)/$W$4</f>
        <v>550</v>
      </c>
      <c r="F2190" s="26"/>
      <c r="G2190" s="26"/>
      <c r="I2190" s="20"/>
      <c r="K2190" s="26"/>
      <c r="M2190" s="20"/>
      <c r="O2190" s="26"/>
      <c r="Q2190" s="20"/>
      <c r="S2190" s="26"/>
      <c r="U2190" s="20"/>
      <c r="W2190" s="26"/>
      <c r="AC2190" s="332">
        <v>550</v>
      </c>
      <c r="AD2190" s="289"/>
      <c r="AE2190" s="289">
        <f>AD2190/AC2190-1</f>
        <v>-1</v>
      </c>
      <c r="AF2190" s="289"/>
      <c r="AG2190" s="289"/>
      <c r="AH2190" s="289"/>
      <c r="AI2190" s="289"/>
      <c r="AJ2190" s="289"/>
      <c r="AK2190" s="289"/>
      <c r="AL2190" s="289"/>
    </row>
    <row r="2191" spans="1:58" ht="14.25" customHeight="1">
      <c r="M2191" s="20"/>
      <c r="Q2191" s="20"/>
      <c r="T2191" s="488" t="str">
        <f>IF($C$1="ENG",CONCATENATE("down to: ",B2241),CONCATENATE("вниз до: ",B2241))</f>
        <v>вниз до: Дверна коробка Verto-FIT</v>
      </c>
      <c r="U2191" s="488"/>
      <c r="V2191" s="488"/>
      <c r="W2191" s="488"/>
    </row>
    <row r="2192" spans="1:58" ht="14.25" customHeight="1">
      <c r="C2192" s="245"/>
      <c r="D2192" s="26"/>
      <c r="E2192" s="26"/>
      <c r="F2192" s="26"/>
      <c r="G2192" s="26"/>
      <c r="H2192" s="5"/>
      <c r="I2192" s="20"/>
      <c r="M2192" s="20"/>
      <c r="O2192" s="57"/>
      <c r="Q2192" s="20"/>
      <c r="S2192" s="57"/>
      <c r="T2192" s="33"/>
      <c r="U2192" s="20"/>
      <c r="V2192" s="33"/>
      <c r="W2192" s="33"/>
    </row>
    <row r="2193" spans="3:28" ht="14.25" customHeight="1">
      <c r="C2193" s="245"/>
      <c r="D2193" s="26"/>
      <c r="E2193" s="26"/>
      <c r="F2193" s="26"/>
      <c r="G2193" s="57"/>
      <c r="H2193" s="5"/>
      <c r="I2193" s="20"/>
      <c r="K2193" s="57"/>
      <c r="M2193" s="57"/>
      <c r="O2193" s="57"/>
      <c r="Q2193" s="57"/>
      <c r="S2193" s="57"/>
      <c r="T2193" s="33"/>
      <c r="U2193" s="33"/>
      <c r="V2193" s="33"/>
      <c r="W2193" s="57"/>
    </row>
    <row r="2194" spans="3:28" ht="14.25" customHeight="1">
      <c r="C2194" s="245"/>
      <c r="D2194" s="26"/>
      <c r="E2194" s="57"/>
      <c r="F2194" s="26"/>
      <c r="G2194" s="57"/>
      <c r="H2194" s="5"/>
      <c r="I2194" s="57"/>
      <c r="K2194" s="57"/>
      <c r="L2194" s="279"/>
      <c r="O2194" s="57"/>
      <c r="P2194" s="279"/>
      <c r="S2194" s="57"/>
      <c r="T2194" s="279"/>
      <c r="U2194" s="33"/>
      <c r="V2194" s="33"/>
      <c r="W2194" s="57"/>
      <c r="X2194" s="279"/>
      <c r="Y2194" s="279"/>
      <c r="Z2194" s="279"/>
      <c r="AA2194" s="279"/>
      <c r="AB2194" s="279"/>
    </row>
    <row r="2195" spans="3:28" ht="14.25" customHeight="1">
      <c r="C2195" s="245"/>
      <c r="D2195" s="26"/>
      <c r="E2195" s="26"/>
      <c r="F2195" s="26"/>
      <c r="G2195" s="57"/>
      <c r="H2195" s="279"/>
      <c r="K2195" s="57"/>
      <c r="L2195" s="279"/>
      <c r="O2195" s="26"/>
      <c r="P2195" s="279"/>
      <c r="S2195" s="26"/>
      <c r="T2195" s="279"/>
      <c r="U2195" s="33"/>
      <c r="V2195" s="33"/>
      <c r="W2195" s="26"/>
      <c r="X2195" s="279"/>
      <c r="Y2195" s="279"/>
      <c r="Z2195" s="279"/>
      <c r="AA2195" s="279"/>
      <c r="AB2195" s="279"/>
    </row>
    <row r="2196" spans="3:28" ht="14.25" customHeight="1">
      <c r="C2196" s="245"/>
      <c r="D2196" s="26"/>
      <c r="E2196" s="26"/>
      <c r="F2196" s="26"/>
      <c r="G2196" s="26"/>
      <c r="H2196" s="279"/>
      <c r="K2196" s="26"/>
      <c r="M2196" s="57"/>
      <c r="O2196" s="57"/>
      <c r="Q2196" s="57"/>
      <c r="S2196" s="57"/>
      <c r="T2196" s="33"/>
      <c r="U2196" s="33"/>
      <c r="V2196" s="33"/>
      <c r="W2196" s="57"/>
      <c r="X2196" s="5"/>
      <c r="Y2196" s="5"/>
      <c r="Z2196" s="5"/>
      <c r="AA2196" s="5"/>
      <c r="AB2196" s="5"/>
    </row>
    <row r="2197" spans="3:28" ht="14.25" customHeight="1">
      <c r="C2197" s="245"/>
      <c r="D2197" s="26"/>
      <c r="E2197" s="26"/>
      <c r="F2197" s="26"/>
      <c r="G2197" s="57"/>
      <c r="H2197" s="5"/>
      <c r="I2197" s="57"/>
      <c r="K2197" s="57"/>
      <c r="L2197" s="279"/>
      <c r="O2197" s="57"/>
      <c r="P2197" s="279"/>
      <c r="S2197" s="57"/>
      <c r="T2197" s="279"/>
      <c r="U2197" s="33"/>
      <c r="V2197" s="33"/>
      <c r="W2197" s="57"/>
      <c r="X2197" s="279"/>
      <c r="Y2197" s="279"/>
      <c r="Z2197" s="279"/>
      <c r="AA2197" s="279"/>
      <c r="AB2197" s="279"/>
    </row>
    <row r="2198" spans="3:28" ht="14.25" customHeight="1">
      <c r="C2198" s="245"/>
      <c r="D2198" s="26"/>
      <c r="E2198" s="26"/>
      <c r="F2198" s="26"/>
      <c r="G2198" s="57"/>
      <c r="H2198" s="279"/>
      <c r="K2198" s="57"/>
      <c r="L2198" s="279"/>
      <c r="O2198" s="26"/>
      <c r="P2198" s="279"/>
      <c r="S2198" s="26"/>
      <c r="T2198" s="279"/>
      <c r="U2198" s="33"/>
      <c r="V2198" s="33"/>
      <c r="W2198" s="26"/>
      <c r="X2198" s="279"/>
      <c r="Y2198" s="279"/>
      <c r="Z2198" s="279"/>
      <c r="AA2198" s="279"/>
      <c r="AB2198" s="279"/>
    </row>
    <row r="2199" spans="3:28" ht="14.25" customHeight="1">
      <c r="C2199" s="245"/>
      <c r="D2199" s="26"/>
      <c r="E2199" s="26"/>
      <c r="F2199" s="26"/>
      <c r="G2199" s="26"/>
      <c r="H2199" s="279"/>
      <c r="K2199" s="26"/>
    </row>
    <row r="2200" spans="3:28" ht="14.25" customHeight="1">
      <c r="C2200" s="245"/>
      <c r="D2200" s="26"/>
      <c r="E2200" s="26"/>
      <c r="F2200" s="26"/>
      <c r="G2200" s="26"/>
      <c r="H2200" s="5"/>
    </row>
    <row r="2201" spans="3:28" ht="14.25" customHeight="1">
      <c r="C2201" s="245"/>
      <c r="D2201" s="26"/>
      <c r="E2201" s="26"/>
      <c r="F2201" s="26"/>
      <c r="G2201" s="26"/>
      <c r="H2201" s="5"/>
    </row>
    <row r="2202" spans="3:28" ht="14.25" customHeight="1">
      <c r="C2202" s="245"/>
      <c r="D2202" s="26"/>
      <c r="E2202" s="26"/>
      <c r="F2202" s="26"/>
      <c r="G2202" s="26"/>
      <c r="H2202" s="5"/>
    </row>
    <row r="2203" spans="3:28" ht="14.25" customHeight="1">
      <c r="C2203" s="245"/>
      <c r="D2203" s="26"/>
      <c r="E2203" s="26"/>
      <c r="F2203" s="26"/>
      <c r="G2203" s="26"/>
      <c r="H2203" s="5"/>
    </row>
    <row r="2204" spans="3:28" ht="14.25" customHeight="1">
      <c r="C2204" s="245"/>
      <c r="D2204" s="26"/>
      <c r="E2204" s="26"/>
      <c r="F2204" s="26"/>
      <c r="G2204" s="26"/>
      <c r="H2204" s="5"/>
    </row>
    <row r="2205" spans="3:28" ht="14.25" customHeight="1">
      <c r="C2205" s="245"/>
      <c r="D2205" s="26"/>
      <c r="E2205" s="26"/>
      <c r="F2205" s="26"/>
      <c r="G2205" s="26"/>
      <c r="H2205" s="5"/>
    </row>
    <row r="2206" spans="3:28" ht="14.25" customHeight="1">
      <c r="C2206" s="245"/>
      <c r="D2206" s="26"/>
      <c r="E2206" s="26"/>
      <c r="F2206" s="26"/>
      <c r="G2206" s="26"/>
      <c r="H2206" s="5"/>
    </row>
    <row r="2207" spans="3:28" ht="14.25" customHeight="1">
      <c r="C2207" s="245"/>
      <c r="D2207" s="26"/>
      <c r="E2207" s="26"/>
      <c r="F2207" s="26"/>
      <c r="G2207" s="26"/>
      <c r="H2207" s="5"/>
    </row>
    <row r="2208" spans="3:28" ht="14.25" customHeight="1">
      <c r="C2208" s="245"/>
      <c r="D2208" s="26"/>
      <c r="E2208" s="26"/>
      <c r="F2208" s="26"/>
      <c r="G2208" s="26"/>
      <c r="H2208" s="5"/>
    </row>
    <row r="2209" spans="3:8" ht="14.25" customHeight="1">
      <c r="C2209" s="245"/>
      <c r="D2209" s="26"/>
      <c r="E2209" s="26"/>
      <c r="F2209" s="26"/>
      <c r="G2209" s="26"/>
      <c r="H2209" s="5"/>
    </row>
    <row r="2210" spans="3:8" ht="14.25" customHeight="1">
      <c r="C2210" s="245"/>
      <c r="D2210" s="26"/>
      <c r="E2210" s="26"/>
      <c r="F2210" s="26"/>
      <c r="G2210" s="26"/>
      <c r="H2210" s="5"/>
    </row>
    <row r="2211" spans="3:8" ht="14.25" customHeight="1">
      <c r="C2211" s="245"/>
      <c r="D2211" s="26"/>
      <c r="E2211" s="26"/>
      <c r="F2211" s="26"/>
      <c r="G2211" s="26"/>
      <c r="H2211" s="5"/>
    </row>
    <row r="2212" spans="3:8" ht="14.25" customHeight="1">
      <c r="C2212" s="245"/>
      <c r="D2212" s="26"/>
      <c r="E2212" s="26"/>
      <c r="F2212" s="26"/>
      <c r="G2212" s="26"/>
      <c r="H2212" s="5"/>
    </row>
    <row r="2213" spans="3:8" ht="14.25" customHeight="1">
      <c r="C2213" s="245"/>
      <c r="D2213" s="26"/>
      <c r="E2213" s="26"/>
      <c r="F2213" s="26"/>
      <c r="G2213" s="26"/>
      <c r="H2213" s="5"/>
    </row>
    <row r="2214" spans="3:8" ht="14.25" customHeight="1">
      <c r="C2214" s="245"/>
      <c r="D2214" s="26"/>
      <c r="E2214" s="26"/>
      <c r="F2214" s="26"/>
      <c r="G2214" s="26"/>
      <c r="H2214" s="5"/>
    </row>
    <row r="2215" spans="3:8" ht="14.25" customHeight="1">
      <c r="C2215" s="245"/>
      <c r="D2215" s="26"/>
      <c r="E2215" s="26"/>
      <c r="F2215" s="26"/>
      <c r="G2215" s="26"/>
      <c r="H2215" s="5"/>
    </row>
    <row r="2216" spans="3:8" ht="14.25" customHeight="1">
      <c r="C2216" s="245"/>
      <c r="D2216" s="26"/>
      <c r="E2216" s="26"/>
      <c r="F2216" s="26"/>
      <c r="G2216" s="26"/>
      <c r="H2216" s="5"/>
    </row>
    <row r="2217" spans="3:8" ht="14.25" customHeight="1">
      <c r="C2217" s="245"/>
      <c r="D2217" s="26"/>
      <c r="E2217" s="26"/>
      <c r="F2217" s="26"/>
      <c r="G2217" s="26"/>
      <c r="H2217" s="5"/>
    </row>
    <row r="2218" spans="3:8" ht="14.25" customHeight="1">
      <c r="C2218" s="245"/>
      <c r="D2218" s="26"/>
      <c r="E2218" s="26"/>
      <c r="F2218" s="26"/>
      <c r="G2218" s="26"/>
      <c r="H2218" s="5"/>
    </row>
    <row r="2219" spans="3:8" ht="14.25" customHeight="1">
      <c r="C2219" s="245"/>
      <c r="D2219" s="26"/>
      <c r="E2219" s="26"/>
      <c r="F2219" s="26"/>
      <c r="G2219" s="26"/>
      <c r="H2219" s="5"/>
    </row>
    <row r="2220" spans="3:8" ht="14.25" customHeight="1">
      <c r="C2220" s="245"/>
      <c r="D2220" s="26"/>
      <c r="E2220" s="26"/>
      <c r="F2220" s="26"/>
      <c r="G2220" s="26"/>
      <c r="H2220" s="5"/>
    </row>
    <row r="2221" spans="3:8" ht="14.25" customHeight="1">
      <c r="C2221" s="245"/>
      <c r="D2221" s="26"/>
      <c r="E2221" s="26"/>
      <c r="F2221" s="26"/>
      <c r="G2221" s="26"/>
      <c r="H2221" s="5"/>
    </row>
    <row r="2222" spans="3:8" ht="14.25" customHeight="1">
      <c r="C2222" s="245"/>
      <c r="D2222" s="26"/>
      <c r="E2222" s="26"/>
      <c r="F2222" s="26"/>
      <c r="G2222" s="26"/>
      <c r="H2222" s="5"/>
    </row>
    <row r="2223" spans="3:8" ht="14.25" customHeight="1">
      <c r="C2223" s="245"/>
      <c r="D2223" s="26"/>
      <c r="E2223" s="26"/>
      <c r="F2223" s="26"/>
      <c r="G2223" s="26"/>
      <c r="H2223" s="5"/>
    </row>
    <row r="2224" spans="3:8" ht="14.25" customHeight="1">
      <c r="C2224" s="245"/>
      <c r="D2224" s="26"/>
      <c r="E2224" s="26"/>
      <c r="F2224" s="26"/>
      <c r="G2224" s="26"/>
      <c r="H2224" s="5"/>
    </row>
    <row r="2225" spans="3:23" ht="14.25" customHeight="1">
      <c r="C2225" s="245"/>
      <c r="D2225" s="26"/>
      <c r="E2225" s="26"/>
      <c r="F2225" s="26"/>
      <c r="G2225" s="26"/>
      <c r="H2225" s="5"/>
    </row>
    <row r="2226" spans="3:23" ht="14.25" customHeight="1">
      <c r="C2226" s="245"/>
      <c r="D2226" s="26"/>
      <c r="E2226" s="26"/>
      <c r="F2226" s="26"/>
      <c r="G2226" s="26"/>
      <c r="H2226" s="5"/>
    </row>
    <row r="2227" spans="3:23" ht="14.25" customHeight="1">
      <c r="C2227" s="245"/>
      <c r="D2227" s="26"/>
      <c r="E2227" s="26"/>
      <c r="F2227" s="26"/>
      <c r="G2227" s="57"/>
      <c r="H2227" s="5"/>
      <c r="K2227" s="57"/>
      <c r="O2227" s="57"/>
      <c r="S2227" s="57"/>
      <c r="W2227" s="57"/>
    </row>
    <row r="2228" spans="3:23" ht="14.25" customHeight="1">
      <c r="C2228" s="245"/>
      <c r="D2228" s="26"/>
      <c r="E2228" s="26"/>
      <c r="F2228" s="26"/>
      <c r="G2228" s="57"/>
      <c r="H2228" s="5"/>
      <c r="K2228" s="57"/>
      <c r="O2228" s="57"/>
      <c r="S2228" s="57"/>
      <c r="W2228" s="57"/>
    </row>
    <row r="2229" spans="3:23" ht="14.25" customHeight="1">
      <c r="C2229" s="245"/>
      <c r="D2229" s="26"/>
      <c r="E2229" s="26"/>
      <c r="F2229" s="26"/>
      <c r="G2229" s="57"/>
      <c r="H2229" s="5"/>
      <c r="K2229" s="57"/>
      <c r="O2229" s="57"/>
      <c r="S2229" s="57"/>
      <c r="W2229" s="57"/>
    </row>
    <row r="2230" spans="3:23" ht="14.25" customHeight="1">
      <c r="C2230" s="245"/>
      <c r="D2230" s="26"/>
      <c r="E2230" s="26"/>
      <c r="F2230" s="26"/>
      <c r="G2230" s="57"/>
      <c r="H2230" s="5"/>
      <c r="K2230" s="57"/>
      <c r="O2230" s="57"/>
      <c r="S2230" s="57"/>
      <c r="W2230" s="57"/>
    </row>
    <row r="2231" spans="3:23" ht="14.25" customHeight="1">
      <c r="C2231" s="245"/>
      <c r="D2231" s="26"/>
      <c r="E2231" s="26"/>
      <c r="F2231" s="26"/>
      <c r="G2231" s="57"/>
      <c r="H2231" s="5"/>
      <c r="K2231" s="57"/>
      <c r="O2231" s="57"/>
      <c r="S2231" s="57"/>
      <c r="W2231" s="57"/>
    </row>
    <row r="2232" spans="3:23" ht="14.25" customHeight="1">
      <c r="C2232" s="245"/>
      <c r="D2232" s="26"/>
      <c r="E2232" s="26"/>
      <c r="F2232" s="26"/>
      <c r="G2232" s="57"/>
      <c r="H2232" s="5"/>
      <c r="K2232" s="57"/>
      <c r="O2232" s="57"/>
      <c r="S2232" s="57"/>
      <c r="W2232" s="57"/>
    </row>
    <row r="2233" spans="3:23" ht="14.25" customHeight="1">
      <c r="C2233" s="245"/>
      <c r="D2233" s="26"/>
      <c r="E2233" s="26"/>
      <c r="F2233" s="26"/>
      <c r="G2233" s="57"/>
      <c r="H2233" s="5"/>
      <c r="K2233" s="57"/>
      <c r="O2233" s="57"/>
      <c r="S2233" s="57"/>
      <c r="W2233" s="57"/>
    </row>
    <row r="2234" spans="3:23" ht="14.25" customHeight="1">
      <c r="C2234" s="245"/>
      <c r="D2234" s="26"/>
      <c r="E2234" s="26"/>
      <c r="F2234" s="26"/>
      <c r="G2234" s="57"/>
      <c r="H2234" s="5"/>
      <c r="K2234" s="57"/>
      <c r="O2234" s="57"/>
      <c r="S2234" s="57"/>
      <c r="W2234" s="57"/>
    </row>
    <row r="2235" spans="3:23" ht="14.25" customHeight="1">
      <c r="C2235" s="245"/>
      <c r="D2235" s="26"/>
      <c r="E2235" s="26"/>
      <c r="F2235" s="26"/>
      <c r="G2235" s="57"/>
      <c r="H2235" s="5"/>
      <c r="K2235" s="57"/>
      <c r="O2235" s="57"/>
      <c r="S2235" s="57"/>
      <c r="W2235" s="57"/>
    </row>
    <row r="2236" spans="3:23" ht="14.25" customHeight="1">
      <c r="C2236" s="245"/>
      <c r="D2236" s="26"/>
      <c r="E2236" s="26"/>
      <c r="F2236" s="26"/>
      <c r="G2236" s="57"/>
      <c r="H2236" s="5"/>
      <c r="K2236" s="57"/>
      <c r="O2236" s="57"/>
      <c r="S2236" s="57"/>
      <c r="W2236" s="57"/>
    </row>
    <row r="2237" spans="3:23" ht="14.25" customHeight="1">
      <c r="C2237" s="245"/>
      <c r="D2237" s="26"/>
      <c r="E2237" s="26"/>
      <c r="F2237" s="26"/>
      <c r="G2237" s="57"/>
      <c r="H2237" s="5"/>
      <c r="K2237" s="57"/>
      <c r="O2237" s="57"/>
      <c r="S2237" s="57"/>
      <c r="W2237" s="57"/>
    </row>
    <row r="2238" spans="3:23" ht="14.25" customHeight="1">
      <c r="C2238" s="245"/>
      <c r="D2238" s="26"/>
      <c r="E2238" s="26"/>
      <c r="F2238" s="26"/>
      <c r="G2238" s="57"/>
      <c r="H2238" s="5"/>
      <c r="K2238" s="57"/>
      <c r="O2238" s="57"/>
      <c r="S2238" s="57"/>
      <c r="W2238" s="57"/>
    </row>
    <row r="2239" spans="3:23" ht="14.25" customHeight="1">
      <c r="C2239" s="245"/>
      <c r="D2239" s="26"/>
      <c r="E2239" s="57"/>
      <c r="F2239" s="26"/>
      <c r="G2239" s="57"/>
      <c r="H2239" s="5"/>
      <c r="K2239" s="57"/>
      <c r="O2239" s="57"/>
      <c r="S2239" s="57"/>
      <c r="W2239" s="57"/>
    </row>
    <row r="2240" spans="3:23" ht="14.25" customHeight="1">
      <c r="C2240" s="245"/>
      <c r="D2240" s="58"/>
      <c r="E2240" s="58"/>
      <c r="F2240" s="58"/>
      <c r="G2240" s="58"/>
      <c r="H2240" s="58"/>
      <c r="I2240" s="58"/>
      <c r="J2240" s="58"/>
      <c r="K2240" s="58"/>
      <c r="L2240" s="58"/>
      <c r="M2240" s="58"/>
      <c r="N2240" s="58"/>
      <c r="O2240" s="58"/>
      <c r="P2240" s="58"/>
      <c r="Q2240" s="58"/>
      <c r="R2240" s="58"/>
      <c r="S2240" s="58"/>
      <c r="T2240" s="58"/>
      <c r="U2240" s="58"/>
      <c r="V2240" s="58">
        <f t="shared" ref="V2240" si="299">V2254/100*40</f>
        <v>2806.666666666667</v>
      </c>
      <c r="W2240" s="58"/>
    </row>
    <row r="2241" spans="1:58" s="8" customFormat="1">
      <c r="B2241" s="493" t="str">
        <f>TITLE!$C$43</f>
        <v>Дверна коробка Verto-FIT</v>
      </c>
      <c r="C2241" s="494"/>
      <c r="D2241" s="118"/>
      <c r="E2241" s="495" t="str">
        <f>IF($C$1="ENG","For Door Leafs with Rebbit","Для Дверних Полотен з Фальцем")</f>
        <v>Для Дверних Полотен з Фальцем</v>
      </c>
      <c r="F2241" s="495"/>
      <c r="G2241" s="495"/>
      <c r="H2241" s="495"/>
      <c r="I2241" s="495"/>
      <c r="J2241" s="495"/>
      <c r="K2241" s="495"/>
      <c r="L2241" s="496"/>
      <c r="M2241" s="496"/>
      <c r="N2241" s="496"/>
      <c r="O2241" s="496"/>
      <c r="P2241" s="496"/>
      <c r="Q2241" s="496"/>
      <c r="R2241" s="496"/>
      <c r="S2241" s="496"/>
      <c r="T2241" s="517" t="str">
        <f>IF($C$1="ENG",CONCATENATE("up to: ",B2173),CONCATENATE("вгору до: ",B2173))</f>
        <v>вгору до: Дверна коробка STANDARD</v>
      </c>
      <c r="U2241" s="517"/>
      <c r="V2241" s="517"/>
      <c r="W2241" s="517"/>
      <c r="AC2241" s="1"/>
      <c r="AF2241" s="1"/>
      <c r="AN2241" s="280"/>
      <c r="AO2241" s="280"/>
      <c r="AP2241" s="280"/>
      <c r="AQ2241" s="280"/>
      <c r="AR2241" s="280"/>
      <c r="AS2241" s="280"/>
      <c r="AT2241" s="280"/>
    </row>
    <row r="2242" spans="1:58" s="8" customFormat="1" ht="5.0999999999999996" customHeight="1">
      <c r="C2242" s="424"/>
      <c r="T2242" s="116"/>
      <c r="U2242" s="116"/>
      <c r="V2242" s="116"/>
      <c r="W2242" s="116"/>
      <c r="AC2242" s="1"/>
      <c r="AF2242" s="1"/>
      <c r="AN2242" s="280"/>
      <c r="AO2242" s="280"/>
      <c r="AP2242" s="280"/>
      <c r="AQ2242" s="280"/>
      <c r="AR2242" s="280"/>
      <c r="AS2242" s="280"/>
      <c r="AT2242" s="280"/>
    </row>
    <row r="2243" spans="1:58" ht="12.75" customHeight="1">
      <c r="A2243" s="8"/>
      <c r="B2243" s="307" t="str">
        <f>IF($C$1="ENG","model","модель")</f>
        <v>модель</v>
      </c>
      <c r="C2243" s="122" t="str">
        <f>IF($C$1="ENG","cover:","покриття:")</f>
        <v>покриття:</v>
      </c>
      <c r="D2243" s="498" t="str">
        <f>IF($C$1="ENG","SIMPLEX / VERTO-CELL / ","SIMPLEX / VERTO-CELL ")</f>
        <v xml:space="preserve">SIMPLEX / VERTO-CELL </v>
      </c>
      <c r="E2243" s="499"/>
      <c r="F2243" s="499"/>
      <c r="G2243" s="500"/>
      <c r="H2243" s="498" t="str">
        <f>IF($C$1="ENG","UNI-MAT","UNI-MAT")</f>
        <v>UNI-MAT</v>
      </c>
      <c r="I2243" s="499"/>
      <c r="J2243" s="499"/>
      <c r="K2243" s="500"/>
      <c r="L2243" s="498" t="str">
        <f>IF($C$1="ENG","RESIST","RESIST")</f>
        <v>RESIST</v>
      </c>
      <c r="M2243" s="499"/>
      <c r="N2243" s="499"/>
      <c r="O2243" s="500"/>
      <c r="P2243" s="498" t="str">
        <f>IF($C$1="ENG","Verto LINE-3D","Verto LINE-3D")</f>
        <v>Verto LINE-3D</v>
      </c>
      <c r="Q2243" s="499"/>
      <c r="R2243" s="499"/>
      <c r="S2243" s="500"/>
      <c r="T2243" s="498" t="str">
        <f>IF($C$1="ENG","ECO Shpon / LOFT","ЕКО Шпон / LOFT")</f>
        <v>ЕКО Шпон / LOFT</v>
      </c>
      <c r="U2243" s="499"/>
      <c r="V2243" s="499"/>
      <c r="W2243" s="500"/>
      <c r="AM2243" s="385"/>
      <c r="AO2243" s="384"/>
    </row>
    <row r="2244" spans="1:58" ht="12.75" customHeight="1">
      <c r="A2244" s="8"/>
      <c r="B2244" s="308"/>
      <c r="C2244" s="124" t="str">
        <f>IF($C$1="ENG","type:","виконання:")</f>
        <v>виконання:</v>
      </c>
      <c r="D2244" s="489" t="str">
        <f>IF($C$1="ENG","single leaf","одностулкове")</f>
        <v>одностулкове</v>
      </c>
      <c r="E2244" s="490"/>
      <c r="F2244" s="518" t="str">
        <f>IF($C$1="ENG","double leaf","двостулкові")</f>
        <v>двостулкові</v>
      </c>
      <c r="G2244" s="492"/>
      <c r="H2244" s="489" t="str">
        <f>IF($C$1="ENG","single leaf","одностулкове")</f>
        <v>одностулкове</v>
      </c>
      <c r="I2244" s="490"/>
      <c r="J2244" s="518" t="str">
        <f>IF($C$1="ENG","double leaf","двостулкові")</f>
        <v>двостулкові</v>
      </c>
      <c r="K2244" s="492"/>
      <c r="L2244" s="489" t="str">
        <f>IF($C$1="ENG","single leaf","одностулкове")</f>
        <v>одностулкове</v>
      </c>
      <c r="M2244" s="490"/>
      <c r="N2244" s="491" t="str">
        <f>IF($C$1="ENG","double leaf","двостулкові")</f>
        <v>двостулкові</v>
      </c>
      <c r="O2244" s="492"/>
      <c r="P2244" s="489" t="str">
        <f>IF($C$1="ENG","single leaf","одностулкове")</f>
        <v>одностулкове</v>
      </c>
      <c r="Q2244" s="490"/>
      <c r="R2244" s="491" t="str">
        <f>IF($C$1="ENG","double leaf","двостулкові")</f>
        <v>двостулкові</v>
      </c>
      <c r="S2244" s="492"/>
      <c r="T2244" s="489" t="str">
        <f>IF($C$1="ENG","single leaf","одностулкове")</f>
        <v>одностулкове</v>
      </c>
      <c r="U2244" s="490"/>
      <c r="V2244" s="491" t="str">
        <f>IF($C$1="ENG","double leaf","двостулкові")</f>
        <v>двостулкові</v>
      </c>
      <c r="W2244" s="491"/>
      <c r="X2244" s="48"/>
      <c r="Y2244" s="48"/>
      <c r="Z2244" s="48"/>
      <c r="AA2244" s="48"/>
      <c r="AE2244" s="1">
        <f>AE2245/AC2245-1</f>
        <v>0.15436241610738266</v>
      </c>
      <c r="AM2244" s="385"/>
    </row>
    <row r="2245" spans="1:58" ht="12.75" customHeight="1">
      <c r="A2245" s="8"/>
      <c r="B2245" s="13" t="str">
        <f>IF($C$1="ENG","A (75 - 95 mm)","A (75 - 95 мм)")</f>
        <v>A (75 - 95 мм)</v>
      </c>
      <c r="C2245" s="426"/>
      <c r="D2245" s="15">
        <f t="shared" ref="D2245:D2254" si="300">IF(AC2245="","",(1-$W$2)*(AC2245/1.2))</f>
        <v>2483.3333333333335</v>
      </c>
      <c r="E2245" s="267">
        <f t="shared" ref="E2245:E2254" si="301">IF($W$5=0.2,D2245*1.2,D2245)/$W$4</f>
        <v>2980</v>
      </c>
      <c r="F2245" s="270">
        <f t="shared" ref="F2245:F2254" si="302">IF(AD2245="","",(1-$W$2)*(AD2245/1.2))</f>
        <v>3475</v>
      </c>
      <c r="G2245" s="64">
        <f t="shared" ref="G2245:G2254" si="303">IF($W$5=0.2,F2245*1.2,F2245)/$W$4</f>
        <v>4170</v>
      </c>
      <c r="H2245" s="15">
        <f t="shared" ref="H2245:H2254" si="304">IF(AE2245="","",(1-$W$2)*(AE2245/1.2))</f>
        <v>2866.666666666667</v>
      </c>
      <c r="I2245" s="267">
        <f t="shared" ref="I2245:I2254" si="305">IF($W$5=0.2,H2245*1.2,H2245)/$W$4</f>
        <v>3440.0000000000005</v>
      </c>
      <c r="J2245" s="270">
        <f t="shared" ref="J2245:J2254" si="306">IF(AF2245="","",(1-$W$2)*(AF2245/1.2))</f>
        <v>4016.666666666667</v>
      </c>
      <c r="K2245" s="64">
        <f t="shared" ref="K2245:K2254" si="307">IF($W$5=0.2,J2245*1.2,J2245)/$W$4</f>
        <v>4820</v>
      </c>
      <c r="L2245" s="15">
        <f t="shared" ref="L2245:L2254" si="308">IF(AG2245="","",(1-$W$2)*(AG2245/1.2))</f>
        <v>2975</v>
      </c>
      <c r="M2245" s="267">
        <f t="shared" ref="M2245:M2254" si="309">IF($W$5=0.2,L2245*1.2,L2245)/$W$4</f>
        <v>3570</v>
      </c>
      <c r="N2245" s="270">
        <f t="shared" ref="N2245:N2254" si="310">IF(AH2245="","",(1-$W$2)*(AH2245/1.2))</f>
        <v>4158.3333333333339</v>
      </c>
      <c r="O2245" s="64">
        <f t="shared" ref="O2245:O2254" si="311">IF($W$5=0.2,N2245*1.2,N2245)/$W$4</f>
        <v>4990.0000000000009</v>
      </c>
      <c r="P2245" s="15">
        <f t="shared" ref="P2245:P2254" si="312">IF(AI2245="","",(1-$W$2)*(AI2245/1.2))</f>
        <v>3166.666666666667</v>
      </c>
      <c r="Q2245" s="267">
        <f t="shared" ref="Q2245:Q2254" si="313">IF($W$5=0.2,P2245*1.2,P2245)/$W$4</f>
        <v>3800</v>
      </c>
      <c r="R2245" s="270">
        <f t="shared" ref="R2245:R2254" si="314">IF(AJ2245="","",(1-$W$2)*(AJ2245/1.2))</f>
        <v>4433.3333333333339</v>
      </c>
      <c r="S2245" s="64">
        <f t="shared" ref="S2245:S2254" si="315">IF($W$5=0.2,R2245*1.2,R2245)/$W$4</f>
        <v>5320.0000000000009</v>
      </c>
      <c r="T2245" s="15">
        <f t="shared" ref="T2245:T2254" si="316">IF(AK2245="","",(1-$W$2)*(AK2245/1.2))</f>
        <v>3383.3333333333335</v>
      </c>
      <c r="U2245" s="267">
        <f t="shared" ref="U2245:U2254" si="317">IF($W$5=0.2,T2245*1.2,T2245)/$W$4</f>
        <v>4060</v>
      </c>
      <c r="V2245" s="270">
        <f t="shared" ref="V2245:V2254" si="318">IF(AL2245="","",(1-$W$2)*(AL2245/1.2))</f>
        <v>4983.3333333333339</v>
      </c>
      <c r="W2245" s="402">
        <f t="shared" ref="W2245:W2254" si="319">IF($W$5=0.2,V2245*1.2,V2245)/$W$4</f>
        <v>5980.0000000000009</v>
      </c>
      <c r="X2245" s="401"/>
      <c r="Y2245" s="401"/>
      <c r="Z2245" s="401"/>
      <c r="AA2245" s="401"/>
      <c r="AB2245" s="22"/>
      <c r="AC2245" s="332">
        <v>2980</v>
      </c>
      <c r="AD2245" s="332">
        <v>4170</v>
      </c>
      <c r="AE2245" s="332">
        <v>3440</v>
      </c>
      <c r="AF2245" s="332">
        <v>4820</v>
      </c>
      <c r="AG2245" s="332">
        <v>3570</v>
      </c>
      <c r="AH2245" s="332">
        <v>4990</v>
      </c>
      <c r="AI2245" s="332">
        <v>3800</v>
      </c>
      <c r="AJ2245" s="332">
        <v>5320</v>
      </c>
      <c r="AK2245" s="332">
        <v>4060</v>
      </c>
      <c r="AL2245" s="332">
        <v>5980</v>
      </c>
      <c r="AM2245" s="334">
        <v>2980</v>
      </c>
      <c r="AN2245" s="310">
        <f>AM2245/AC2245-1</f>
        <v>0</v>
      </c>
      <c r="AO2245" s="334">
        <f>AM2245/100*40</f>
        <v>1192</v>
      </c>
      <c r="AP2245" s="399">
        <f>AO2245/AD2245-1</f>
        <v>-0.71414868105515583</v>
      </c>
      <c r="AQ2245" s="334">
        <v>3440</v>
      </c>
      <c r="AR2245" s="399">
        <f>AQ2245/AE2245-1</f>
        <v>0</v>
      </c>
      <c r="AS2245" s="334">
        <v>4820</v>
      </c>
      <c r="AT2245" s="399">
        <f>AS2245/AF2245-1</f>
        <v>0</v>
      </c>
      <c r="AU2245" s="334">
        <v>3570</v>
      </c>
      <c r="AV2245" s="399">
        <f>AU2245/AG2245-1</f>
        <v>0</v>
      </c>
      <c r="AW2245" s="334">
        <v>4990</v>
      </c>
      <c r="AX2245" s="399"/>
      <c r="AY2245" s="334"/>
      <c r="AZ2245" s="399"/>
      <c r="BA2245" s="334"/>
      <c r="BB2245" s="399"/>
      <c r="BC2245" s="334"/>
      <c r="BD2245" s="399"/>
      <c r="BE2245" s="334"/>
      <c r="BF2245" s="399"/>
    </row>
    <row r="2246" spans="1:58">
      <c r="A2246" s="8"/>
      <c r="B2246" s="16" t="str">
        <f>IF($C$1="ENG","B (95 - 115 mm)","B (95 - 115 мм)")</f>
        <v>B (95 - 115 мм)</v>
      </c>
      <c r="C2246" s="432"/>
      <c r="D2246" s="18">
        <f t="shared" si="300"/>
        <v>2633.3333333333335</v>
      </c>
      <c r="E2246" s="268">
        <f t="shared" si="301"/>
        <v>3160</v>
      </c>
      <c r="F2246" s="271">
        <f t="shared" si="302"/>
        <v>3683.3333333333335</v>
      </c>
      <c r="G2246" s="66">
        <f t="shared" si="303"/>
        <v>4420</v>
      </c>
      <c r="H2246" s="18">
        <f t="shared" si="304"/>
        <v>3033.3333333333335</v>
      </c>
      <c r="I2246" s="268">
        <f t="shared" si="305"/>
        <v>3640</v>
      </c>
      <c r="J2246" s="271">
        <f t="shared" si="306"/>
        <v>4250</v>
      </c>
      <c r="K2246" s="66">
        <f t="shared" si="307"/>
        <v>5100</v>
      </c>
      <c r="L2246" s="18">
        <f t="shared" si="308"/>
        <v>3166.666666666667</v>
      </c>
      <c r="M2246" s="268">
        <f t="shared" si="309"/>
        <v>3800</v>
      </c>
      <c r="N2246" s="271">
        <f t="shared" si="310"/>
        <v>4425</v>
      </c>
      <c r="O2246" s="66">
        <f t="shared" si="311"/>
        <v>5310</v>
      </c>
      <c r="P2246" s="18">
        <f t="shared" si="312"/>
        <v>3350</v>
      </c>
      <c r="Q2246" s="268">
        <f t="shared" si="313"/>
        <v>4020</v>
      </c>
      <c r="R2246" s="271">
        <f t="shared" si="314"/>
        <v>4683.3333333333339</v>
      </c>
      <c r="S2246" s="66">
        <f t="shared" si="315"/>
        <v>5620.0000000000009</v>
      </c>
      <c r="T2246" s="18">
        <f t="shared" si="316"/>
        <v>3583.3333333333335</v>
      </c>
      <c r="U2246" s="268">
        <f t="shared" si="317"/>
        <v>4300</v>
      </c>
      <c r="V2246" s="271">
        <f t="shared" si="318"/>
        <v>5016.666666666667</v>
      </c>
      <c r="W2246" s="403">
        <f t="shared" si="319"/>
        <v>6020</v>
      </c>
      <c r="X2246" s="401"/>
      <c r="Y2246" s="59"/>
      <c r="Z2246" s="28"/>
      <c r="AA2246" s="59"/>
      <c r="AB2246" s="22"/>
      <c r="AC2246" s="332">
        <v>3160</v>
      </c>
      <c r="AD2246" s="332">
        <v>4420</v>
      </c>
      <c r="AE2246" s="332">
        <v>3640</v>
      </c>
      <c r="AF2246" s="332">
        <v>5100</v>
      </c>
      <c r="AG2246" s="332">
        <v>3800</v>
      </c>
      <c r="AH2246" s="332">
        <v>5310</v>
      </c>
      <c r="AI2246" s="332">
        <v>4020</v>
      </c>
      <c r="AJ2246" s="332">
        <v>5620</v>
      </c>
      <c r="AK2246" s="332">
        <v>4300</v>
      </c>
      <c r="AL2246" s="332">
        <v>6020</v>
      </c>
      <c r="AM2246" s="334">
        <v>3160</v>
      </c>
      <c r="AN2246" s="310">
        <f t="shared" ref="AN2246:AN2254" si="320">AM2246/AC2246-1</f>
        <v>0</v>
      </c>
      <c r="AO2246" s="334">
        <f t="shared" ref="AO2246:AO2254" si="321">AM2246/100*40</f>
        <v>1264</v>
      </c>
      <c r="AP2246" s="399">
        <f t="shared" ref="AP2246:AP2254" si="322">AO2246/AD2246-1</f>
        <v>-0.71402714932126699</v>
      </c>
      <c r="AQ2246" s="334">
        <v>3640</v>
      </c>
      <c r="AR2246" s="399">
        <f t="shared" ref="AR2246:AR2254" si="323">AQ2246/AE2246-1</f>
        <v>0</v>
      </c>
      <c r="AS2246" s="334">
        <v>5100</v>
      </c>
      <c r="AT2246" s="399">
        <f t="shared" ref="AT2246:AT2254" si="324">AS2246/AF2246-1</f>
        <v>0</v>
      </c>
      <c r="AU2246" s="334">
        <v>3800</v>
      </c>
      <c r="AV2246" s="399">
        <f t="shared" ref="AV2246:AV2254" si="325">AU2246/AG2246-1</f>
        <v>0</v>
      </c>
      <c r="AW2246" s="334">
        <v>5310</v>
      </c>
      <c r="AX2246" s="399"/>
      <c r="AY2246" s="334"/>
      <c r="AZ2246" s="399"/>
      <c r="BA2246" s="334"/>
      <c r="BB2246" s="399"/>
      <c r="BC2246" s="334"/>
      <c r="BD2246" s="399"/>
      <c r="BE2246" s="334"/>
      <c r="BF2246" s="399"/>
    </row>
    <row r="2247" spans="1:58">
      <c r="A2247" s="8"/>
      <c r="B2247" s="16" t="str">
        <f>IF($C$1="ENG","B+ (100 - 120 mm)","B+ (100 - 120 мм)")</f>
        <v>B+ (100 - 120 мм)</v>
      </c>
      <c r="C2247" s="432"/>
      <c r="D2247" s="18">
        <f t="shared" si="300"/>
        <v>2733.3333333333335</v>
      </c>
      <c r="E2247" s="268">
        <f t="shared" si="301"/>
        <v>3280</v>
      </c>
      <c r="F2247" s="271">
        <f t="shared" si="302"/>
        <v>3825</v>
      </c>
      <c r="G2247" s="66">
        <f t="shared" si="303"/>
        <v>4590</v>
      </c>
      <c r="H2247" s="18">
        <f t="shared" si="304"/>
        <v>3133.3333333333335</v>
      </c>
      <c r="I2247" s="268">
        <f t="shared" si="305"/>
        <v>3760</v>
      </c>
      <c r="J2247" s="271">
        <f t="shared" si="306"/>
        <v>4391.666666666667</v>
      </c>
      <c r="K2247" s="66">
        <f t="shared" si="307"/>
        <v>5270</v>
      </c>
      <c r="L2247" s="18">
        <f t="shared" si="308"/>
        <v>3258.3333333333335</v>
      </c>
      <c r="M2247" s="268">
        <f t="shared" si="309"/>
        <v>3910</v>
      </c>
      <c r="N2247" s="271">
        <f t="shared" si="310"/>
        <v>4558.3333333333339</v>
      </c>
      <c r="O2247" s="66">
        <f t="shared" si="311"/>
        <v>5470.0000000000009</v>
      </c>
      <c r="P2247" s="18">
        <f t="shared" si="312"/>
        <v>3450</v>
      </c>
      <c r="Q2247" s="268">
        <f t="shared" si="313"/>
        <v>4140</v>
      </c>
      <c r="R2247" s="271">
        <f t="shared" si="314"/>
        <v>4825</v>
      </c>
      <c r="S2247" s="66">
        <f t="shared" si="315"/>
        <v>5790</v>
      </c>
      <c r="T2247" s="18">
        <f t="shared" si="316"/>
        <v>3683.3333333333335</v>
      </c>
      <c r="U2247" s="268">
        <f t="shared" si="317"/>
        <v>4420</v>
      </c>
      <c r="V2247" s="271">
        <f t="shared" si="318"/>
        <v>5150</v>
      </c>
      <c r="W2247" s="403">
        <f t="shared" si="319"/>
        <v>6180</v>
      </c>
      <c r="X2247" s="401"/>
      <c r="Y2247" s="59"/>
      <c r="Z2247" s="28"/>
      <c r="AA2247" s="59"/>
      <c r="AB2247" s="22"/>
      <c r="AC2247" s="332">
        <v>3280</v>
      </c>
      <c r="AD2247" s="332">
        <v>4590</v>
      </c>
      <c r="AE2247" s="332">
        <v>3760</v>
      </c>
      <c r="AF2247" s="332">
        <v>5270</v>
      </c>
      <c r="AG2247" s="332">
        <v>3910</v>
      </c>
      <c r="AH2247" s="332">
        <v>5470</v>
      </c>
      <c r="AI2247" s="332">
        <v>4140</v>
      </c>
      <c r="AJ2247" s="332">
        <v>5790</v>
      </c>
      <c r="AK2247" s="332">
        <v>4420</v>
      </c>
      <c r="AL2247" s="332">
        <v>6180</v>
      </c>
      <c r="AM2247" s="334">
        <v>3280</v>
      </c>
      <c r="AN2247" s="310">
        <f t="shared" si="320"/>
        <v>0</v>
      </c>
      <c r="AO2247" s="334">
        <f t="shared" si="321"/>
        <v>1312</v>
      </c>
      <c r="AP2247" s="399">
        <f t="shared" si="322"/>
        <v>-0.71416122004357296</v>
      </c>
      <c r="AQ2247" s="334">
        <v>3760</v>
      </c>
      <c r="AR2247" s="399">
        <f t="shared" si="323"/>
        <v>0</v>
      </c>
      <c r="AS2247" s="334">
        <v>5270</v>
      </c>
      <c r="AT2247" s="399">
        <f t="shared" si="324"/>
        <v>0</v>
      </c>
      <c r="AU2247" s="334">
        <v>3910</v>
      </c>
      <c r="AV2247" s="399">
        <f t="shared" si="325"/>
        <v>0</v>
      </c>
      <c r="AW2247" s="334">
        <v>5470</v>
      </c>
      <c r="AX2247" s="399"/>
      <c r="AY2247" s="334"/>
      <c r="AZ2247" s="399"/>
      <c r="BA2247" s="334"/>
      <c r="BB2247" s="399"/>
      <c r="BC2247" s="334"/>
      <c r="BD2247" s="399"/>
      <c r="BE2247" s="334"/>
      <c r="BF2247" s="399"/>
    </row>
    <row r="2248" spans="1:58">
      <c r="A2248" s="8"/>
      <c r="B2248" s="16" t="str">
        <f>IF($C$1="ENG","C (120 - 140 mm)","C (120 - 140 мм)")</f>
        <v>C (120 - 140 мм)</v>
      </c>
      <c r="C2248" s="432"/>
      <c r="D2248" s="18">
        <f t="shared" si="300"/>
        <v>2808.3333333333335</v>
      </c>
      <c r="E2248" s="268">
        <f t="shared" si="301"/>
        <v>3370</v>
      </c>
      <c r="F2248" s="271">
        <f t="shared" si="302"/>
        <v>3933.3333333333335</v>
      </c>
      <c r="G2248" s="66">
        <f t="shared" si="303"/>
        <v>4720</v>
      </c>
      <c r="H2248" s="18">
        <f t="shared" si="304"/>
        <v>3233.3333333333335</v>
      </c>
      <c r="I2248" s="268">
        <f t="shared" si="305"/>
        <v>3880</v>
      </c>
      <c r="J2248" s="271">
        <f t="shared" si="306"/>
        <v>4525</v>
      </c>
      <c r="K2248" s="66">
        <f t="shared" si="307"/>
        <v>5430</v>
      </c>
      <c r="L2248" s="18">
        <f t="shared" si="308"/>
        <v>3333.3333333333335</v>
      </c>
      <c r="M2248" s="268">
        <f t="shared" si="309"/>
        <v>4000</v>
      </c>
      <c r="N2248" s="271">
        <f t="shared" si="310"/>
        <v>4675</v>
      </c>
      <c r="O2248" s="66">
        <f t="shared" si="311"/>
        <v>5610</v>
      </c>
      <c r="P2248" s="18">
        <f t="shared" si="312"/>
        <v>3541.666666666667</v>
      </c>
      <c r="Q2248" s="268">
        <f t="shared" si="313"/>
        <v>4250</v>
      </c>
      <c r="R2248" s="271">
        <f t="shared" si="314"/>
        <v>4958.3333333333339</v>
      </c>
      <c r="S2248" s="66">
        <f t="shared" si="315"/>
        <v>5950.0000000000009</v>
      </c>
      <c r="T2248" s="18">
        <f t="shared" si="316"/>
        <v>3791.666666666667</v>
      </c>
      <c r="U2248" s="268">
        <f t="shared" si="317"/>
        <v>4550</v>
      </c>
      <c r="V2248" s="271">
        <f t="shared" si="318"/>
        <v>5300</v>
      </c>
      <c r="W2248" s="403">
        <f t="shared" si="319"/>
        <v>6360</v>
      </c>
      <c r="X2248" s="401"/>
      <c r="Y2248" s="59"/>
      <c r="Z2248" s="28"/>
      <c r="AA2248" s="59"/>
      <c r="AB2248" s="22"/>
      <c r="AC2248" s="332">
        <v>3370</v>
      </c>
      <c r="AD2248" s="332">
        <v>4720</v>
      </c>
      <c r="AE2248" s="332">
        <v>3880</v>
      </c>
      <c r="AF2248" s="332">
        <v>5430</v>
      </c>
      <c r="AG2248" s="332">
        <v>4000</v>
      </c>
      <c r="AH2248" s="332">
        <v>5610</v>
      </c>
      <c r="AI2248" s="332">
        <v>4250</v>
      </c>
      <c r="AJ2248" s="332">
        <v>5950</v>
      </c>
      <c r="AK2248" s="332">
        <v>4550</v>
      </c>
      <c r="AL2248" s="332">
        <v>6360</v>
      </c>
      <c r="AM2248" s="334">
        <v>3370</v>
      </c>
      <c r="AN2248" s="310">
        <f t="shared" si="320"/>
        <v>0</v>
      </c>
      <c r="AO2248" s="334">
        <f t="shared" si="321"/>
        <v>1348</v>
      </c>
      <c r="AP2248" s="399">
        <f t="shared" si="322"/>
        <v>-0.71440677966101696</v>
      </c>
      <c r="AQ2248" s="334">
        <v>3880</v>
      </c>
      <c r="AR2248" s="399">
        <f t="shared" si="323"/>
        <v>0</v>
      </c>
      <c r="AS2248" s="334">
        <v>5430</v>
      </c>
      <c r="AT2248" s="399">
        <f t="shared" si="324"/>
        <v>0</v>
      </c>
      <c r="AU2248" s="334">
        <v>4000</v>
      </c>
      <c r="AV2248" s="399">
        <f t="shared" si="325"/>
        <v>0</v>
      </c>
      <c r="AW2248" s="334">
        <v>5610</v>
      </c>
      <c r="AX2248" s="399"/>
      <c r="AY2248" s="334"/>
      <c r="AZ2248" s="399"/>
      <c r="BA2248" s="334"/>
      <c r="BB2248" s="399"/>
      <c r="BC2248" s="334"/>
      <c r="BD2248" s="399"/>
      <c r="BE2248" s="334"/>
      <c r="BF2248" s="399"/>
    </row>
    <row r="2249" spans="1:58">
      <c r="A2249" s="8"/>
      <c r="B2249" s="16" t="str">
        <f>IF($C$1="ENG","D (140 - 160 mm)","D (140 - 160 мм)")</f>
        <v>D (140 - 160 мм)</v>
      </c>
      <c r="C2249" s="432"/>
      <c r="D2249" s="18">
        <f t="shared" si="300"/>
        <v>2958.3333333333335</v>
      </c>
      <c r="E2249" s="268">
        <f t="shared" si="301"/>
        <v>3550</v>
      </c>
      <c r="F2249" s="271">
        <f t="shared" si="302"/>
        <v>4141.666666666667</v>
      </c>
      <c r="G2249" s="66">
        <f t="shared" si="303"/>
        <v>4970</v>
      </c>
      <c r="H2249" s="18">
        <f t="shared" si="304"/>
        <v>3400</v>
      </c>
      <c r="I2249" s="268">
        <f t="shared" si="305"/>
        <v>4080</v>
      </c>
      <c r="J2249" s="271">
        <f t="shared" si="306"/>
        <v>4758.3333333333339</v>
      </c>
      <c r="K2249" s="66">
        <f t="shared" si="307"/>
        <v>5710.0000000000009</v>
      </c>
      <c r="L2249" s="18">
        <f t="shared" si="308"/>
        <v>3525</v>
      </c>
      <c r="M2249" s="268">
        <f t="shared" si="309"/>
        <v>4230</v>
      </c>
      <c r="N2249" s="271">
        <f t="shared" si="310"/>
        <v>4933.3333333333339</v>
      </c>
      <c r="O2249" s="66">
        <f t="shared" si="311"/>
        <v>5920.0000000000009</v>
      </c>
      <c r="P2249" s="18">
        <f t="shared" si="312"/>
        <v>3741.666666666667</v>
      </c>
      <c r="Q2249" s="268">
        <f t="shared" si="313"/>
        <v>4490</v>
      </c>
      <c r="R2249" s="271">
        <f t="shared" si="314"/>
        <v>5241.666666666667</v>
      </c>
      <c r="S2249" s="66">
        <f t="shared" si="315"/>
        <v>6290</v>
      </c>
      <c r="T2249" s="18">
        <f t="shared" si="316"/>
        <v>3983.3333333333335</v>
      </c>
      <c r="U2249" s="268">
        <f t="shared" si="317"/>
        <v>4780</v>
      </c>
      <c r="V2249" s="271">
        <f t="shared" si="318"/>
        <v>5575</v>
      </c>
      <c r="W2249" s="403">
        <f t="shared" si="319"/>
        <v>6690</v>
      </c>
      <c r="X2249" s="401"/>
      <c r="Y2249" s="59"/>
      <c r="Z2249" s="28"/>
      <c r="AA2249" s="59"/>
      <c r="AB2249" s="22"/>
      <c r="AC2249" s="332">
        <v>3550</v>
      </c>
      <c r="AD2249" s="332">
        <v>4970</v>
      </c>
      <c r="AE2249" s="332">
        <v>4080</v>
      </c>
      <c r="AF2249" s="332">
        <v>5710</v>
      </c>
      <c r="AG2249" s="332">
        <v>4230</v>
      </c>
      <c r="AH2249" s="332">
        <v>5920</v>
      </c>
      <c r="AI2249" s="332">
        <v>4490</v>
      </c>
      <c r="AJ2249" s="332">
        <v>6290</v>
      </c>
      <c r="AK2249" s="332">
        <v>4780</v>
      </c>
      <c r="AL2249" s="332">
        <v>6690</v>
      </c>
      <c r="AM2249" s="334">
        <v>3550</v>
      </c>
      <c r="AN2249" s="310">
        <f t="shared" si="320"/>
        <v>0</v>
      </c>
      <c r="AO2249" s="334">
        <f t="shared" si="321"/>
        <v>1420</v>
      </c>
      <c r="AP2249" s="399">
        <f t="shared" si="322"/>
        <v>-0.7142857142857143</v>
      </c>
      <c r="AQ2249" s="334">
        <v>4080</v>
      </c>
      <c r="AR2249" s="399">
        <f t="shared" si="323"/>
        <v>0</v>
      </c>
      <c r="AS2249" s="334">
        <v>5710</v>
      </c>
      <c r="AT2249" s="399">
        <f t="shared" si="324"/>
        <v>0</v>
      </c>
      <c r="AU2249" s="334">
        <v>4230</v>
      </c>
      <c r="AV2249" s="399">
        <f t="shared" si="325"/>
        <v>0</v>
      </c>
      <c r="AW2249" s="334">
        <v>5920</v>
      </c>
      <c r="AX2249" s="399"/>
      <c r="AY2249" s="334"/>
      <c r="AZ2249" s="399"/>
      <c r="BA2249" s="334"/>
      <c r="BB2249" s="399"/>
      <c r="BC2249" s="334"/>
      <c r="BD2249" s="399"/>
      <c r="BE2249" s="334"/>
      <c r="BF2249" s="399"/>
    </row>
    <row r="2250" spans="1:58">
      <c r="A2250" s="8"/>
      <c r="B2250" s="16" t="str">
        <f>IF($C$1="ENG","E (160 - 180 mm)","E (160 - 180 мм)")</f>
        <v>E (160 - 180 мм)</v>
      </c>
      <c r="C2250" s="432"/>
      <c r="D2250" s="18">
        <f t="shared" si="300"/>
        <v>3108.3333333333335</v>
      </c>
      <c r="E2250" s="268">
        <f t="shared" si="301"/>
        <v>3730</v>
      </c>
      <c r="F2250" s="271">
        <f t="shared" si="302"/>
        <v>4350</v>
      </c>
      <c r="G2250" s="66">
        <f t="shared" si="303"/>
        <v>5220</v>
      </c>
      <c r="H2250" s="18">
        <f t="shared" si="304"/>
        <v>3583.3333333333335</v>
      </c>
      <c r="I2250" s="268">
        <f t="shared" si="305"/>
        <v>4300</v>
      </c>
      <c r="J2250" s="271">
        <f t="shared" si="306"/>
        <v>5016.666666666667</v>
      </c>
      <c r="K2250" s="66">
        <f t="shared" si="307"/>
        <v>6020</v>
      </c>
      <c r="L2250" s="18">
        <f t="shared" si="308"/>
        <v>3691.666666666667</v>
      </c>
      <c r="M2250" s="268">
        <f t="shared" si="309"/>
        <v>4430</v>
      </c>
      <c r="N2250" s="271">
        <f t="shared" si="310"/>
        <v>5175</v>
      </c>
      <c r="O2250" s="66">
        <f t="shared" si="311"/>
        <v>6210</v>
      </c>
      <c r="P2250" s="18">
        <f t="shared" si="312"/>
        <v>3933.3333333333335</v>
      </c>
      <c r="Q2250" s="268">
        <f t="shared" si="313"/>
        <v>4720</v>
      </c>
      <c r="R2250" s="271">
        <f t="shared" si="314"/>
        <v>5508.3333333333339</v>
      </c>
      <c r="S2250" s="66">
        <f t="shared" si="315"/>
        <v>6610.0000000000009</v>
      </c>
      <c r="T2250" s="18">
        <f t="shared" si="316"/>
        <v>4191.666666666667</v>
      </c>
      <c r="U2250" s="268">
        <f t="shared" si="317"/>
        <v>5030</v>
      </c>
      <c r="V2250" s="271">
        <f t="shared" si="318"/>
        <v>5866.666666666667</v>
      </c>
      <c r="W2250" s="403">
        <f t="shared" si="319"/>
        <v>7040</v>
      </c>
      <c r="X2250" s="401"/>
      <c r="Y2250" s="59"/>
      <c r="Z2250" s="28"/>
      <c r="AA2250" s="59"/>
      <c r="AB2250" s="22"/>
      <c r="AC2250" s="332">
        <v>3730</v>
      </c>
      <c r="AD2250" s="332">
        <v>5220</v>
      </c>
      <c r="AE2250" s="332">
        <v>4300</v>
      </c>
      <c r="AF2250" s="332">
        <v>6020</v>
      </c>
      <c r="AG2250" s="332">
        <v>4430</v>
      </c>
      <c r="AH2250" s="332">
        <v>6210</v>
      </c>
      <c r="AI2250" s="332">
        <v>4720</v>
      </c>
      <c r="AJ2250" s="332">
        <v>6610</v>
      </c>
      <c r="AK2250" s="332">
        <v>5030</v>
      </c>
      <c r="AL2250" s="332">
        <v>7040</v>
      </c>
      <c r="AM2250" s="334">
        <v>3730</v>
      </c>
      <c r="AN2250" s="310">
        <f t="shared" si="320"/>
        <v>0</v>
      </c>
      <c r="AO2250" s="334">
        <f t="shared" si="321"/>
        <v>1492</v>
      </c>
      <c r="AP2250" s="399">
        <f t="shared" si="322"/>
        <v>-0.71417624521072798</v>
      </c>
      <c r="AQ2250" s="334">
        <v>4300</v>
      </c>
      <c r="AR2250" s="399">
        <f t="shared" si="323"/>
        <v>0</v>
      </c>
      <c r="AS2250" s="334">
        <v>6020</v>
      </c>
      <c r="AT2250" s="399">
        <f t="shared" si="324"/>
        <v>0</v>
      </c>
      <c r="AU2250" s="334">
        <v>4430</v>
      </c>
      <c r="AV2250" s="399">
        <f t="shared" si="325"/>
        <v>0</v>
      </c>
      <c r="AW2250" s="334">
        <v>6210</v>
      </c>
      <c r="AX2250" s="399"/>
      <c r="AY2250" s="334"/>
      <c r="AZ2250" s="399"/>
      <c r="BA2250" s="334"/>
      <c r="BB2250" s="399"/>
      <c r="BC2250" s="334"/>
      <c r="BD2250" s="399"/>
      <c r="BE2250" s="334"/>
      <c r="BF2250" s="399"/>
    </row>
    <row r="2251" spans="1:58">
      <c r="A2251" s="8"/>
      <c r="B2251" s="16" t="str">
        <f>IF($C$1="ENG","F (180 - 200 mm)","F (180 - 200 мм)")</f>
        <v>F (180 - 200 мм)</v>
      </c>
      <c r="C2251" s="432"/>
      <c r="D2251" s="18">
        <f t="shared" si="300"/>
        <v>3266.666666666667</v>
      </c>
      <c r="E2251" s="268">
        <f t="shared" si="301"/>
        <v>3920</v>
      </c>
      <c r="F2251" s="271">
        <f t="shared" si="302"/>
        <v>4575</v>
      </c>
      <c r="G2251" s="66">
        <f t="shared" si="303"/>
        <v>5490</v>
      </c>
      <c r="H2251" s="18">
        <f t="shared" si="304"/>
        <v>3758.3333333333335</v>
      </c>
      <c r="I2251" s="268">
        <f t="shared" si="305"/>
        <v>4510</v>
      </c>
      <c r="J2251" s="271">
        <f t="shared" si="306"/>
        <v>5250</v>
      </c>
      <c r="K2251" s="66">
        <f t="shared" si="307"/>
        <v>6300</v>
      </c>
      <c r="L2251" s="18">
        <f t="shared" si="308"/>
        <v>3883.3333333333335</v>
      </c>
      <c r="M2251" s="268">
        <f t="shared" si="309"/>
        <v>4660</v>
      </c>
      <c r="N2251" s="271">
        <f t="shared" si="310"/>
        <v>5433.3333333333339</v>
      </c>
      <c r="O2251" s="66">
        <f t="shared" si="311"/>
        <v>6520.0000000000009</v>
      </c>
      <c r="P2251" s="18">
        <f t="shared" si="312"/>
        <v>4116.666666666667</v>
      </c>
      <c r="Q2251" s="268">
        <f t="shared" si="313"/>
        <v>4940</v>
      </c>
      <c r="R2251" s="271">
        <f t="shared" si="314"/>
        <v>5766.666666666667</v>
      </c>
      <c r="S2251" s="66">
        <f t="shared" si="315"/>
        <v>6920</v>
      </c>
      <c r="T2251" s="18">
        <f t="shared" si="316"/>
        <v>4400</v>
      </c>
      <c r="U2251" s="268">
        <f t="shared" si="317"/>
        <v>5280</v>
      </c>
      <c r="V2251" s="271">
        <f t="shared" si="318"/>
        <v>6158.3333333333339</v>
      </c>
      <c r="W2251" s="403">
        <f t="shared" si="319"/>
        <v>7390</v>
      </c>
      <c r="X2251" s="401"/>
      <c r="Y2251" s="59"/>
      <c r="Z2251" s="28"/>
      <c r="AA2251" s="59"/>
      <c r="AB2251" s="22"/>
      <c r="AC2251" s="332">
        <v>3920</v>
      </c>
      <c r="AD2251" s="332">
        <v>5490</v>
      </c>
      <c r="AE2251" s="332">
        <v>4510</v>
      </c>
      <c r="AF2251" s="332">
        <v>6300</v>
      </c>
      <c r="AG2251" s="332">
        <v>4660</v>
      </c>
      <c r="AH2251" s="332">
        <v>6520</v>
      </c>
      <c r="AI2251" s="332">
        <v>4940</v>
      </c>
      <c r="AJ2251" s="332">
        <v>6920</v>
      </c>
      <c r="AK2251" s="332">
        <v>5280</v>
      </c>
      <c r="AL2251" s="332">
        <v>7390</v>
      </c>
      <c r="AM2251" s="334">
        <v>3920</v>
      </c>
      <c r="AN2251" s="310">
        <f t="shared" si="320"/>
        <v>0</v>
      </c>
      <c r="AO2251" s="334">
        <f t="shared" si="321"/>
        <v>1568</v>
      </c>
      <c r="AP2251" s="399">
        <f t="shared" si="322"/>
        <v>-0.71438979963570126</v>
      </c>
      <c r="AQ2251" s="334">
        <v>4510</v>
      </c>
      <c r="AR2251" s="399">
        <f t="shared" si="323"/>
        <v>0</v>
      </c>
      <c r="AS2251" s="334">
        <v>6300</v>
      </c>
      <c r="AT2251" s="399">
        <f t="shared" si="324"/>
        <v>0</v>
      </c>
      <c r="AU2251" s="334">
        <v>4660</v>
      </c>
      <c r="AV2251" s="399">
        <f t="shared" si="325"/>
        <v>0</v>
      </c>
      <c r="AW2251" s="334">
        <v>6520</v>
      </c>
      <c r="AX2251" s="399"/>
      <c r="AY2251" s="334"/>
      <c r="AZ2251" s="399"/>
      <c r="BA2251" s="334"/>
      <c r="BB2251" s="399"/>
      <c r="BC2251" s="334"/>
      <c r="BD2251" s="399"/>
      <c r="BE2251" s="334"/>
      <c r="BF2251" s="399"/>
    </row>
    <row r="2252" spans="1:58">
      <c r="A2252" s="8"/>
      <c r="B2252" s="16" t="str">
        <f>IF($C$1="ENG","G (200 - 220 mm)","G (200 - 220 мм)")</f>
        <v>G (200 - 220 мм)</v>
      </c>
      <c r="C2252" s="432"/>
      <c r="D2252" s="18">
        <f t="shared" si="300"/>
        <v>3416.666666666667</v>
      </c>
      <c r="E2252" s="268">
        <f t="shared" si="301"/>
        <v>4100</v>
      </c>
      <c r="F2252" s="271">
        <f t="shared" si="302"/>
        <v>4783.3333333333339</v>
      </c>
      <c r="G2252" s="66">
        <f t="shared" si="303"/>
        <v>5740.0000000000009</v>
      </c>
      <c r="H2252" s="18">
        <f t="shared" si="304"/>
        <v>3941.666666666667</v>
      </c>
      <c r="I2252" s="268">
        <f t="shared" si="305"/>
        <v>4730</v>
      </c>
      <c r="J2252" s="271">
        <f t="shared" si="306"/>
        <v>5508.3333333333339</v>
      </c>
      <c r="K2252" s="66">
        <f t="shared" si="307"/>
        <v>6610.0000000000009</v>
      </c>
      <c r="L2252" s="18">
        <f t="shared" si="308"/>
        <v>4075</v>
      </c>
      <c r="M2252" s="268">
        <f t="shared" si="309"/>
        <v>4890</v>
      </c>
      <c r="N2252" s="271">
        <f t="shared" si="310"/>
        <v>5700</v>
      </c>
      <c r="O2252" s="66">
        <f t="shared" si="311"/>
        <v>6840</v>
      </c>
      <c r="P2252" s="18">
        <f t="shared" si="312"/>
        <v>4316.666666666667</v>
      </c>
      <c r="Q2252" s="268">
        <f t="shared" si="313"/>
        <v>5180</v>
      </c>
      <c r="R2252" s="271">
        <f t="shared" si="314"/>
        <v>6041.666666666667</v>
      </c>
      <c r="S2252" s="66">
        <f t="shared" si="315"/>
        <v>7250</v>
      </c>
      <c r="T2252" s="18">
        <f t="shared" si="316"/>
        <v>4600</v>
      </c>
      <c r="U2252" s="268">
        <f t="shared" si="317"/>
        <v>5520</v>
      </c>
      <c r="V2252" s="271">
        <f t="shared" si="318"/>
        <v>6433.3333333333339</v>
      </c>
      <c r="W2252" s="403">
        <f t="shared" si="319"/>
        <v>7720</v>
      </c>
      <c r="X2252" s="401"/>
      <c r="Y2252" s="59"/>
      <c r="Z2252" s="28"/>
      <c r="AA2252" s="59"/>
      <c r="AB2252" s="22"/>
      <c r="AC2252" s="332">
        <v>4100</v>
      </c>
      <c r="AD2252" s="332">
        <v>5740</v>
      </c>
      <c r="AE2252" s="332">
        <v>4730</v>
      </c>
      <c r="AF2252" s="332">
        <v>6610</v>
      </c>
      <c r="AG2252" s="332">
        <v>4890</v>
      </c>
      <c r="AH2252" s="332">
        <v>6840</v>
      </c>
      <c r="AI2252" s="332">
        <v>5180</v>
      </c>
      <c r="AJ2252" s="332">
        <v>7250</v>
      </c>
      <c r="AK2252" s="332">
        <v>5520</v>
      </c>
      <c r="AL2252" s="332">
        <v>7720</v>
      </c>
      <c r="AM2252" s="334">
        <v>4100</v>
      </c>
      <c r="AN2252" s="310">
        <f t="shared" si="320"/>
        <v>0</v>
      </c>
      <c r="AO2252" s="334">
        <f t="shared" si="321"/>
        <v>1640</v>
      </c>
      <c r="AP2252" s="399">
        <f t="shared" si="322"/>
        <v>-0.7142857142857143</v>
      </c>
      <c r="AQ2252" s="334">
        <v>4730</v>
      </c>
      <c r="AR2252" s="399">
        <f t="shared" si="323"/>
        <v>0</v>
      </c>
      <c r="AS2252" s="334">
        <v>6610</v>
      </c>
      <c r="AT2252" s="399">
        <f t="shared" si="324"/>
        <v>0</v>
      </c>
      <c r="AU2252" s="334">
        <v>4890</v>
      </c>
      <c r="AV2252" s="399">
        <f t="shared" si="325"/>
        <v>0</v>
      </c>
      <c r="AW2252" s="334">
        <v>6840</v>
      </c>
      <c r="AX2252" s="399"/>
      <c r="AY2252" s="334"/>
      <c r="AZ2252" s="399"/>
      <c r="BA2252" s="334"/>
      <c r="BB2252" s="399"/>
      <c r="BC2252" s="334"/>
      <c r="BD2252" s="399"/>
      <c r="BE2252" s="334"/>
      <c r="BF2252" s="399"/>
    </row>
    <row r="2253" spans="1:58">
      <c r="A2253" s="8"/>
      <c r="B2253" s="16" t="str">
        <f>IF($C$1="ENG","H (220 - 240 mm)","H (220 - 240 мм)")</f>
        <v>H (220 - 240 мм)</v>
      </c>
      <c r="C2253" s="432"/>
      <c r="D2253" s="18">
        <f t="shared" si="300"/>
        <v>3575</v>
      </c>
      <c r="E2253" s="268">
        <f t="shared" si="301"/>
        <v>4290</v>
      </c>
      <c r="F2253" s="271">
        <f t="shared" si="302"/>
        <v>5000</v>
      </c>
      <c r="G2253" s="66">
        <f t="shared" si="303"/>
        <v>6000</v>
      </c>
      <c r="H2253" s="18">
        <f t="shared" si="304"/>
        <v>4116.666666666667</v>
      </c>
      <c r="I2253" s="268">
        <f t="shared" si="305"/>
        <v>4940</v>
      </c>
      <c r="J2253" s="271">
        <f t="shared" si="306"/>
        <v>5766.666666666667</v>
      </c>
      <c r="K2253" s="66">
        <f t="shared" si="307"/>
        <v>6920</v>
      </c>
      <c r="L2253" s="18">
        <f t="shared" si="308"/>
        <v>4241.666666666667</v>
      </c>
      <c r="M2253" s="268">
        <f t="shared" si="309"/>
        <v>5090</v>
      </c>
      <c r="N2253" s="271">
        <f t="shared" si="310"/>
        <v>5933.3333333333339</v>
      </c>
      <c r="O2253" s="66">
        <f t="shared" si="311"/>
        <v>7120.0000000000009</v>
      </c>
      <c r="P2253" s="18">
        <f t="shared" si="312"/>
        <v>4516.666666666667</v>
      </c>
      <c r="Q2253" s="268">
        <f t="shared" si="313"/>
        <v>5420</v>
      </c>
      <c r="R2253" s="271">
        <f t="shared" si="314"/>
        <v>6308.3333333333339</v>
      </c>
      <c r="S2253" s="66">
        <f t="shared" si="315"/>
        <v>7570</v>
      </c>
      <c r="T2253" s="18">
        <f t="shared" si="316"/>
        <v>4808.3333333333339</v>
      </c>
      <c r="U2253" s="268">
        <f t="shared" si="317"/>
        <v>5770.0000000000009</v>
      </c>
      <c r="V2253" s="271">
        <f t="shared" si="318"/>
        <v>6725</v>
      </c>
      <c r="W2253" s="403">
        <f t="shared" si="319"/>
        <v>8070</v>
      </c>
      <c r="X2253" s="401"/>
      <c r="Y2253" s="59"/>
      <c r="Z2253" s="28"/>
      <c r="AA2253" s="59"/>
      <c r="AB2253" s="22"/>
      <c r="AC2253" s="332">
        <v>4290</v>
      </c>
      <c r="AD2253" s="332">
        <v>6000</v>
      </c>
      <c r="AE2253" s="332">
        <v>4940</v>
      </c>
      <c r="AF2253" s="332">
        <v>6920</v>
      </c>
      <c r="AG2253" s="332">
        <v>5090</v>
      </c>
      <c r="AH2253" s="332">
        <v>7120</v>
      </c>
      <c r="AI2253" s="332">
        <v>5420</v>
      </c>
      <c r="AJ2253" s="332">
        <v>7570</v>
      </c>
      <c r="AK2253" s="332">
        <v>5770</v>
      </c>
      <c r="AL2253" s="332">
        <v>8070</v>
      </c>
      <c r="AM2253" s="334">
        <v>4290</v>
      </c>
      <c r="AN2253" s="310">
        <f t="shared" si="320"/>
        <v>0</v>
      </c>
      <c r="AO2253" s="334">
        <f t="shared" si="321"/>
        <v>1716</v>
      </c>
      <c r="AP2253" s="399">
        <f t="shared" si="322"/>
        <v>-0.71399999999999997</v>
      </c>
      <c r="AQ2253" s="334">
        <v>4940</v>
      </c>
      <c r="AR2253" s="399">
        <f t="shared" si="323"/>
        <v>0</v>
      </c>
      <c r="AS2253" s="334">
        <v>6920</v>
      </c>
      <c r="AT2253" s="399">
        <f t="shared" si="324"/>
        <v>0</v>
      </c>
      <c r="AU2253" s="334">
        <v>5090</v>
      </c>
      <c r="AV2253" s="399">
        <f t="shared" si="325"/>
        <v>0</v>
      </c>
      <c r="AW2253" s="334">
        <v>7120</v>
      </c>
      <c r="AX2253" s="399"/>
      <c r="AY2253" s="334"/>
      <c r="AZ2253" s="399"/>
      <c r="BA2253" s="334"/>
      <c r="BB2253" s="399"/>
      <c r="BC2253" s="334"/>
      <c r="BD2253" s="399"/>
      <c r="BE2253" s="334"/>
      <c r="BF2253" s="399"/>
    </row>
    <row r="2254" spans="1:58">
      <c r="A2254" s="8"/>
      <c r="B2254" s="23" t="str">
        <f>IF($C$1="ENG","I (240 - 260 mm)","I (240 - 260 мм)")</f>
        <v>I (240 - 260 мм)</v>
      </c>
      <c r="C2254" s="433"/>
      <c r="D2254" s="25">
        <f t="shared" si="300"/>
        <v>3741.666666666667</v>
      </c>
      <c r="E2254" s="269">
        <f t="shared" si="301"/>
        <v>4490</v>
      </c>
      <c r="F2254" s="272">
        <f t="shared" si="302"/>
        <v>5241.666666666667</v>
      </c>
      <c r="G2254" s="69">
        <f t="shared" si="303"/>
        <v>6290</v>
      </c>
      <c r="H2254" s="25">
        <f t="shared" si="304"/>
        <v>4308.3333333333339</v>
      </c>
      <c r="I2254" s="269">
        <f t="shared" si="305"/>
        <v>5170.0000000000009</v>
      </c>
      <c r="J2254" s="272">
        <f t="shared" si="306"/>
        <v>6033.3333333333339</v>
      </c>
      <c r="K2254" s="69">
        <f t="shared" si="307"/>
        <v>7240.0000000000009</v>
      </c>
      <c r="L2254" s="25">
        <f t="shared" si="308"/>
        <v>4416.666666666667</v>
      </c>
      <c r="M2254" s="269">
        <f t="shared" si="309"/>
        <v>5300</v>
      </c>
      <c r="N2254" s="272">
        <f t="shared" si="310"/>
        <v>6191.666666666667</v>
      </c>
      <c r="O2254" s="69">
        <f t="shared" si="311"/>
        <v>7430</v>
      </c>
      <c r="P2254" s="25">
        <f t="shared" si="312"/>
        <v>4700</v>
      </c>
      <c r="Q2254" s="269">
        <f t="shared" si="313"/>
        <v>5640</v>
      </c>
      <c r="R2254" s="272">
        <f t="shared" si="314"/>
        <v>6583.3333333333339</v>
      </c>
      <c r="S2254" s="69">
        <f t="shared" si="315"/>
        <v>7900</v>
      </c>
      <c r="T2254" s="25">
        <f t="shared" si="316"/>
        <v>5016.666666666667</v>
      </c>
      <c r="U2254" s="269">
        <f t="shared" si="317"/>
        <v>6020</v>
      </c>
      <c r="V2254" s="272">
        <f t="shared" si="318"/>
        <v>7016.666666666667</v>
      </c>
      <c r="W2254" s="404">
        <f t="shared" si="319"/>
        <v>8420</v>
      </c>
      <c r="X2254" s="401"/>
      <c r="Y2254" s="59"/>
      <c r="Z2254" s="28"/>
      <c r="AA2254" s="59"/>
      <c r="AB2254" s="22"/>
      <c r="AC2254" s="332">
        <v>4490</v>
      </c>
      <c r="AD2254" s="332">
        <v>6290</v>
      </c>
      <c r="AE2254" s="332">
        <v>5170</v>
      </c>
      <c r="AF2254" s="332">
        <v>7240</v>
      </c>
      <c r="AG2254" s="332">
        <v>5300</v>
      </c>
      <c r="AH2254" s="332">
        <v>7430</v>
      </c>
      <c r="AI2254" s="332">
        <v>5640</v>
      </c>
      <c r="AJ2254" s="332">
        <v>7900</v>
      </c>
      <c r="AK2254" s="332">
        <v>6020</v>
      </c>
      <c r="AL2254" s="332">
        <v>8420</v>
      </c>
      <c r="AM2254" s="334">
        <v>4490</v>
      </c>
      <c r="AN2254" s="310">
        <f t="shared" si="320"/>
        <v>0</v>
      </c>
      <c r="AO2254" s="334">
        <f t="shared" si="321"/>
        <v>1796</v>
      </c>
      <c r="AP2254" s="399">
        <f t="shared" si="322"/>
        <v>-0.71446740858505564</v>
      </c>
      <c r="AQ2254" s="334">
        <v>5170</v>
      </c>
      <c r="AR2254" s="399">
        <f t="shared" si="323"/>
        <v>0</v>
      </c>
      <c r="AS2254" s="334">
        <v>7240</v>
      </c>
      <c r="AT2254" s="399">
        <f t="shared" si="324"/>
        <v>0</v>
      </c>
      <c r="AU2254" s="334">
        <v>5300</v>
      </c>
      <c r="AV2254" s="399">
        <f t="shared" si="325"/>
        <v>0</v>
      </c>
      <c r="AW2254" s="334">
        <v>7430</v>
      </c>
      <c r="AX2254" s="399"/>
      <c r="AY2254" s="334"/>
      <c r="AZ2254" s="399"/>
      <c r="BA2254" s="334"/>
      <c r="BB2254" s="399"/>
      <c r="BC2254" s="334"/>
      <c r="BD2254" s="399"/>
      <c r="BE2254" s="334"/>
      <c r="BF2254" s="399"/>
    </row>
    <row r="2255" spans="1:58" s="48" customFormat="1" ht="24.9" customHeight="1">
      <c r="B2255" s="54" t="str">
        <f>IF($C$1="ENG","ADJUSTABLE PANELS","ПЛАНКИ РЕГУЛЮВАЛЬНІ")</f>
        <v>ПЛАНКИ РЕГУЛЮВАЛЬНІ</v>
      </c>
      <c r="C2255" s="428"/>
      <c r="D2255" s="28"/>
      <c r="E2255" s="485" t="str">
        <f>IF($C$1="ENG","For Door Frames Verto-FIT, Verto-FIT  Plus","Для Дверних Коробок Verto-FIT, Verto-FIT  Plus")</f>
        <v>Для Дверних Коробок Verto-FIT, Verto-FIT  Plus</v>
      </c>
      <c r="F2255" s="485"/>
      <c r="G2255" s="485"/>
      <c r="H2255" s="485"/>
      <c r="I2255" s="485"/>
      <c r="J2255" s="485"/>
      <c r="K2255" s="485"/>
      <c r="L2255" s="28"/>
      <c r="M2255" s="106"/>
      <c r="N2255" s="28"/>
      <c r="O2255" s="29"/>
      <c r="P2255" s="28"/>
      <c r="Q2255" s="106"/>
      <c r="R2255" s="28"/>
      <c r="S2255" s="29"/>
      <c r="T2255" s="153"/>
      <c r="U2255" s="155"/>
      <c r="V2255" s="153"/>
      <c r="W2255" s="154"/>
      <c r="Y2255" s="59"/>
      <c r="Z2255" s="28"/>
      <c r="AA2255" s="59"/>
      <c r="AC2255" s="143"/>
      <c r="AN2255" s="56"/>
      <c r="AO2255" s="389"/>
      <c r="AP2255" s="389"/>
      <c r="AQ2255" s="56"/>
      <c r="AR2255" s="56"/>
      <c r="AS2255" s="56"/>
      <c r="AT2255" s="56"/>
    </row>
    <row r="2256" spans="1:58" ht="34.5" customHeight="1">
      <c r="A2256" s="8"/>
      <c r="B2256" s="244" t="str">
        <f>IF($C$1="ENG","Panel (1 set) 80 mm","Планка (1 к-т) 80 мм")</f>
        <v>Планка (1 к-т) 80 мм</v>
      </c>
      <c r="C2256" s="434"/>
      <c r="D2256" s="15">
        <f>IF(AC2256="","",(1-$W$2)*(AC2256/1.2))</f>
        <v>883.33333333333337</v>
      </c>
      <c r="E2256" s="299">
        <f>IF($W$5=0.2,D2256*1.2,D2256)/$W$4</f>
        <v>1060</v>
      </c>
      <c r="F2256" s="270">
        <f>IF(AD2256="","",(1-$W$2)*(AD2256/1.2))</f>
        <v>1150</v>
      </c>
      <c r="G2256" s="64">
        <f>IF($W$5=0.2,F2256*1.2,F2256)/$W$4</f>
        <v>1380</v>
      </c>
      <c r="H2256" s="15">
        <f>IF(AE2256="","",(1-$W$2)*(AE2256/1.2))</f>
        <v>1025</v>
      </c>
      <c r="I2256" s="267">
        <f>IF($W$5=0.2,H2256*1.2,H2256)/$W$4</f>
        <v>1230</v>
      </c>
      <c r="J2256" s="270">
        <f>IF(AF2256="","",(1-$W$2)*(AF2256/1.2))</f>
        <v>1341.6666666666667</v>
      </c>
      <c r="K2256" s="64">
        <f>IF($W$5=0.2,J2256*1.2,J2256)/$W$4</f>
        <v>1610</v>
      </c>
      <c r="L2256" s="15">
        <f>IF(AG2256="","",(1-$W$2)*(AG2256/1.2))</f>
        <v>1075</v>
      </c>
      <c r="M2256" s="267">
        <f>IF($W$5=0.2,L2256*1.2,L2256)/$W$4</f>
        <v>1290</v>
      </c>
      <c r="N2256" s="270">
        <f>IF(AH2256="","",(1-$W$2)*(AH2256/1.2))</f>
        <v>1408.3333333333335</v>
      </c>
      <c r="O2256" s="64">
        <f>IF($W$5=0.2,N2256*1.2,N2256)/$W$4</f>
        <v>1690.0000000000002</v>
      </c>
      <c r="P2256" s="15">
        <f>IF(AI2256="","",(1-$W$2)*(AI2256/1.2))</f>
        <v>1166.6666666666667</v>
      </c>
      <c r="Q2256" s="267">
        <f>IF($W$5=0.2,P2256*1.2,P2256)/$W$4</f>
        <v>1400</v>
      </c>
      <c r="R2256" s="270">
        <f>IF(AJ2256="","",(1-$W$2)*(AJ2256/1.2))</f>
        <v>1516.6666666666667</v>
      </c>
      <c r="S2256" s="64">
        <f>IF($W$5=0.2,R2256*1.2,R2256)/$W$4</f>
        <v>1820</v>
      </c>
      <c r="T2256" s="15">
        <f>IF(AK2256="","",(1-$W$2)*(AK2256/1.2))</f>
        <v>1225</v>
      </c>
      <c r="U2256" s="267">
        <f>IF($W$5=0.2,T2256*1.2,T2256)/$W$4</f>
        <v>1470</v>
      </c>
      <c r="V2256" s="270">
        <f>IF(AL2256="","",(1-$W$2)*(AL2256/1.2))</f>
        <v>1591.6666666666667</v>
      </c>
      <c r="W2256" s="402">
        <f>IF($W$5=0.2,V2256*1.2,V2256)/$W$4</f>
        <v>1910</v>
      </c>
      <c r="X2256" s="401"/>
      <c r="Y2256" s="401"/>
      <c r="Z2256" s="401"/>
      <c r="AA2256" s="401"/>
      <c r="AB2256" s="22"/>
      <c r="AC2256" s="332">
        <v>1060</v>
      </c>
      <c r="AD2256" s="332">
        <v>1380</v>
      </c>
      <c r="AE2256" s="332">
        <v>1230</v>
      </c>
      <c r="AF2256" s="332">
        <v>1610</v>
      </c>
      <c r="AG2256" s="332">
        <v>1290</v>
      </c>
      <c r="AH2256" s="332">
        <v>1690</v>
      </c>
      <c r="AI2256" s="332">
        <v>1400</v>
      </c>
      <c r="AJ2256" s="332">
        <v>1820</v>
      </c>
      <c r="AK2256" s="332">
        <v>1470</v>
      </c>
      <c r="AL2256" s="332">
        <v>1910</v>
      </c>
      <c r="AM2256" s="334">
        <v>1060</v>
      </c>
      <c r="AN2256" s="310">
        <f>AM2256/AC2256-1</f>
        <v>0</v>
      </c>
      <c r="AO2256" s="334">
        <v>1380</v>
      </c>
      <c r="AP2256" s="399">
        <f>AO2256/AD2256-1</f>
        <v>0</v>
      </c>
      <c r="AQ2256" s="334">
        <v>1230</v>
      </c>
      <c r="AR2256" s="334">
        <f>AQ2256/AE2256-1</f>
        <v>0</v>
      </c>
      <c r="AS2256" s="334">
        <v>1610</v>
      </c>
      <c r="AT2256" s="334">
        <f>AS2256/AF2256-1</f>
        <v>0</v>
      </c>
      <c r="AU2256" s="334">
        <v>1290</v>
      </c>
      <c r="AV2256" s="334">
        <f>AU2256/AG2256-1</f>
        <v>0</v>
      </c>
      <c r="AW2256" s="1">
        <v>1690</v>
      </c>
    </row>
    <row r="2257" spans="1:49" ht="34.5" customHeight="1">
      <c r="A2257" s="8"/>
      <c r="B2257" s="312" t="str">
        <f>IF($C$1="ENG","Panel (1 set) 160 mm","Планка (1 к-т) 160 мм")</f>
        <v>Планка (1 к-т) 160 мм</v>
      </c>
      <c r="C2257" s="432"/>
      <c r="D2257" s="18">
        <f>IF(AC2257="","",(1-$W$2)*(AC2257/1.2))</f>
        <v>1508.3333333333335</v>
      </c>
      <c r="E2257" s="268">
        <f>IF($W$5=0.2,D2257*1.2,D2257)/$W$4</f>
        <v>1810.0000000000002</v>
      </c>
      <c r="F2257" s="271">
        <f>IF(AD2257="","",(1-$W$2)*(AD2257/1.2))</f>
        <v>1958.3333333333335</v>
      </c>
      <c r="G2257" s="66">
        <f>IF($W$5=0.2,F2257*1.2,F2257)/$W$4</f>
        <v>2350</v>
      </c>
      <c r="H2257" s="18">
        <f>IF(AE2257="","",(1-$W$2)*(AE2257/1.2))</f>
        <v>1741.6666666666667</v>
      </c>
      <c r="I2257" s="268">
        <f>IF($W$5=0.2,H2257*1.2,H2257)/$W$4</f>
        <v>2090</v>
      </c>
      <c r="J2257" s="271">
        <f>IF(AF2257="","",(1-$W$2)*(AF2257/1.2))</f>
        <v>2275</v>
      </c>
      <c r="K2257" s="66">
        <f>IF($W$5=0.2,J2257*1.2,J2257)/$W$4</f>
        <v>2730</v>
      </c>
      <c r="L2257" s="18">
        <f>IF(AG2257="","",(1-$W$2)*(AG2257/1.2))</f>
        <v>1858.3333333333335</v>
      </c>
      <c r="M2257" s="268">
        <f>IF($W$5=0.2,L2257*1.2,L2257)/$W$4</f>
        <v>2230</v>
      </c>
      <c r="N2257" s="271">
        <f>IF(AH2257="","",(1-$W$2)*(AH2257/1.2))</f>
        <v>2408.3333333333335</v>
      </c>
      <c r="O2257" s="66">
        <f>IF($W$5=0.2,N2257*1.2,N2257)/$W$4</f>
        <v>2890</v>
      </c>
      <c r="P2257" s="18">
        <f>IF(AI2257="","",(1-$W$2)*(AI2257/1.2))</f>
        <v>1966.6666666666667</v>
      </c>
      <c r="Q2257" s="268">
        <f>IF($W$5=0.2,P2257*1.2,P2257)/$W$4</f>
        <v>2360</v>
      </c>
      <c r="R2257" s="271">
        <f>IF(AJ2257="","",(1-$W$2)*(AJ2257/1.2))</f>
        <v>2575</v>
      </c>
      <c r="S2257" s="66">
        <f>IF($W$5=0.2,R2257*1.2,R2257)/$W$4</f>
        <v>3090</v>
      </c>
      <c r="T2257" s="18">
        <f>IF(AK2257="","",(1-$W$2)*(AK2257/1.2))</f>
        <v>2133.3333333333335</v>
      </c>
      <c r="U2257" s="268">
        <f>IF($W$5=0.2,T2257*1.2,T2257)/$W$4</f>
        <v>2560</v>
      </c>
      <c r="V2257" s="271">
        <f>IF(AL2257="","",(1-$W$2)*(AL2257/1.2))</f>
        <v>2758.3333333333335</v>
      </c>
      <c r="W2257" s="66">
        <f>IF($W$5=0.2,V2257*1.2,V2257)/$W$4</f>
        <v>3310</v>
      </c>
      <c r="X2257" s="22"/>
      <c r="Y2257" s="22"/>
      <c r="Z2257" s="22"/>
      <c r="AA2257" s="22"/>
      <c r="AB2257" s="22"/>
      <c r="AC2257" s="332">
        <v>1810</v>
      </c>
      <c r="AD2257" s="332">
        <v>2350</v>
      </c>
      <c r="AE2257" s="332">
        <v>2090</v>
      </c>
      <c r="AF2257" s="332">
        <v>2730</v>
      </c>
      <c r="AG2257" s="332">
        <v>2230</v>
      </c>
      <c r="AH2257" s="332">
        <v>2890</v>
      </c>
      <c r="AI2257" s="332">
        <v>2360</v>
      </c>
      <c r="AJ2257" s="332">
        <v>3090</v>
      </c>
      <c r="AK2257" s="332">
        <v>2560</v>
      </c>
      <c r="AL2257" s="332">
        <v>3310</v>
      </c>
      <c r="AM2257" s="334">
        <v>1810</v>
      </c>
      <c r="AN2257" s="310">
        <f t="shared" ref="AN2257:AN2258" si="326">AM2257/AC2257-1</f>
        <v>0</v>
      </c>
      <c r="AO2257" s="334">
        <v>2350</v>
      </c>
      <c r="AP2257" s="399">
        <f t="shared" ref="AP2257:AP2258" si="327">AO2257/AD2257-1</f>
        <v>0</v>
      </c>
      <c r="AQ2257" s="334">
        <v>2090</v>
      </c>
      <c r="AR2257" s="334">
        <f t="shared" ref="AR2257:AR2258" si="328">AQ2257/AE2257-1</f>
        <v>0</v>
      </c>
      <c r="AS2257" s="334">
        <v>2730</v>
      </c>
      <c r="AT2257" s="334">
        <f t="shared" ref="AT2257:AT2258" si="329">AS2257/AF2257-1</f>
        <v>0</v>
      </c>
      <c r="AU2257" s="334">
        <v>2230</v>
      </c>
      <c r="AV2257" s="334">
        <f t="shared" ref="AV2257:AV2258" si="330">AU2257/AG2257-1</f>
        <v>0</v>
      </c>
      <c r="AW2257" s="1">
        <v>2890</v>
      </c>
    </row>
    <row r="2258" spans="1:49" ht="34.5" customHeight="1">
      <c r="A2258" s="8"/>
      <c r="B2258" s="108" t="str">
        <f>IF($C$1="ENG","Panel (1 set) 200 mm","Планка (1 к-т) 200 мм")</f>
        <v>Планка (1 к-т) 200 мм</v>
      </c>
      <c r="C2258" s="433"/>
      <c r="D2258" s="25">
        <f>IF(AC2258="","",(1-$W$2)*(AC2258/1.2))</f>
        <v>1833.3333333333335</v>
      </c>
      <c r="E2258" s="269">
        <f>IF($W$5=0.2,D2258*1.2,D2258)/$W$4</f>
        <v>2200</v>
      </c>
      <c r="F2258" s="272">
        <f>IF(AD2258="","",(1-$W$2)*(AD2258/1.2))</f>
        <v>2383.3333333333335</v>
      </c>
      <c r="G2258" s="69">
        <f>IF($W$5=0.2,F2258*1.2,F2258)/$W$4</f>
        <v>2860</v>
      </c>
      <c r="H2258" s="25">
        <f>IF(AE2258="","",(1-$W$2)*(AE2258/1.2))</f>
        <v>2116.666666666667</v>
      </c>
      <c r="I2258" s="269">
        <f>IF($W$5=0.2,H2258*1.2,H2258)/$W$4</f>
        <v>2540.0000000000005</v>
      </c>
      <c r="J2258" s="272">
        <f>IF(AF2258="","",(1-$W$2)*(AF2258/1.2))</f>
        <v>2750</v>
      </c>
      <c r="K2258" s="69">
        <f>IF($W$5=0.2,J2258*1.2,J2258)/$W$4</f>
        <v>3300</v>
      </c>
      <c r="L2258" s="25">
        <f>IF(AG2258="","",(1-$W$2)*(AG2258/1.2))</f>
        <v>2275</v>
      </c>
      <c r="M2258" s="269">
        <f>IF($W$5=0.2,L2258*1.2,L2258)/$W$4</f>
        <v>2730</v>
      </c>
      <c r="N2258" s="272">
        <f>IF(AH2258="","",(1-$W$2)*(AH2258/1.2))</f>
        <v>2950</v>
      </c>
      <c r="O2258" s="69">
        <f>IF($W$5=0.2,N2258*1.2,N2258)/$W$4</f>
        <v>3540</v>
      </c>
      <c r="P2258" s="25">
        <f>IF(AI2258="","",(1-$W$2)*(AI2258/1.2))</f>
        <v>2391.666666666667</v>
      </c>
      <c r="Q2258" s="269">
        <f>IF($W$5=0.2,P2258*1.2,P2258)/$W$4</f>
        <v>2870.0000000000005</v>
      </c>
      <c r="R2258" s="272">
        <f>IF(AJ2258="","",(1-$W$2)*(AJ2258/1.2))</f>
        <v>3108.3333333333335</v>
      </c>
      <c r="S2258" s="69">
        <f>IF($W$5=0.2,R2258*1.2,R2258)/$W$4</f>
        <v>3730</v>
      </c>
      <c r="T2258" s="25">
        <f>IF(AK2258="","",(1-$W$2)*(AK2258/1.2))</f>
        <v>2600</v>
      </c>
      <c r="U2258" s="269">
        <f>IF($W$5=0.2,T2258*1.2,T2258)/$W$4</f>
        <v>3120</v>
      </c>
      <c r="V2258" s="272">
        <f>IF(AL2258="","",(1-$W$2)*(AL2258/1.2))</f>
        <v>3383.3333333333335</v>
      </c>
      <c r="W2258" s="69">
        <f>IF($W$5=0.2,V2258*1.2,V2258)/$W$4</f>
        <v>4060</v>
      </c>
      <c r="X2258" s="22"/>
      <c r="Y2258" s="22"/>
      <c r="Z2258" s="22"/>
      <c r="AA2258" s="22"/>
      <c r="AB2258" s="22"/>
      <c r="AC2258" s="332">
        <v>2200</v>
      </c>
      <c r="AD2258" s="332">
        <v>2860</v>
      </c>
      <c r="AE2258" s="332">
        <v>2540</v>
      </c>
      <c r="AF2258" s="332">
        <v>3300</v>
      </c>
      <c r="AG2258" s="332">
        <v>2730</v>
      </c>
      <c r="AH2258" s="332">
        <v>3540</v>
      </c>
      <c r="AI2258" s="332">
        <v>2870</v>
      </c>
      <c r="AJ2258" s="332">
        <v>3730</v>
      </c>
      <c r="AK2258" s="332">
        <v>3120</v>
      </c>
      <c r="AL2258" s="332">
        <v>4060</v>
      </c>
      <c r="AM2258" s="334">
        <v>2200</v>
      </c>
      <c r="AN2258" s="310">
        <f t="shared" si="326"/>
        <v>0</v>
      </c>
      <c r="AO2258" s="334">
        <v>2860</v>
      </c>
      <c r="AP2258" s="399">
        <f t="shared" si="327"/>
        <v>0</v>
      </c>
      <c r="AQ2258" s="334">
        <v>2540</v>
      </c>
      <c r="AR2258" s="334">
        <f t="shared" si="328"/>
        <v>0</v>
      </c>
      <c r="AS2258" s="334">
        <v>3300</v>
      </c>
      <c r="AT2258" s="334">
        <f t="shared" si="329"/>
        <v>0</v>
      </c>
      <c r="AU2258" s="334">
        <v>2730</v>
      </c>
      <c r="AV2258" s="334">
        <f t="shared" si="330"/>
        <v>0</v>
      </c>
      <c r="AW2258" s="1">
        <v>3540</v>
      </c>
    </row>
    <row r="2259" spans="1:49">
      <c r="C2259" s="245"/>
      <c r="D2259" s="26"/>
      <c r="E2259" s="57"/>
      <c r="F2259" s="57"/>
      <c r="G2259" s="57"/>
      <c r="H2259" s="57"/>
      <c r="I2259" s="57"/>
      <c r="J2259" s="57"/>
      <c r="K2259" s="57"/>
      <c r="L2259" s="57"/>
      <c r="M2259" s="57"/>
      <c r="N2259" s="57"/>
      <c r="O2259" s="57"/>
      <c r="P2259" s="57"/>
      <c r="Q2259" s="57"/>
      <c r="R2259" s="57"/>
      <c r="S2259" s="57"/>
      <c r="T2259" s="57"/>
      <c r="U2259" s="57"/>
      <c r="V2259" s="57">
        <f t="shared" ref="V2259" si="331">V2257/100*30</f>
        <v>827.50000000000011</v>
      </c>
      <c r="W2259" s="57"/>
      <c r="AD2259" s="1">
        <f>AD2258-AC2258</f>
        <v>660</v>
      </c>
      <c r="AF2259" s="1">
        <f>AF2258-AE2258</f>
        <v>760</v>
      </c>
      <c r="AH2259" s="1">
        <f>AH2258-AG2258</f>
        <v>810</v>
      </c>
      <c r="AJ2259" s="1">
        <f>AJ2258-AI2258</f>
        <v>860</v>
      </c>
      <c r="AL2259" s="1">
        <f>AL2258-AK2258</f>
        <v>940</v>
      </c>
      <c r="AP2259" s="333"/>
      <c r="AQ2259" s="333"/>
      <c r="AR2259" s="333"/>
      <c r="AT2259" s="388"/>
    </row>
    <row r="2260" spans="1:49">
      <c r="B2260" s="212" t="str">
        <f>IF($C$1="ENG","For additonal charge:","Послуги за додаткову плату:")</f>
        <v>Послуги за додаткову плату:</v>
      </c>
      <c r="C2260" s="421"/>
      <c r="D2260" s="213"/>
      <c r="E2260" s="214"/>
      <c r="F2260" s="39"/>
      <c r="G2260" s="39"/>
      <c r="H2260" s="10"/>
      <c r="I2260" s="84"/>
      <c r="J2260" s="8"/>
      <c r="K2260" s="8"/>
      <c r="L2260" s="105"/>
      <c r="N2260" s="105"/>
      <c r="P2260" s="105"/>
      <c r="R2260" s="105"/>
      <c r="U2260" s="20"/>
      <c r="W2260" s="20"/>
      <c r="AP2260" s="333"/>
      <c r="AQ2260" s="333"/>
      <c r="AR2260" s="333"/>
      <c r="AT2260" s="388"/>
    </row>
    <row r="2261" spans="1:49" ht="5.0999999999999996" customHeight="1">
      <c r="B2261" s="27"/>
      <c r="C2261" s="245"/>
      <c r="D2261" s="26"/>
      <c r="E2261" s="57"/>
      <c r="F2261" s="26"/>
      <c r="G2261" s="26"/>
      <c r="H2261" s="10"/>
      <c r="I2261" s="8"/>
      <c r="J2261" s="8"/>
      <c r="K2261" s="8"/>
      <c r="U2261" s="20"/>
      <c r="W2261" s="20"/>
      <c r="AP2261" s="334"/>
      <c r="AQ2261" s="334"/>
      <c r="AR2261" s="334"/>
      <c r="AS2261" s="310"/>
      <c r="AT2261" s="387"/>
    </row>
    <row r="2262" spans="1:49">
      <c r="B2262" s="486" t="str">
        <f>IF($C$1="ENG","third door hindge","третя завіса")</f>
        <v>третя завіса</v>
      </c>
      <c r="C2262" s="487"/>
      <c r="D2262" s="51">
        <f>IF(AC2262="","",(1-$W$2)*(AC2262/1.2))</f>
        <v>66.666666666666671</v>
      </c>
      <c r="E2262" s="85">
        <f>IF($W$5=0.2,D2262*1.2,D2262)/$W$4</f>
        <v>80</v>
      </c>
      <c r="F2262" s="26"/>
      <c r="G2262" s="26"/>
      <c r="H2262" s="10"/>
      <c r="I2262" s="84"/>
      <c r="J2262" s="8"/>
      <c r="K2262" s="84"/>
      <c r="U2262" s="20"/>
      <c r="W2262" s="20"/>
      <c r="AC2262" s="298">
        <v>80</v>
      </c>
      <c r="AE2262" s="30"/>
      <c r="AF2262" s="289"/>
      <c r="AG2262" s="289"/>
      <c r="AH2262" s="289"/>
      <c r="AI2262" s="289"/>
      <c r="AJ2262" s="289"/>
      <c r="AK2262" s="289"/>
      <c r="AL2262" s="289"/>
      <c r="AP2262" s="333"/>
      <c r="AQ2262" s="333"/>
      <c r="AR2262" s="333"/>
      <c r="AT2262" s="388"/>
    </row>
    <row r="2263" spans="1:49" ht="14.25" customHeight="1">
      <c r="T2263" s="488" t="str">
        <f>IF($C$1="ENG",CONCATENATE("down to: ",B2313),CONCATENATE("вниз до: ",B2313))</f>
        <v>вниз до: Дверна коробка Verto-FIT Plus</v>
      </c>
      <c r="U2263" s="488"/>
      <c r="V2263" s="488"/>
      <c r="W2263" s="488"/>
      <c r="AP2263" s="333"/>
      <c r="AQ2263" s="333"/>
      <c r="AR2263" s="333"/>
      <c r="AT2263" s="388"/>
    </row>
    <row r="2264" spans="1:49" ht="14.25" customHeight="1">
      <c r="C2264" s="245"/>
      <c r="D2264" s="26"/>
      <c r="E2264" s="26"/>
      <c r="F2264" s="26"/>
      <c r="G2264" s="57"/>
      <c r="H2264" s="5"/>
      <c r="K2264" s="84"/>
      <c r="L2264" s="279"/>
      <c r="O2264" s="57"/>
      <c r="P2264" s="279"/>
      <c r="S2264" s="57"/>
      <c r="T2264" s="279"/>
      <c r="W2264" s="57"/>
      <c r="X2264" s="279"/>
      <c r="Y2264" s="279"/>
      <c r="Z2264" s="279"/>
      <c r="AA2264" s="279"/>
      <c r="AB2264" s="279"/>
      <c r="AP2264" s="333"/>
      <c r="AQ2264" s="333"/>
      <c r="AR2264" s="333"/>
      <c r="AT2264" s="388"/>
    </row>
    <row r="2265" spans="1:49" ht="14.25" customHeight="1">
      <c r="C2265" s="245"/>
      <c r="D2265" s="26"/>
      <c r="E2265" s="26"/>
      <c r="F2265" s="26"/>
      <c r="G2265" s="57"/>
      <c r="H2265" s="279"/>
      <c r="K2265" s="57"/>
      <c r="L2265" s="279"/>
      <c r="M2265" s="249"/>
      <c r="N2265" s="245"/>
      <c r="O2265" s="249"/>
      <c r="P2265" s="279"/>
      <c r="Q2265" s="249"/>
      <c r="R2265" s="245"/>
      <c r="S2265" s="249"/>
      <c r="T2265" s="279"/>
      <c r="U2265" s="249"/>
      <c r="V2265" s="245"/>
      <c r="W2265" s="249"/>
      <c r="X2265" s="279"/>
      <c r="Y2265" s="279"/>
      <c r="Z2265" s="279"/>
      <c r="AA2265" s="279"/>
      <c r="AB2265" s="279"/>
      <c r="AP2265" s="333"/>
      <c r="AQ2265" s="333"/>
      <c r="AR2265" s="333"/>
      <c r="AT2265" s="388"/>
    </row>
    <row r="2266" spans="1:49" ht="14.25" customHeight="1">
      <c r="C2266" s="245"/>
      <c r="D2266" s="245"/>
      <c r="F2266" s="245"/>
      <c r="G2266" s="249"/>
      <c r="H2266" s="279"/>
      <c r="I2266" s="249"/>
      <c r="J2266" s="245"/>
      <c r="K2266" s="249"/>
      <c r="L2266" s="279"/>
      <c r="M2266" s="284"/>
      <c r="N2266" s="245"/>
      <c r="O2266" s="249"/>
      <c r="P2266" s="279"/>
      <c r="Q2266" s="284"/>
      <c r="R2266" s="245"/>
      <c r="S2266" s="249"/>
      <c r="T2266" s="279"/>
      <c r="U2266" s="284"/>
      <c r="V2266" s="245"/>
      <c r="W2266" s="249"/>
      <c r="X2266" s="279"/>
      <c r="Y2266" s="279"/>
      <c r="Z2266" s="279"/>
      <c r="AA2266" s="279"/>
      <c r="AB2266" s="279"/>
    </row>
    <row r="2267" spans="1:49" ht="14.25" customHeight="1">
      <c r="C2267" s="245"/>
      <c r="D2267" s="245"/>
      <c r="E2267" s="284"/>
      <c r="F2267" s="245"/>
      <c r="G2267" s="249"/>
      <c r="H2267" s="279"/>
      <c r="I2267" s="284"/>
      <c r="J2267" s="245"/>
      <c r="K2267" s="249"/>
      <c r="L2267" s="279"/>
      <c r="M2267" s="284"/>
      <c r="N2267" s="245"/>
      <c r="O2267" s="249"/>
      <c r="P2267" s="279"/>
      <c r="Q2267" s="284"/>
      <c r="R2267" s="245"/>
      <c r="S2267" s="249"/>
      <c r="T2267" s="279"/>
      <c r="U2267" s="284"/>
      <c r="V2267" s="245"/>
      <c r="W2267" s="249"/>
      <c r="X2267" s="279"/>
      <c r="Y2267" s="279"/>
      <c r="Z2267" s="279"/>
      <c r="AA2267" s="279"/>
      <c r="AB2267" s="279"/>
    </row>
    <row r="2268" spans="1:49" ht="14.25" customHeight="1">
      <c r="C2268" s="245"/>
      <c r="D2268" s="245"/>
      <c r="E2268" s="284"/>
      <c r="F2268" s="245"/>
      <c r="G2268" s="249"/>
      <c r="H2268" s="279"/>
      <c r="I2268" s="284"/>
      <c r="J2268" s="245"/>
      <c r="K2268" s="249"/>
      <c r="L2268" s="279"/>
      <c r="M2268" s="284"/>
      <c r="N2268" s="245"/>
      <c r="O2268" s="249"/>
      <c r="P2268" s="279"/>
      <c r="Q2268" s="284"/>
      <c r="R2268" s="245"/>
      <c r="S2268" s="249"/>
      <c r="T2268" s="279"/>
      <c r="U2268" s="284"/>
      <c r="V2268" s="245"/>
      <c r="W2268" s="249"/>
      <c r="X2268" s="279"/>
      <c r="Y2268" s="279"/>
      <c r="Z2268" s="279"/>
      <c r="AA2268" s="279"/>
      <c r="AB2268" s="279"/>
    </row>
    <row r="2269" spans="1:49" ht="14.25" customHeight="1">
      <c r="C2269" s="245"/>
      <c r="D2269" s="245"/>
      <c r="E2269" s="284"/>
      <c r="F2269" s="245"/>
      <c r="G2269" s="249"/>
      <c r="H2269" s="279"/>
      <c r="I2269" s="284"/>
      <c r="J2269" s="245"/>
      <c r="K2269" s="249"/>
      <c r="L2269" s="279"/>
      <c r="M2269" s="284"/>
      <c r="N2269" s="245"/>
      <c r="O2269" s="249"/>
      <c r="P2269" s="279"/>
      <c r="Q2269" s="284"/>
      <c r="R2269" s="245"/>
      <c r="S2269" s="249"/>
      <c r="T2269" s="279"/>
      <c r="U2269" s="284"/>
      <c r="V2269" s="245"/>
      <c r="W2269" s="249"/>
      <c r="X2269" s="279"/>
      <c r="Y2269" s="279"/>
      <c r="Z2269" s="279"/>
      <c r="AA2269" s="279"/>
      <c r="AB2269" s="279"/>
    </row>
    <row r="2270" spans="1:49" ht="14.25" customHeight="1">
      <c r="C2270" s="245"/>
      <c r="D2270" s="245"/>
      <c r="E2270" s="284"/>
      <c r="F2270" s="245"/>
      <c r="G2270" s="249"/>
      <c r="H2270" s="279"/>
      <c r="I2270" s="284"/>
      <c r="J2270" s="245"/>
      <c r="K2270" s="249"/>
      <c r="L2270" s="279"/>
      <c r="M2270" s="284"/>
      <c r="N2270" s="245"/>
      <c r="O2270" s="249"/>
      <c r="P2270" s="279"/>
      <c r="Q2270" s="284"/>
      <c r="R2270" s="245"/>
      <c r="S2270" s="249"/>
      <c r="T2270" s="279"/>
      <c r="U2270" s="284"/>
      <c r="V2270" s="245"/>
      <c r="W2270" s="249"/>
      <c r="X2270" s="279"/>
      <c r="Y2270" s="279"/>
      <c r="Z2270" s="279"/>
      <c r="AA2270" s="279"/>
      <c r="AB2270" s="279"/>
      <c r="AM2270" s="1">
        <f>AC2270/100*13+AC2270</f>
        <v>0</v>
      </c>
      <c r="AN2270" s="30" t="e">
        <f>AM2270/AC2270-1</f>
        <v>#DIV/0!</v>
      </c>
      <c r="AO2270" s="30">
        <f>AD2270/100*13+AD2270</f>
        <v>0</v>
      </c>
      <c r="AP2270" s="30" t="e">
        <f>AO2270/AD2270-1</f>
        <v>#DIV/0!</v>
      </c>
      <c r="AQ2270" s="30">
        <f>AE2270/100*13+AE2270</f>
        <v>0</v>
      </c>
      <c r="AR2270" s="30" t="e">
        <f>AQ2270/AE2270-1</f>
        <v>#DIV/0!</v>
      </c>
      <c r="AS2270" s="30">
        <f>AF2270/100*13+AF2270</f>
        <v>0</v>
      </c>
      <c r="AT2270" s="30" t="e">
        <f>AS2270/AF2270-1</f>
        <v>#DIV/0!</v>
      </c>
      <c r="AU2270" s="1">
        <f>AG2270/100*13+AG2270</f>
        <v>0</v>
      </c>
      <c r="AV2270" s="1" t="e">
        <f>AU2270/AG2270-1</f>
        <v>#DIV/0!</v>
      </c>
      <c r="AW2270" s="1">
        <f>AH2270/100*13+AH2270</f>
        <v>0</v>
      </c>
    </row>
    <row r="2271" spans="1:49" ht="14.25" customHeight="1">
      <c r="C2271" s="245"/>
      <c r="D2271" s="245"/>
      <c r="E2271" s="284"/>
      <c r="F2271" s="245"/>
      <c r="G2271" s="249"/>
      <c r="H2271" s="279"/>
      <c r="I2271" s="284"/>
      <c r="J2271" s="245"/>
      <c r="K2271" s="249"/>
      <c r="L2271" s="279"/>
      <c r="M2271" s="284"/>
      <c r="N2271" s="245"/>
      <c r="O2271" s="249"/>
      <c r="P2271" s="279"/>
      <c r="Q2271" s="284"/>
      <c r="R2271" s="245"/>
      <c r="S2271" s="249"/>
      <c r="T2271" s="279"/>
      <c r="U2271" s="284"/>
      <c r="V2271" s="245"/>
      <c r="W2271" s="249"/>
      <c r="X2271" s="279"/>
      <c r="Y2271" s="279"/>
      <c r="Z2271" s="279"/>
      <c r="AA2271" s="279"/>
      <c r="AB2271" s="279"/>
      <c r="AM2271" s="1">
        <f t="shared" ref="AM2271:AM2279" si="332">AC2271/100*13+AC2271</f>
        <v>0</v>
      </c>
      <c r="AN2271" s="30" t="e">
        <f t="shared" ref="AN2271:AN2279" si="333">AM2271/AC2271-1</f>
        <v>#DIV/0!</v>
      </c>
      <c r="AO2271" s="30">
        <f t="shared" ref="AO2271:AO2279" si="334">AD2271/100*13+AD2271</f>
        <v>0</v>
      </c>
      <c r="AP2271" s="30" t="e">
        <f t="shared" ref="AP2271:AP2279" si="335">AO2271/AD2271-1</f>
        <v>#DIV/0!</v>
      </c>
      <c r="AQ2271" s="30">
        <f t="shared" ref="AQ2271:AQ2279" si="336">AE2271/100*13+AE2271</f>
        <v>0</v>
      </c>
      <c r="AR2271" s="30" t="e">
        <f t="shared" ref="AR2271:AR2279" si="337">AQ2271/AE2271-1</f>
        <v>#DIV/0!</v>
      </c>
      <c r="AS2271" s="30">
        <f t="shared" ref="AS2271:AS2279" si="338">AF2271/100*13+AF2271</f>
        <v>0</v>
      </c>
      <c r="AT2271" s="30" t="e">
        <f t="shared" ref="AT2271:AT2279" si="339">AS2271/AF2271-1</f>
        <v>#DIV/0!</v>
      </c>
      <c r="AU2271" s="1">
        <f t="shared" ref="AU2271:AU2279" si="340">AG2271/100*13+AG2271</f>
        <v>0</v>
      </c>
      <c r="AV2271" s="1" t="e">
        <f t="shared" ref="AV2271:AV2279" si="341">AU2271/AG2271-1</f>
        <v>#DIV/0!</v>
      </c>
      <c r="AW2271" s="1">
        <f t="shared" ref="AW2271:AW2279" si="342">AH2271/100*13+AH2271</f>
        <v>0</v>
      </c>
    </row>
    <row r="2272" spans="1:49" ht="14.25" customHeight="1">
      <c r="C2272" s="245"/>
      <c r="D2272" s="245"/>
      <c r="E2272" s="284"/>
      <c r="F2272" s="245"/>
      <c r="G2272" s="249"/>
      <c r="H2272" s="279"/>
      <c r="I2272" s="284"/>
      <c r="J2272" s="245"/>
      <c r="K2272" s="249"/>
      <c r="L2272" s="279"/>
      <c r="M2272" s="284"/>
      <c r="N2272" s="245"/>
      <c r="O2272" s="249"/>
      <c r="P2272" s="279"/>
      <c r="Q2272" s="284"/>
      <c r="R2272" s="245"/>
      <c r="S2272" s="249"/>
      <c r="T2272" s="279"/>
      <c r="U2272" s="284"/>
      <c r="V2272" s="245"/>
      <c r="W2272" s="249"/>
      <c r="X2272" s="279"/>
      <c r="Y2272" s="279"/>
      <c r="Z2272" s="279"/>
      <c r="AA2272" s="279"/>
      <c r="AB2272" s="279"/>
      <c r="AM2272" s="1">
        <f t="shared" si="332"/>
        <v>0</v>
      </c>
      <c r="AN2272" s="30" t="e">
        <f t="shared" si="333"/>
        <v>#DIV/0!</v>
      </c>
      <c r="AO2272" s="30">
        <f t="shared" si="334"/>
        <v>0</v>
      </c>
      <c r="AP2272" s="30" t="e">
        <f t="shared" si="335"/>
        <v>#DIV/0!</v>
      </c>
      <c r="AQ2272" s="30">
        <f t="shared" si="336"/>
        <v>0</v>
      </c>
      <c r="AR2272" s="30" t="e">
        <f t="shared" si="337"/>
        <v>#DIV/0!</v>
      </c>
      <c r="AS2272" s="30">
        <f t="shared" si="338"/>
        <v>0</v>
      </c>
      <c r="AT2272" s="30" t="e">
        <f t="shared" si="339"/>
        <v>#DIV/0!</v>
      </c>
      <c r="AU2272" s="1">
        <f t="shared" si="340"/>
        <v>0</v>
      </c>
      <c r="AV2272" s="1" t="e">
        <f t="shared" si="341"/>
        <v>#DIV/0!</v>
      </c>
      <c r="AW2272" s="1">
        <f t="shared" si="342"/>
        <v>0</v>
      </c>
    </row>
    <row r="2273" spans="3:49" ht="14.25" customHeight="1">
      <c r="C2273" s="245"/>
      <c r="D2273" s="245"/>
      <c r="E2273" s="284"/>
      <c r="F2273" s="245"/>
      <c r="G2273" s="249"/>
      <c r="H2273" s="279"/>
      <c r="I2273" s="284"/>
      <c r="J2273" s="245"/>
      <c r="K2273" s="249"/>
      <c r="L2273" s="279"/>
      <c r="M2273" s="284"/>
      <c r="N2273" s="245"/>
      <c r="O2273" s="249"/>
      <c r="P2273" s="279"/>
      <c r="Q2273" s="284"/>
      <c r="R2273" s="245"/>
      <c r="S2273" s="249"/>
      <c r="T2273" s="279"/>
      <c r="U2273" s="284"/>
      <c r="V2273" s="245"/>
      <c r="W2273" s="249"/>
      <c r="X2273" s="279"/>
      <c r="Y2273" s="279"/>
      <c r="Z2273" s="279"/>
      <c r="AA2273" s="279"/>
      <c r="AB2273" s="279"/>
      <c r="AM2273" s="1">
        <f t="shared" si="332"/>
        <v>0</v>
      </c>
      <c r="AN2273" s="30" t="e">
        <f t="shared" si="333"/>
        <v>#DIV/0!</v>
      </c>
      <c r="AO2273" s="30">
        <f t="shared" si="334"/>
        <v>0</v>
      </c>
      <c r="AP2273" s="30" t="e">
        <f t="shared" si="335"/>
        <v>#DIV/0!</v>
      </c>
      <c r="AQ2273" s="30">
        <f t="shared" si="336"/>
        <v>0</v>
      </c>
      <c r="AR2273" s="30" t="e">
        <f t="shared" si="337"/>
        <v>#DIV/0!</v>
      </c>
      <c r="AS2273" s="30">
        <f t="shared" si="338"/>
        <v>0</v>
      </c>
      <c r="AT2273" s="30" t="e">
        <f t="shared" si="339"/>
        <v>#DIV/0!</v>
      </c>
      <c r="AU2273" s="1">
        <f t="shared" si="340"/>
        <v>0</v>
      </c>
      <c r="AV2273" s="1" t="e">
        <f t="shared" si="341"/>
        <v>#DIV/0!</v>
      </c>
      <c r="AW2273" s="1">
        <f t="shared" si="342"/>
        <v>0</v>
      </c>
    </row>
    <row r="2274" spans="3:49" ht="14.25" customHeight="1">
      <c r="C2274" s="245"/>
      <c r="D2274" s="245"/>
      <c r="E2274" s="284"/>
      <c r="F2274" s="245"/>
      <c r="G2274" s="249"/>
      <c r="H2274" s="279"/>
      <c r="I2274" s="284"/>
      <c r="J2274" s="245"/>
      <c r="K2274" s="249"/>
      <c r="L2274" s="279"/>
      <c r="M2274" s="284"/>
      <c r="N2274" s="245"/>
      <c r="O2274" s="249"/>
      <c r="P2274" s="279"/>
      <c r="Q2274" s="284"/>
      <c r="R2274" s="245"/>
      <c r="S2274" s="249"/>
      <c r="T2274" s="279"/>
      <c r="U2274" s="284"/>
      <c r="V2274" s="245"/>
      <c r="W2274" s="249"/>
      <c r="X2274" s="279"/>
      <c r="Y2274" s="279"/>
      <c r="Z2274" s="279"/>
      <c r="AA2274" s="279"/>
      <c r="AB2274" s="279"/>
      <c r="AM2274" s="1">
        <f t="shared" si="332"/>
        <v>0</v>
      </c>
      <c r="AN2274" s="30" t="e">
        <f t="shared" si="333"/>
        <v>#DIV/0!</v>
      </c>
      <c r="AO2274" s="30">
        <f t="shared" si="334"/>
        <v>0</v>
      </c>
      <c r="AP2274" s="30" t="e">
        <f t="shared" si="335"/>
        <v>#DIV/0!</v>
      </c>
      <c r="AQ2274" s="30">
        <f t="shared" si="336"/>
        <v>0</v>
      </c>
      <c r="AR2274" s="30" t="e">
        <f t="shared" si="337"/>
        <v>#DIV/0!</v>
      </c>
      <c r="AS2274" s="30">
        <f t="shared" si="338"/>
        <v>0</v>
      </c>
      <c r="AT2274" s="30" t="e">
        <f t="shared" si="339"/>
        <v>#DIV/0!</v>
      </c>
      <c r="AU2274" s="1">
        <f t="shared" si="340"/>
        <v>0</v>
      </c>
      <c r="AV2274" s="1" t="e">
        <f t="shared" si="341"/>
        <v>#DIV/0!</v>
      </c>
      <c r="AW2274" s="1">
        <f t="shared" si="342"/>
        <v>0</v>
      </c>
    </row>
    <row r="2275" spans="3:49" ht="14.25" customHeight="1">
      <c r="C2275" s="245"/>
      <c r="D2275" s="245"/>
      <c r="E2275" s="284"/>
      <c r="F2275" s="245"/>
      <c r="G2275" s="249"/>
      <c r="H2275" s="279"/>
      <c r="I2275" s="284"/>
      <c r="J2275" s="245"/>
      <c r="K2275" s="249"/>
      <c r="L2275" s="279"/>
      <c r="M2275" s="284"/>
      <c r="N2275" s="245"/>
      <c r="O2275" s="249"/>
      <c r="P2275" s="279"/>
      <c r="Q2275" s="284"/>
      <c r="R2275" s="245"/>
      <c r="S2275" s="249"/>
      <c r="T2275" s="279"/>
      <c r="U2275" s="284"/>
      <c r="V2275" s="245"/>
      <c r="W2275" s="249"/>
      <c r="X2275" s="279"/>
      <c r="Y2275" s="279"/>
      <c r="Z2275" s="279"/>
      <c r="AA2275" s="279"/>
      <c r="AB2275" s="279"/>
      <c r="AM2275" s="1">
        <f t="shared" si="332"/>
        <v>0</v>
      </c>
      <c r="AN2275" s="30" t="e">
        <f t="shared" si="333"/>
        <v>#DIV/0!</v>
      </c>
      <c r="AO2275" s="30">
        <f t="shared" si="334"/>
        <v>0</v>
      </c>
      <c r="AP2275" s="30" t="e">
        <f t="shared" si="335"/>
        <v>#DIV/0!</v>
      </c>
      <c r="AQ2275" s="30">
        <f t="shared" si="336"/>
        <v>0</v>
      </c>
      <c r="AR2275" s="30" t="e">
        <f t="shared" si="337"/>
        <v>#DIV/0!</v>
      </c>
      <c r="AS2275" s="30">
        <f t="shared" si="338"/>
        <v>0</v>
      </c>
      <c r="AT2275" s="30" t="e">
        <f t="shared" si="339"/>
        <v>#DIV/0!</v>
      </c>
      <c r="AU2275" s="1">
        <f t="shared" si="340"/>
        <v>0</v>
      </c>
      <c r="AV2275" s="1" t="e">
        <f t="shared" si="341"/>
        <v>#DIV/0!</v>
      </c>
      <c r="AW2275" s="1">
        <f t="shared" si="342"/>
        <v>0</v>
      </c>
    </row>
    <row r="2276" spans="3:49" ht="14.25" customHeight="1">
      <c r="C2276" s="245"/>
      <c r="D2276" s="245"/>
      <c r="E2276" s="284"/>
      <c r="F2276" s="245"/>
      <c r="G2276" s="249"/>
      <c r="H2276" s="279"/>
      <c r="I2276" s="284"/>
      <c r="J2276" s="245"/>
      <c r="K2276" s="249"/>
      <c r="L2276" s="279"/>
      <c r="M2276" s="284"/>
      <c r="N2276" s="245"/>
      <c r="O2276" s="249"/>
      <c r="P2276" s="279"/>
      <c r="Q2276" s="284"/>
      <c r="R2276" s="245"/>
      <c r="S2276" s="249"/>
      <c r="T2276" s="279"/>
      <c r="U2276" s="284"/>
      <c r="V2276" s="245"/>
      <c r="W2276" s="249"/>
      <c r="X2276" s="279"/>
      <c r="Y2276" s="279"/>
      <c r="Z2276" s="279"/>
      <c r="AA2276" s="279"/>
      <c r="AB2276" s="279"/>
      <c r="AM2276" s="1">
        <f t="shared" si="332"/>
        <v>0</v>
      </c>
      <c r="AN2276" s="30" t="e">
        <f t="shared" si="333"/>
        <v>#DIV/0!</v>
      </c>
      <c r="AO2276" s="30">
        <f t="shared" si="334"/>
        <v>0</v>
      </c>
      <c r="AP2276" s="30" t="e">
        <f t="shared" si="335"/>
        <v>#DIV/0!</v>
      </c>
      <c r="AQ2276" s="30">
        <f t="shared" si="336"/>
        <v>0</v>
      </c>
      <c r="AR2276" s="30" t="e">
        <f t="shared" si="337"/>
        <v>#DIV/0!</v>
      </c>
      <c r="AS2276" s="30">
        <f t="shared" si="338"/>
        <v>0</v>
      </c>
      <c r="AT2276" s="30" t="e">
        <f t="shared" si="339"/>
        <v>#DIV/0!</v>
      </c>
      <c r="AU2276" s="1">
        <f t="shared" si="340"/>
        <v>0</v>
      </c>
      <c r="AV2276" s="1" t="e">
        <f t="shared" si="341"/>
        <v>#DIV/0!</v>
      </c>
      <c r="AW2276" s="1">
        <f t="shared" si="342"/>
        <v>0</v>
      </c>
    </row>
    <row r="2277" spans="3:49" ht="14.25" customHeight="1">
      <c r="C2277" s="245"/>
      <c r="D2277" s="245"/>
      <c r="E2277" s="284"/>
      <c r="F2277" s="245"/>
      <c r="G2277" s="249"/>
      <c r="H2277" s="279"/>
      <c r="I2277" s="284"/>
      <c r="J2277" s="245"/>
      <c r="K2277" s="249"/>
      <c r="L2277" s="279"/>
      <c r="M2277" s="284"/>
      <c r="N2277" s="245"/>
      <c r="O2277" s="249"/>
      <c r="P2277" s="279"/>
      <c r="Q2277" s="284"/>
      <c r="R2277" s="245"/>
      <c r="S2277" s="249"/>
      <c r="T2277" s="279"/>
      <c r="U2277" s="284"/>
      <c r="V2277" s="245"/>
      <c r="W2277" s="249"/>
      <c r="X2277" s="279"/>
      <c r="Y2277" s="279"/>
      <c r="Z2277" s="279"/>
      <c r="AA2277" s="279"/>
      <c r="AB2277" s="279"/>
      <c r="AM2277" s="1">
        <f t="shared" si="332"/>
        <v>0</v>
      </c>
      <c r="AN2277" s="30" t="e">
        <f t="shared" si="333"/>
        <v>#DIV/0!</v>
      </c>
      <c r="AO2277" s="30">
        <f t="shared" si="334"/>
        <v>0</v>
      </c>
      <c r="AP2277" s="30" t="e">
        <f t="shared" si="335"/>
        <v>#DIV/0!</v>
      </c>
      <c r="AQ2277" s="30">
        <f t="shared" si="336"/>
        <v>0</v>
      </c>
      <c r="AR2277" s="30" t="e">
        <f t="shared" si="337"/>
        <v>#DIV/0!</v>
      </c>
      <c r="AS2277" s="30">
        <f t="shared" si="338"/>
        <v>0</v>
      </c>
      <c r="AT2277" s="30" t="e">
        <f t="shared" si="339"/>
        <v>#DIV/0!</v>
      </c>
      <c r="AU2277" s="1">
        <f t="shared" si="340"/>
        <v>0</v>
      </c>
      <c r="AV2277" s="1" t="e">
        <f t="shared" si="341"/>
        <v>#DIV/0!</v>
      </c>
      <c r="AW2277" s="1">
        <f t="shared" si="342"/>
        <v>0</v>
      </c>
    </row>
    <row r="2278" spans="3:49" ht="14.25" customHeight="1">
      <c r="C2278" s="245"/>
      <c r="D2278" s="245"/>
      <c r="E2278" s="284"/>
      <c r="F2278" s="245"/>
      <c r="G2278" s="249"/>
      <c r="H2278" s="279"/>
      <c r="I2278" s="284"/>
      <c r="J2278" s="245"/>
      <c r="K2278" s="249"/>
      <c r="L2278" s="279"/>
      <c r="M2278" s="284"/>
      <c r="N2278" s="245"/>
      <c r="O2278" s="249"/>
      <c r="P2278" s="279"/>
      <c r="Q2278" s="284"/>
      <c r="R2278" s="245"/>
      <c r="S2278" s="249"/>
      <c r="T2278" s="279"/>
      <c r="U2278" s="284"/>
      <c r="V2278" s="245"/>
      <c r="W2278" s="249"/>
      <c r="X2278" s="279"/>
      <c r="Y2278" s="279"/>
      <c r="Z2278" s="279"/>
      <c r="AA2278" s="279"/>
      <c r="AB2278" s="279"/>
      <c r="AM2278" s="1">
        <f t="shared" si="332"/>
        <v>0</v>
      </c>
      <c r="AN2278" s="30" t="e">
        <f t="shared" si="333"/>
        <v>#DIV/0!</v>
      </c>
      <c r="AO2278" s="30">
        <f t="shared" si="334"/>
        <v>0</v>
      </c>
      <c r="AP2278" s="30" t="e">
        <f t="shared" si="335"/>
        <v>#DIV/0!</v>
      </c>
      <c r="AQ2278" s="30">
        <f t="shared" si="336"/>
        <v>0</v>
      </c>
      <c r="AR2278" s="30" t="e">
        <f t="shared" si="337"/>
        <v>#DIV/0!</v>
      </c>
      <c r="AS2278" s="30">
        <f t="shared" si="338"/>
        <v>0</v>
      </c>
      <c r="AT2278" s="30" t="e">
        <f t="shared" si="339"/>
        <v>#DIV/0!</v>
      </c>
      <c r="AU2278" s="1">
        <f t="shared" si="340"/>
        <v>0</v>
      </c>
      <c r="AV2278" s="1" t="e">
        <f t="shared" si="341"/>
        <v>#DIV/0!</v>
      </c>
      <c r="AW2278" s="1">
        <f t="shared" si="342"/>
        <v>0</v>
      </c>
    </row>
    <row r="2279" spans="3:49" ht="14.25" customHeight="1">
      <c r="C2279" s="245"/>
      <c r="D2279" s="245"/>
      <c r="E2279" s="284"/>
      <c r="F2279" s="245"/>
      <c r="G2279" s="249"/>
      <c r="H2279" s="279"/>
      <c r="I2279" s="284"/>
      <c r="J2279" s="245"/>
      <c r="K2279" s="249"/>
      <c r="L2279" s="279"/>
      <c r="M2279" s="284"/>
      <c r="N2279" s="245"/>
      <c r="O2279" s="249"/>
      <c r="P2279" s="279"/>
      <c r="Q2279" s="284"/>
      <c r="R2279" s="245"/>
      <c r="S2279" s="249"/>
      <c r="T2279" s="279"/>
      <c r="U2279" s="284"/>
      <c r="V2279" s="245"/>
      <c r="W2279" s="249"/>
      <c r="X2279" s="279"/>
      <c r="Y2279" s="279"/>
      <c r="Z2279" s="279"/>
      <c r="AA2279" s="279"/>
      <c r="AB2279" s="279"/>
      <c r="AM2279" s="1">
        <f t="shared" si="332"/>
        <v>0</v>
      </c>
      <c r="AN2279" s="30" t="e">
        <f t="shared" si="333"/>
        <v>#DIV/0!</v>
      </c>
      <c r="AO2279" s="30">
        <f t="shared" si="334"/>
        <v>0</v>
      </c>
      <c r="AP2279" s="30" t="e">
        <f t="shared" si="335"/>
        <v>#DIV/0!</v>
      </c>
      <c r="AQ2279" s="30">
        <f t="shared" si="336"/>
        <v>0</v>
      </c>
      <c r="AR2279" s="30" t="e">
        <f t="shared" si="337"/>
        <v>#DIV/0!</v>
      </c>
      <c r="AS2279" s="30">
        <f t="shared" si="338"/>
        <v>0</v>
      </c>
      <c r="AT2279" s="30" t="e">
        <f t="shared" si="339"/>
        <v>#DIV/0!</v>
      </c>
      <c r="AU2279" s="1">
        <f t="shared" si="340"/>
        <v>0</v>
      </c>
      <c r="AV2279" s="1" t="e">
        <f t="shared" si="341"/>
        <v>#DIV/0!</v>
      </c>
      <c r="AW2279" s="1">
        <f t="shared" si="342"/>
        <v>0</v>
      </c>
    </row>
    <row r="2280" spans="3:49" ht="14.25" customHeight="1">
      <c r="C2280" s="245"/>
      <c r="D2280" s="245"/>
      <c r="E2280" s="284"/>
      <c r="F2280" s="245"/>
      <c r="G2280" s="249"/>
      <c r="H2280" s="279"/>
      <c r="I2280" s="284"/>
      <c r="J2280" s="245"/>
      <c r="K2280" s="249"/>
      <c r="L2280" s="279"/>
      <c r="M2280" s="284"/>
      <c r="N2280" s="245"/>
      <c r="O2280" s="249"/>
      <c r="P2280" s="279"/>
      <c r="Q2280" s="284"/>
      <c r="R2280" s="245"/>
      <c r="S2280" s="249"/>
      <c r="T2280" s="279"/>
      <c r="U2280" s="284"/>
      <c r="V2280" s="245"/>
      <c r="W2280" s="249"/>
      <c r="X2280" s="279"/>
      <c r="Y2280" s="279"/>
      <c r="Z2280" s="279"/>
      <c r="AA2280" s="279"/>
      <c r="AB2280" s="279"/>
    </row>
    <row r="2281" spans="3:49" ht="14.25" customHeight="1">
      <c r="C2281" s="245"/>
      <c r="D2281" s="245"/>
      <c r="E2281" s="284"/>
      <c r="F2281" s="245"/>
      <c r="G2281" s="249"/>
      <c r="H2281" s="279"/>
      <c r="I2281" s="284"/>
      <c r="J2281" s="245"/>
      <c r="K2281" s="249"/>
      <c r="L2281" s="279"/>
      <c r="M2281" s="284"/>
      <c r="N2281" s="245"/>
      <c r="O2281" s="249"/>
      <c r="P2281" s="279"/>
      <c r="Q2281" s="284"/>
      <c r="R2281" s="245"/>
      <c r="S2281" s="249"/>
      <c r="T2281" s="279"/>
      <c r="U2281" s="284"/>
      <c r="V2281" s="245"/>
      <c r="W2281" s="249"/>
      <c r="X2281" s="279"/>
      <c r="Y2281" s="279"/>
      <c r="Z2281" s="279"/>
      <c r="AA2281" s="279"/>
      <c r="AB2281" s="279"/>
    </row>
    <row r="2282" spans="3:49" ht="14.25" customHeight="1">
      <c r="C2282" s="245"/>
      <c r="D2282" s="245"/>
      <c r="E2282" s="284"/>
      <c r="F2282" s="245"/>
      <c r="G2282" s="249"/>
      <c r="H2282" s="279"/>
      <c r="I2282" s="284"/>
      <c r="J2282" s="245"/>
      <c r="K2282" s="249"/>
      <c r="L2282" s="279"/>
      <c r="M2282" s="284"/>
      <c r="N2282" s="245"/>
      <c r="O2282" s="249"/>
      <c r="P2282" s="279"/>
      <c r="Q2282" s="284"/>
      <c r="R2282" s="245"/>
      <c r="S2282" s="249"/>
      <c r="T2282" s="279"/>
      <c r="U2282" s="284"/>
      <c r="V2282" s="245"/>
      <c r="W2282" s="249"/>
      <c r="X2282" s="279"/>
      <c r="Y2282" s="279"/>
      <c r="Z2282" s="279"/>
      <c r="AA2282" s="279"/>
      <c r="AB2282" s="279"/>
    </row>
    <row r="2283" spans="3:49" ht="14.25" customHeight="1">
      <c r="C2283" s="245"/>
      <c r="D2283" s="245"/>
      <c r="E2283" s="284"/>
      <c r="F2283" s="245"/>
      <c r="G2283" s="249"/>
      <c r="H2283" s="279"/>
      <c r="I2283" s="284"/>
      <c r="J2283" s="245"/>
      <c r="K2283" s="249"/>
      <c r="L2283" s="279"/>
      <c r="M2283" s="284"/>
      <c r="N2283" s="245"/>
      <c r="O2283" s="249"/>
      <c r="P2283" s="279"/>
      <c r="Q2283" s="284"/>
      <c r="R2283" s="245"/>
      <c r="S2283" s="249"/>
      <c r="T2283" s="279"/>
      <c r="U2283" s="284"/>
      <c r="V2283" s="245"/>
      <c r="W2283" s="249"/>
      <c r="X2283" s="279"/>
      <c r="Y2283" s="279"/>
      <c r="Z2283" s="279"/>
      <c r="AA2283" s="279"/>
      <c r="AB2283" s="279"/>
    </row>
    <row r="2284" spans="3:49" ht="14.25" customHeight="1">
      <c r="C2284" s="245"/>
      <c r="D2284" s="245"/>
      <c r="E2284" s="284"/>
      <c r="F2284" s="245"/>
      <c r="G2284" s="249"/>
      <c r="H2284" s="279"/>
      <c r="I2284" s="284"/>
      <c r="J2284" s="245"/>
      <c r="K2284" s="249"/>
      <c r="L2284" s="279"/>
      <c r="M2284" s="284"/>
      <c r="N2284" s="245"/>
      <c r="O2284" s="249"/>
      <c r="P2284" s="279"/>
      <c r="Q2284" s="284"/>
      <c r="R2284" s="245"/>
      <c r="S2284" s="249"/>
      <c r="T2284" s="279"/>
      <c r="U2284" s="284"/>
      <c r="V2284" s="245"/>
      <c r="W2284" s="249"/>
      <c r="X2284" s="279"/>
      <c r="Y2284" s="279"/>
      <c r="Z2284" s="279"/>
      <c r="AA2284" s="279"/>
      <c r="AB2284" s="279"/>
    </row>
    <row r="2285" spans="3:49" ht="14.25" customHeight="1">
      <c r="C2285" s="245"/>
      <c r="D2285" s="245"/>
      <c r="E2285" s="284"/>
      <c r="F2285" s="245"/>
      <c r="G2285" s="249"/>
      <c r="H2285" s="279"/>
      <c r="I2285" s="284"/>
      <c r="J2285" s="245"/>
      <c r="K2285" s="249"/>
      <c r="L2285" s="279"/>
      <c r="M2285" s="284"/>
      <c r="N2285" s="245"/>
      <c r="O2285" s="249"/>
      <c r="P2285" s="279"/>
      <c r="Q2285" s="284"/>
      <c r="R2285" s="245"/>
      <c r="S2285" s="249"/>
      <c r="T2285" s="279"/>
      <c r="U2285" s="284"/>
      <c r="V2285" s="245"/>
      <c r="W2285" s="249"/>
      <c r="X2285" s="279"/>
      <c r="Y2285" s="279"/>
      <c r="Z2285" s="279"/>
      <c r="AA2285" s="279"/>
      <c r="AB2285" s="279"/>
    </row>
    <row r="2286" spans="3:49" ht="14.25" customHeight="1">
      <c r="C2286" s="245"/>
      <c r="D2286" s="245"/>
      <c r="E2286" s="284"/>
      <c r="F2286" s="245"/>
      <c r="G2286" s="249"/>
      <c r="H2286" s="279"/>
      <c r="I2286" s="284"/>
      <c r="J2286" s="245"/>
      <c r="K2286" s="249"/>
      <c r="L2286" s="279"/>
      <c r="M2286" s="284"/>
      <c r="N2286" s="245"/>
      <c r="O2286" s="249"/>
      <c r="P2286" s="279"/>
      <c r="Q2286" s="284"/>
      <c r="R2286" s="245"/>
      <c r="S2286" s="249"/>
      <c r="T2286" s="279"/>
      <c r="U2286" s="284"/>
      <c r="V2286" s="245"/>
      <c r="W2286" s="249"/>
      <c r="X2286" s="279"/>
      <c r="Y2286" s="279"/>
      <c r="Z2286" s="279"/>
      <c r="AA2286" s="279"/>
      <c r="AB2286" s="279"/>
    </row>
    <row r="2287" spans="3:49" ht="14.25" customHeight="1">
      <c r="C2287" s="245"/>
      <c r="D2287" s="245"/>
      <c r="E2287" s="284"/>
      <c r="F2287" s="245"/>
      <c r="G2287" s="249"/>
      <c r="H2287" s="279"/>
      <c r="I2287" s="284"/>
      <c r="J2287" s="245"/>
      <c r="K2287" s="249"/>
      <c r="L2287" s="279"/>
      <c r="M2287" s="284"/>
      <c r="N2287" s="245"/>
      <c r="O2287" s="249"/>
      <c r="P2287" s="279"/>
      <c r="Q2287" s="284"/>
      <c r="R2287" s="245"/>
      <c r="S2287" s="249"/>
      <c r="T2287" s="279"/>
      <c r="U2287" s="284"/>
      <c r="V2287" s="245"/>
      <c r="W2287" s="249"/>
      <c r="X2287" s="279"/>
      <c r="Y2287" s="279"/>
      <c r="Z2287" s="279"/>
      <c r="AA2287" s="279"/>
      <c r="AB2287" s="279"/>
    </row>
    <row r="2288" spans="3:49" ht="14.25" customHeight="1">
      <c r="C2288" s="245"/>
      <c r="D2288" s="245"/>
      <c r="E2288" s="284"/>
      <c r="F2288" s="245"/>
      <c r="G2288" s="249"/>
      <c r="H2288" s="279"/>
      <c r="I2288" s="284"/>
      <c r="J2288" s="245"/>
      <c r="K2288" s="249"/>
      <c r="L2288" s="279"/>
      <c r="M2288" s="284"/>
      <c r="N2288" s="245"/>
      <c r="O2288" s="249"/>
      <c r="P2288" s="279"/>
      <c r="Q2288" s="284"/>
      <c r="R2288" s="245"/>
      <c r="S2288" s="249"/>
      <c r="T2288" s="279"/>
      <c r="U2288" s="284"/>
      <c r="V2288" s="245"/>
      <c r="W2288" s="249"/>
      <c r="X2288" s="279"/>
      <c r="Y2288" s="279"/>
      <c r="Z2288" s="279"/>
      <c r="AA2288" s="279"/>
      <c r="AB2288" s="279"/>
    </row>
    <row r="2289" spans="3:28" ht="14.25" customHeight="1">
      <c r="C2289" s="245"/>
      <c r="D2289" s="245"/>
      <c r="E2289" s="284"/>
      <c r="F2289" s="245"/>
      <c r="G2289" s="249"/>
      <c r="H2289" s="279"/>
      <c r="I2289" s="284"/>
      <c r="J2289" s="245"/>
      <c r="K2289" s="249"/>
      <c r="L2289" s="279"/>
      <c r="M2289" s="284"/>
      <c r="N2289" s="245"/>
      <c r="O2289" s="249"/>
      <c r="P2289" s="279"/>
      <c r="Q2289" s="284"/>
      <c r="R2289" s="245"/>
      <c r="S2289" s="249"/>
      <c r="T2289" s="279"/>
      <c r="U2289" s="284"/>
      <c r="V2289" s="245"/>
      <c r="W2289" s="249"/>
      <c r="X2289" s="279"/>
      <c r="Y2289" s="279"/>
      <c r="Z2289" s="279"/>
      <c r="AA2289" s="279"/>
      <c r="AB2289" s="279"/>
    </row>
    <row r="2290" spans="3:28" ht="14.25" customHeight="1">
      <c r="C2290" s="245"/>
      <c r="D2290" s="245"/>
      <c r="E2290" s="284"/>
      <c r="F2290" s="245"/>
      <c r="G2290" s="249"/>
      <c r="H2290" s="279"/>
      <c r="I2290" s="284"/>
      <c r="J2290" s="245"/>
      <c r="K2290" s="249"/>
      <c r="L2290" s="279"/>
      <c r="M2290" s="284"/>
      <c r="N2290" s="245"/>
      <c r="O2290" s="249"/>
      <c r="P2290" s="279"/>
      <c r="Q2290" s="284"/>
      <c r="R2290" s="245"/>
      <c r="S2290" s="249"/>
      <c r="T2290" s="279"/>
      <c r="U2290" s="284"/>
      <c r="V2290" s="245"/>
      <c r="W2290" s="249"/>
      <c r="X2290" s="279"/>
      <c r="Y2290" s="279"/>
      <c r="Z2290" s="279"/>
      <c r="AA2290" s="279"/>
      <c r="AB2290" s="279"/>
    </row>
    <row r="2291" spans="3:28" ht="14.25" customHeight="1">
      <c r="C2291" s="245"/>
      <c r="D2291" s="245"/>
      <c r="E2291" s="284"/>
      <c r="F2291" s="245"/>
      <c r="G2291" s="249"/>
      <c r="H2291" s="279"/>
      <c r="I2291" s="284"/>
      <c r="J2291" s="245"/>
      <c r="K2291" s="249"/>
      <c r="L2291" s="279"/>
      <c r="M2291" s="284"/>
      <c r="N2291" s="245"/>
      <c r="O2291" s="249"/>
      <c r="P2291" s="279"/>
      <c r="Q2291" s="284"/>
      <c r="R2291" s="245"/>
      <c r="S2291" s="249"/>
      <c r="T2291" s="279"/>
      <c r="U2291" s="284"/>
      <c r="V2291" s="245"/>
      <c r="W2291" s="249"/>
      <c r="X2291" s="279"/>
      <c r="Y2291" s="279"/>
      <c r="Z2291" s="279"/>
      <c r="AA2291" s="279"/>
      <c r="AB2291" s="279"/>
    </row>
    <row r="2292" spans="3:28" ht="14.25" customHeight="1">
      <c r="C2292" s="245"/>
      <c r="D2292" s="245"/>
      <c r="E2292" s="284"/>
      <c r="F2292" s="245"/>
      <c r="G2292" s="249"/>
      <c r="H2292" s="279"/>
      <c r="I2292" s="284"/>
      <c r="J2292" s="245"/>
      <c r="K2292" s="249"/>
      <c r="L2292" s="279"/>
      <c r="M2292" s="284"/>
      <c r="N2292" s="245"/>
      <c r="O2292" s="249"/>
      <c r="P2292" s="279"/>
      <c r="Q2292" s="284"/>
      <c r="R2292" s="245"/>
      <c r="S2292" s="249"/>
      <c r="T2292" s="279"/>
      <c r="U2292" s="284"/>
      <c r="V2292" s="245"/>
      <c r="W2292" s="249"/>
      <c r="X2292" s="279"/>
      <c r="Y2292" s="279"/>
      <c r="Z2292" s="279"/>
      <c r="AA2292" s="279"/>
      <c r="AB2292" s="279"/>
    </row>
    <row r="2293" spans="3:28" ht="14.25" customHeight="1">
      <c r="C2293" s="245"/>
      <c r="D2293" s="245"/>
      <c r="E2293" s="284"/>
      <c r="F2293" s="245"/>
      <c r="G2293" s="249"/>
      <c r="H2293" s="279"/>
      <c r="I2293" s="284"/>
      <c r="J2293" s="245"/>
      <c r="K2293" s="249"/>
      <c r="L2293" s="279"/>
      <c r="M2293" s="284"/>
      <c r="N2293" s="245"/>
      <c r="O2293" s="249"/>
      <c r="P2293" s="279"/>
      <c r="Q2293" s="284"/>
      <c r="R2293" s="245"/>
      <c r="S2293" s="249"/>
      <c r="T2293" s="279"/>
      <c r="U2293" s="284"/>
      <c r="V2293" s="245"/>
      <c r="W2293" s="249"/>
      <c r="X2293" s="279"/>
      <c r="Y2293" s="279"/>
      <c r="Z2293" s="279"/>
      <c r="AA2293" s="279"/>
      <c r="AB2293" s="279"/>
    </row>
    <row r="2294" spans="3:28" ht="14.25" customHeight="1">
      <c r="C2294" s="245"/>
      <c r="D2294" s="245"/>
      <c r="E2294" s="284"/>
      <c r="F2294" s="245"/>
      <c r="G2294" s="249"/>
      <c r="H2294" s="279"/>
      <c r="I2294" s="284"/>
      <c r="J2294" s="245"/>
      <c r="K2294" s="249"/>
      <c r="L2294" s="279"/>
      <c r="M2294" s="284"/>
      <c r="N2294" s="245"/>
      <c r="O2294" s="249"/>
      <c r="P2294" s="279"/>
      <c r="Q2294" s="284"/>
      <c r="R2294" s="245"/>
      <c r="S2294" s="249"/>
      <c r="T2294" s="279"/>
      <c r="U2294" s="284"/>
      <c r="V2294" s="245"/>
      <c r="W2294" s="249"/>
      <c r="X2294" s="279"/>
      <c r="Y2294" s="279"/>
      <c r="Z2294" s="279"/>
      <c r="AA2294" s="279"/>
      <c r="AB2294" s="279"/>
    </row>
    <row r="2295" spans="3:28" ht="14.25" customHeight="1">
      <c r="C2295" s="245"/>
      <c r="D2295" s="245"/>
      <c r="E2295" s="284"/>
      <c r="F2295" s="245"/>
      <c r="G2295" s="249"/>
      <c r="H2295" s="279"/>
      <c r="I2295" s="284"/>
      <c r="J2295" s="245"/>
      <c r="K2295" s="249"/>
      <c r="L2295" s="279"/>
      <c r="M2295" s="284"/>
      <c r="N2295" s="245"/>
      <c r="O2295" s="249"/>
      <c r="P2295" s="279"/>
      <c r="Q2295" s="284"/>
      <c r="R2295" s="245"/>
      <c r="S2295" s="249"/>
      <c r="T2295" s="279"/>
      <c r="U2295" s="284"/>
      <c r="V2295" s="245"/>
      <c r="W2295" s="249"/>
      <c r="X2295" s="279"/>
      <c r="Y2295" s="279"/>
      <c r="Z2295" s="279"/>
      <c r="AA2295" s="279"/>
      <c r="AB2295" s="279"/>
    </row>
    <row r="2296" spans="3:28" ht="14.25" customHeight="1">
      <c r="C2296" s="245"/>
      <c r="D2296" s="245"/>
      <c r="E2296" s="284"/>
      <c r="F2296" s="245"/>
      <c r="G2296" s="249"/>
      <c r="H2296" s="279"/>
      <c r="I2296" s="284"/>
      <c r="J2296" s="245"/>
      <c r="K2296" s="249"/>
      <c r="L2296" s="279"/>
      <c r="M2296" s="284"/>
      <c r="N2296" s="245"/>
      <c r="O2296" s="249"/>
      <c r="P2296" s="279"/>
      <c r="Q2296" s="284"/>
      <c r="R2296" s="245"/>
      <c r="S2296" s="249"/>
      <c r="T2296" s="279"/>
      <c r="U2296" s="284"/>
      <c r="V2296" s="245"/>
      <c r="W2296" s="249"/>
      <c r="X2296" s="279"/>
      <c r="Y2296" s="279"/>
      <c r="Z2296" s="279"/>
      <c r="AA2296" s="279"/>
      <c r="AB2296" s="279"/>
    </row>
    <row r="2297" spans="3:28" ht="14.25" customHeight="1">
      <c r="C2297" s="245"/>
      <c r="D2297" s="245"/>
      <c r="E2297" s="284"/>
      <c r="F2297" s="245"/>
      <c r="G2297" s="249"/>
      <c r="H2297" s="279"/>
      <c r="I2297" s="284"/>
      <c r="J2297" s="245"/>
      <c r="K2297" s="249"/>
      <c r="L2297" s="279"/>
      <c r="M2297" s="284"/>
      <c r="N2297" s="245"/>
      <c r="O2297" s="249"/>
      <c r="P2297" s="279"/>
      <c r="Q2297" s="284"/>
      <c r="R2297" s="245"/>
      <c r="S2297" s="249"/>
      <c r="T2297" s="279"/>
      <c r="U2297" s="284"/>
      <c r="V2297" s="245"/>
      <c r="W2297" s="249"/>
      <c r="X2297" s="279"/>
      <c r="Y2297" s="279"/>
      <c r="Z2297" s="279"/>
      <c r="AA2297" s="279"/>
      <c r="AB2297" s="279"/>
    </row>
    <row r="2298" spans="3:28" ht="14.25" customHeight="1">
      <c r="C2298" s="245"/>
      <c r="D2298" s="245"/>
      <c r="E2298" s="284"/>
      <c r="F2298" s="245"/>
      <c r="G2298" s="249"/>
      <c r="H2298" s="279"/>
      <c r="I2298" s="284"/>
      <c r="J2298" s="245"/>
      <c r="K2298" s="249"/>
      <c r="L2298" s="279"/>
      <c r="M2298" s="284"/>
      <c r="N2298" s="245"/>
      <c r="O2298" s="249"/>
      <c r="P2298" s="279"/>
      <c r="Q2298" s="284"/>
      <c r="R2298" s="245"/>
      <c r="S2298" s="249"/>
      <c r="T2298" s="279"/>
      <c r="U2298" s="284"/>
      <c r="V2298" s="245"/>
      <c r="W2298" s="249"/>
      <c r="X2298" s="279"/>
      <c r="Y2298" s="279"/>
      <c r="Z2298" s="279"/>
      <c r="AA2298" s="279"/>
      <c r="AB2298" s="279"/>
    </row>
    <row r="2299" spans="3:28" ht="14.25" customHeight="1">
      <c r="C2299" s="245"/>
      <c r="D2299" s="245"/>
      <c r="E2299" s="284"/>
      <c r="F2299" s="245"/>
      <c r="G2299" s="249"/>
      <c r="H2299" s="279"/>
      <c r="I2299" s="284"/>
      <c r="J2299" s="245"/>
      <c r="K2299" s="249"/>
      <c r="L2299" s="279"/>
      <c r="M2299" s="284"/>
      <c r="N2299" s="245"/>
      <c r="O2299" s="249"/>
      <c r="P2299" s="279"/>
      <c r="Q2299" s="284"/>
      <c r="R2299" s="245"/>
      <c r="S2299" s="249"/>
      <c r="T2299" s="279"/>
      <c r="U2299" s="284"/>
      <c r="V2299" s="245"/>
      <c r="W2299" s="249"/>
      <c r="X2299" s="279"/>
      <c r="Y2299" s="279"/>
      <c r="Z2299" s="279"/>
      <c r="AA2299" s="279"/>
      <c r="AB2299" s="279"/>
    </row>
    <row r="2300" spans="3:28" ht="14.25" customHeight="1">
      <c r="C2300" s="245"/>
      <c r="D2300" s="245"/>
      <c r="E2300" s="284"/>
      <c r="F2300" s="245"/>
      <c r="G2300" s="249"/>
      <c r="H2300" s="279"/>
      <c r="I2300" s="284"/>
      <c r="J2300" s="245"/>
      <c r="K2300" s="249"/>
      <c r="L2300" s="279"/>
      <c r="M2300" s="284"/>
      <c r="N2300" s="245"/>
      <c r="O2300" s="249"/>
      <c r="P2300" s="279"/>
      <c r="Q2300" s="284"/>
      <c r="R2300" s="245"/>
      <c r="S2300" s="249"/>
      <c r="T2300" s="279"/>
      <c r="U2300" s="284"/>
      <c r="V2300" s="245"/>
      <c r="W2300" s="249"/>
      <c r="X2300" s="279"/>
      <c r="Y2300" s="279"/>
      <c r="Z2300" s="279"/>
      <c r="AA2300" s="279"/>
      <c r="AB2300" s="279"/>
    </row>
    <row r="2301" spans="3:28" ht="14.25" customHeight="1">
      <c r="C2301" s="245"/>
      <c r="D2301" s="245"/>
      <c r="E2301" s="284"/>
      <c r="F2301" s="245"/>
      <c r="G2301" s="249"/>
      <c r="H2301" s="279"/>
      <c r="I2301" s="284"/>
      <c r="J2301" s="245"/>
      <c r="K2301" s="249"/>
      <c r="L2301" s="279"/>
      <c r="M2301" s="284"/>
      <c r="N2301" s="245"/>
      <c r="O2301" s="249"/>
      <c r="P2301" s="279"/>
      <c r="Q2301" s="284"/>
      <c r="R2301" s="245"/>
      <c r="S2301" s="249"/>
      <c r="T2301" s="279"/>
      <c r="U2301" s="284"/>
      <c r="V2301" s="245"/>
      <c r="W2301" s="249"/>
      <c r="X2301" s="279"/>
      <c r="Y2301" s="279"/>
      <c r="Z2301" s="279"/>
      <c r="AA2301" s="279"/>
      <c r="AB2301" s="279"/>
    </row>
    <row r="2302" spans="3:28" ht="14.25" customHeight="1">
      <c r="C2302" s="245"/>
      <c r="D2302" s="245"/>
      <c r="E2302" s="284"/>
      <c r="F2302" s="245"/>
      <c r="G2302" s="249"/>
      <c r="H2302" s="279"/>
      <c r="I2302" s="284"/>
      <c r="J2302" s="245"/>
      <c r="K2302" s="249"/>
      <c r="L2302" s="279"/>
      <c r="M2302" s="284"/>
      <c r="N2302" s="245"/>
      <c r="O2302" s="249"/>
      <c r="P2302" s="279"/>
      <c r="Q2302" s="284"/>
      <c r="R2302" s="245"/>
      <c r="S2302" s="249"/>
      <c r="T2302" s="279"/>
      <c r="U2302" s="284"/>
      <c r="V2302" s="245"/>
      <c r="W2302" s="249"/>
      <c r="X2302" s="279"/>
      <c r="Y2302" s="279"/>
      <c r="Z2302" s="279"/>
      <c r="AA2302" s="279"/>
      <c r="AB2302" s="279"/>
    </row>
    <row r="2303" spans="3:28" ht="14.25" customHeight="1">
      <c r="C2303" s="245"/>
      <c r="D2303" s="245"/>
      <c r="E2303" s="284"/>
      <c r="F2303" s="245"/>
      <c r="G2303" s="249"/>
      <c r="H2303" s="279"/>
      <c r="I2303" s="284"/>
      <c r="J2303" s="245"/>
      <c r="K2303" s="249"/>
      <c r="L2303" s="279"/>
      <c r="M2303" s="284"/>
      <c r="N2303" s="245"/>
      <c r="O2303" s="249"/>
      <c r="P2303" s="279"/>
      <c r="Q2303" s="284"/>
      <c r="R2303" s="245"/>
      <c r="S2303" s="249"/>
      <c r="T2303" s="279"/>
      <c r="U2303" s="284"/>
      <c r="V2303" s="245"/>
      <c r="W2303" s="249"/>
      <c r="X2303" s="279"/>
      <c r="Y2303" s="279"/>
      <c r="Z2303" s="279"/>
      <c r="AA2303" s="279"/>
      <c r="AB2303" s="279"/>
    </row>
    <row r="2304" spans="3:28" ht="14.25" customHeight="1">
      <c r="C2304" s="245"/>
      <c r="D2304" s="245"/>
      <c r="E2304" s="284"/>
      <c r="F2304" s="245"/>
      <c r="G2304" s="249"/>
      <c r="H2304" s="279"/>
      <c r="I2304" s="284"/>
      <c r="J2304" s="245"/>
      <c r="K2304" s="249"/>
      <c r="L2304" s="279"/>
      <c r="M2304" s="284"/>
      <c r="N2304" s="245"/>
      <c r="O2304" s="249"/>
      <c r="P2304" s="279"/>
      <c r="Q2304" s="284"/>
      <c r="R2304" s="245"/>
      <c r="S2304" s="249"/>
      <c r="T2304" s="279"/>
      <c r="U2304" s="284"/>
      <c r="V2304" s="245"/>
      <c r="W2304" s="249"/>
      <c r="X2304" s="279"/>
      <c r="Y2304" s="279"/>
      <c r="Z2304" s="279"/>
      <c r="AA2304" s="279"/>
      <c r="AB2304" s="279"/>
    </row>
    <row r="2305" spans="1:49" ht="14.25" customHeight="1">
      <c r="C2305" s="245"/>
      <c r="D2305" s="245"/>
      <c r="E2305" s="284"/>
      <c r="F2305" s="245"/>
      <c r="G2305" s="249"/>
      <c r="H2305" s="279"/>
      <c r="I2305" s="284"/>
      <c r="J2305" s="245"/>
      <c r="K2305" s="249"/>
      <c r="L2305" s="279"/>
      <c r="M2305" s="249"/>
      <c r="N2305" s="207"/>
      <c r="O2305" s="249"/>
      <c r="P2305" s="279"/>
      <c r="Q2305" s="249"/>
      <c r="R2305" s="207"/>
      <c r="S2305" s="249"/>
      <c r="T2305" s="279"/>
      <c r="U2305" s="57"/>
      <c r="V2305" s="57"/>
      <c r="W2305" s="249"/>
      <c r="X2305" s="279"/>
      <c r="Y2305" s="279"/>
      <c r="Z2305" s="279"/>
      <c r="AA2305" s="279"/>
      <c r="AB2305" s="279"/>
    </row>
    <row r="2306" spans="1:49" ht="14.25" customHeight="1">
      <c r="C2306" s="245"/>
      <c r="D2306" s="245"/>
      <c r="E2306" s="249"/>
      <c r="F2306" s="207"/>
      <c r="G2306" s="249"/>
      <c r="H2306" s="279"/>
      <c r="I2306" s="249"/>
      <c r="J2306" s="207"/>
      <c r="K2306" s="249"/>
      <c r="L2306" s="279"/>
      <c r="M2306" s="249"/>
      <c r="N2306" s="207"/>
      <c r="O2306" s="249"/>
      <c r="P2306" s="279"/>
      <c r="Q2306" s="249"/>
      <c r="R2306" s="207"/>
      <c r="S2306" s="249"/>
      <c r="T2306" s="279"/>
      <c r="U2306" s="249"/>
      <c r="V2306" s="57"/>
      <c r="W2306" s="249"/>
      <c r="X2306" s="279"/>
      <c r="Y2306" s="279"/>
      <c r="Z2306" s="279"/>
      <c r="AA2306" s="279"/>
      <c r="AB2306" s="279"/>
    </row>
    <row r="2307" spans="1:49" ht="14.25" customHeight="1">
      <c r="C2307" s="245"/>
      <c r="D2307" s="245"/>
      <c r="E2307" s="249"/>
      <c r="F2307" s="207"/>
      <c r="G2307" s="249"/>
      <c r="H2307" s="279"/>
      <c r="I2307" s="249"/>
      <c r="J2307" s="207"/>
      <c r="K2307" s="249"/>
      <c r="L2307" s="279"/>
      <c r="M2307" s="249"/>
      <c r="N2307" s="251"/>
      <c r="O2307" s="249"/>
      <c r="P2307" s="279"/>
      <c r="Q2307" s="249"/>
      <c r="R2307" s="251"/>
      <c r="S2307" s="249"/>
      <c r="T2307" s="279"/>
      <c r="U2307" s="249"/>
      <c r="V2307" s="57"/>
      <c r="W2307" s="249"/>
      <c r="X2307" s="279"/>
      <c r="Y2307" s="279"/>
      <c r="Z2307" s="279"/>
      <c r="AA2307" s="279"/>
      <c r="AB2307" s="279"/>
    </row>
    <row r="2308" spans="1:49" ht="14.25" customHeight="1">
      <c r="C2308" s="245"/>
      <c r="D2308" s="245"/>
      <c r="E2308" s="249"/>
      <c r="F2308" s="245"/>
      <c r="G2308" s="249"/>
      <c r="H2308" s="279"/>
      <c r="I2308" s="249"/>
      <c r="J2308" s="245"/>
      <c r="K2308" s="249"/>
      <c r="L2308" s="279"/>
      <c r="M2308" s="252"/>
      <c r="N2308" s="251"/>
      <c r="O2308" s="249"/>
      <c r="P2308" s="279"/>
      <c r="Q2308" s="252"/>
      <c r="R2308" s="251"/>
      <c r="S2308" s="249"/>
      <c r="T2308" s="279"/>
      <c r="U2308" s="57"/>
      <c r="V2308" s="57"/>
      <c r="W2308" s="249"/>
      <c r="X2308" s="279"/>
      <c r="Y2308" s="279"/>
      <c r="Z2308" s="279"/>
      <c r="AA2308" s="279"/>
      <c r="AB2308" s="279"/>
    </row>
    <row r="2309" spans="1:49" ht="14.25" customHeight="1">
      <c r="C2309" s="245"/>
      <c r="D2309" s="245"/>
      <c r="E2309" s="249"/>
      <c r="F2309" s="245"/>
      <c r="G2309" s="249"/>
      <c r="H2309" s="279"/>
      <c r="I2309" s="248"/>
      <c r="J2309" s="245"/>
      <c r="K2309" s="249"/>
      <c r="L2309" s="279"/>
      <c r="M2309" s="252"/>
      <c r="N2309" s="251"/>
      <c r="O2309" s="249"/>
      <c r="P2309" s="279"/>
      <c r="Q2309" s="252"/>
      <c r="R2309" s="251"/>
      <c r="S2309" s="249"/>
      <c r="T2309" s="279"/>
      <c r="U2309" s="57"/>
      <c r="V2309" s="57"/>
      <c r="W2309" s="249"/>
      <c r="X2309" s="279"/>
      <c r="Y2309" s="279"/>
      <c r="Z2309" s="279"/>
      <c r="AA2309" s="279"/>
      <c r="AB2309" s="279"/>
    </row>
    <row r="2310" spans="1:49" ht="14.25" customHeight="1">
      <c r="C2310" s="245"/>
      <c r="D2310" s="245"/>
      <c r="E2310" s="249"/>
      <c r="F2310" s="245"/>
      <c r="G2310" s="249"/>
      <c r="H2310" s="279"/>
      <c r="I2310" s="248"/>
      <c r="J2310" s="245"/>
      <c r="K2310" s="249"/>
      <c r="L2310" s="279"/>
      <c r="M2310" s="252"/>
      <c r="N2310" s="251"/>
      <c r="O2310" s="249"/>
      <c r="P2310" s="279"/>
      <c r="Q2310" s="252"/>
      <c r="R2310" s="251"/>
      <c r="S2310" s="249"/>
      <c r="T2310" s="279"/>
      <c r="U2310" s="57"/>
      <c r="V2310" s="57"/>
      <c r="W2310" s="249"/>
      <c r="X2310" s="279"/>
      <c r="Y2310" s="279"/>
      <c r="Z2310" s="279"/>
      <c r="AA2310" s="279"/>
      <c r="AB2310" s="279"/>
    </row>
    <row r="2311" spans="1:49" ht="14.25" customHeight="1">
      <c r="C2311" s="245"/>
      <c r="D2311" s="245"/>
      <c r="E2311" s="249"/>
      <c r="F2311" s="245"/>
      <c r="G2311" s="249"/>
      <c r="H2311" s="279"/>
      <c r="I2311" s="248"/>
      <c r="J2311" s="245"/>
      <c r="K2311" s="249"/>
      <c r="L2311" s="250"/>
      <c r="M2311" s="252"/>
      <c r="N2311" s="251"/>
      <c r="O2311" s="249"/>
      <c r="P2311" s="250"/>
      <c r="Q2311" s="252"/>
      <c r="R2311" s="251"/>
      <c r="S2311" s="249"/>
      <c r="T2311" s="251"/>
      <c r="U2311" s="57"/>
      <c r="V2311" s="57"/>
      <c r="W2311" s="249"/>
    </row>
    <row r="2312" spans="1:49" ht="14.25" customHeight="1">
      <c r="C2312" s="245"/>
      <c r="D2312" s="245"/>
      <c r="E2312" s="58"/>
      <c r="F2312" s="58"/>
      <c r="G2312" s="58"/>
      <c r="H2312" s="58"/>
      <c r="I2312" s="58"/>
      <c r="J2312" s="58"/>
      <c r="K2312" s="58"/>
      <c r="L2312" s="58"/>
      <c r="M2312" s="58"/>
      <c r="N2312" s="58"/>
      <c r="O2312" s="58"/>
      <c r="P2312" s="58"/>
      <c r="Q2312" s="58"/>
      <c r="R2312" s="58"/>
      <c r="S2312" s="58"/>
      <c r="T2312" s="58"/>
      <c r="U2312" s="58"/>
      <c r="V2312" s="58">
        <f t="shared" ref="V2312" si="343">V2321/100*40</f>
        <v>2520</v>
      </c>
      <c r="W2312" s="249"/>
    </row>
    <row r="2313" spans="1:49" s="8" customFormat="1">
      <c r="B2313" s="493" t="str">
        <f>TITLE!$C$44</f>
        <v>Дверна коробка Verto-FIT Plus</v>
      </c>
      <c r="C2313" s="493"/>
      <c r="D2313" s="118"/>
      <c r="E2313" s="495" t="str">
        <f>IF($C$1="ENG","For Door Leafs with Rebbit","Для Дверних Полотен з Фальцем")</f>
        <v>Для Дверних Полотен з Фальцем</v>
      </c>
      <c r="F2313" s="495"/>
      <c r="G2313" s="495"/>
      <c r="H2313" s="495"/>
      <c r="I2313" s="495"/>
      <c r="J2313" s="495"/>
      <c r="K2313" s="495"/>
      <c r="L2313" s="496"/>
      <c r="M2313" s="496"/>
      <c r="N2313" s="496"/>
      <c r="O2313" s="496"/>
      <c r="P2313" s="496"/>
      <c r="Q2313" s="496"/>
      <c r="R2313" s="496"/>
      <c r="S2313" s="496"/>
      <c r="T2313" s="497" t="str">
        <f>IF($C$1="ENG",CONCATENATE("up to: ",B2241),CONCATENATE("вгору до: ",B2241))</f>
        <v>вгору до: Дверна коробка Verto-FIT</v>
      </c>
      <c r="U2313" s="497"/>
      <c r="V2313" s="497"/>
      <c r="W2313" s="497"/>
      <c r="AC2313" s="1"/>
      <c r="AD2313" s="1"/>
      <c r="AE2313" s="1"/>
      <c r="AF2313" s="1"/>
      <c r="AG2313" s="1"/>
      <c r="AH2313" s="1"/>
      <c r="AI2313" s="1"/>
      <c r="AJ2313" s="1"/>
      <c r="AK2313" s="1"/>
      <c r="AL2313" s="1"/>
      <c r="AN2313" s="280"/>
      <c r="AO2313" s="280"/>
      <c r="AP2313" s="280"/>
      <c r="AQ2313" s="280"/>
      <c r="AR2313" s="280"/>
      <c r="AS2313" s="280"/>
      <c r="AT2313" s="280"/>
    </row>
    <row r="2314" spans="1:49" s="8" customFormat="1" ht="5.0999999999999996" customHeight="1">
      <c r="C2314" s="424"/>
      <c r="T2314" s="116"/>
      <c r="U2314" s="116"/>
      <c r="V2314" s="116"/>
      <c r="W2314" s="116"/>
      <c r="AN2314" s="280"/>
      <c r="AO2314" s="280"/>
      <c r="AP2314" s="280"/>
      <c r="AQ2314" s="280"/>
      <c r="AR2314" s="280"/>
      <c r="AS2314" s="280"/>
      <c r="AT2314" s="280"/>
    </row>
    <row r="2315" spans="1:49" ht="12.75" customHeight="1">
      <c r="A2315" s="8"/>
      <c r="B2315" s="307" t="str">
        <f>IF($C$1="ENG","model","модель")</f>
        <v>модель</v>
      </c>
      <c r="C2315" s="122" t="str">
        <f>IF($C$1="ENG","cover:","покриття:")</f>
        <v>покриття:</v>
      </c>
      <c r="D2315" s="498" t="str">
        <f>IF($C$1="ENG","SIMPLEX / VERTO-CELL","SIMPLEX / VERTO-CELL")</f>
        <v>SIMPLEX / VERTO-CELL</v>
      </c>
      <c r="E2315" s="499"/>
      <c r="F2315" s="499"/>
      <c r="G2315" s="500"/>
      <c r="H2315" s="498" t="str">
        <f>IF($C$1="ENG","UNI-MAT","UNI-MAT")</f>
        <v>UNI-MAT</v>
      </c>
      <c r="I2315" s="499"/>
      <c r="J2315" s="499"/>
      <c r="K2315" s="500"/>
      <c r="L2315" s="498" t="str">
        <f>IF($C$1="ENG","RESIST","RESIST")</f>
        <v>RESIST</v>
      </c>
      <c r="M2315" s="499"/>
      <c r="N2315" s="499"/>
      <c r="O2315" s="500"/>
      <c r="P2315" s="498" t="str">
        <f>IF($C$1="ENG","Verto LINE-3D","Verto LINE-3D")</f>
        <v>Verto LINE-3D</v>
      </c>
      <c r="Q2315" s="499"/>
      <c r="R2315" s="499"/>
      <c r="S2315" s="500"/>
      <c r="T2315" s="498" t="str">
        <f>IF($C$1="ENG","ECO Shpon / LOFT","ЕКО Шпон / LOFT")</f>
        <v>ЕКО Шпон / LOFT</v>
      </c>
      <c r="U2315" s="499"/>
      <c r="V2315" s="499"/>
      <c r="W2315" s="500"/>
      <c r="AO2315" s="384"/>
    </row>
    <row r="2316" spans="1:49" ht="12.75" customHeight="1">
      <c r="A2316" s="8"/>
      <c r="B2316" s="309"/>
      <c r="C2316" s="124" t="str">
        <f>IF($C$1="ENG","type:","виконання:")</f>
        <v>виконання:</v>
      </c>
      <c r="D2316" s="489" t="str">
        <f>IF($C$1="ENG","single leaf","одностулкове")</f>
        <v>одностулкове</v>
      </c>
      <c r="E2316" s="490"/>
      <c r="F2316" s="518" t="str">
        <f>IF($C$1="ENG","double leaf","двостулкові")</f>
        <v>двостулкові</v>
      </c>
      <c r="G2316" s="492"/>
      <c r="H2316" s="489" t="str">
        <f>IF($C$1="ENG","single leaf","одностулкове")</f>
        <v>одностулкове</v>
      </c>
      <c r="I2316" s="490"/>
      <c r="J2316" s="518" t="str">
        <f>IF($C$1="ENG","double leaf","двостулкові")</f>
        <v>двостулкові</v>
      </c>
      <c r="K2316" s="492"/>
      <c r="L2316" s="489" t="str">
        <f>IF($C$1="ENG","single leaf","одностулкове")</f>
        <v>одностулкове</v>
      </c>
      <c r="M2316" s="490"/>
      <c r="N2316" s="491" t="str">
        <f>IF($C$1="ENG","double leaf","двостулкові")</f>
        <v>двостулкові</v>
      </c>
      <c r="O2316" s="492"/>
      <c r="P2316" s="489" t="str">
        <f>IF($C$1="ENG","single leaf","одностулкове")</f>
        <v>одностулкове</v>
      </c>
      <c r="Q2316" s="490"/>
      <c r="R2316" s="491" t="str">
        <f>IF($C$1="ENG","double leaf","двостулкові")</f>
        <v>двостулкові</v>
      </c>
      <c r="S2316" s="492"/>
      <c r="T2316" s="489" t="str">
        <f>IF($C$1="ENG","single leaf","одностулкове")</f>
        <v>одностулкове</v>
      </c>
      <c r="U2316" s="490"/>
      <c r="V2316" s="491" t="str">
        <f>IF($C$1="ENG","double leaf","двостулкові")</f>
        <v>двостулкові</v>
      </c>
      <c r="W2316" s="492"/>
    </row>
    <row r="2317" spans="1:49" ht="12.75" customHeight="1">
      <c r="A2317" s="8"/>
      <c r="B2317" s="13" t="str">
        <f>IF($C$1="ENG","A (75 - 95 mm)","A (75 - 95 мм)")</f>
        <v>A (75 - 95 мм)</v>
      </c>
      <c r="C2317" s="426"/>
      <c r="D2317" s="15">
        <f t="shared" ref="D2317:D2326" si="344">IF(AC2317="","",(1-$W$2)*(AC2317/1.2))</f>
        <v>2766.666666666667</v>
      </c>
      <c r="E2317" s="267">
        <f t="shared" ref="E2317:E2326" si="345">IF($W$5=0.2,D2317*1.2,D2317)/$W$4</f>
        <v>3320.0000000000005</v>
      </c>
      <c r="F2317" s="270">
        <f t="shared" ref="F2317:F2326" si="346">IF(AD2317="","",(1-$W$2)*(AD2317/1.2))</f>
        <v>3883.3333333333335</v>
      </c>
      <c r="G2317" s="64">
        <f t="shared" ref="G2317:G2326" si="347">IF($W$5=0.2,F2317*1.2,F2317)/$W$4</f>
        <v>4660</v>
      </c>
      <c r="H2317" s="15">
        <f t="shared" ref="H2317:H2326" si="348">IF(AE2317="","",(1-$W$2)*(AE2317/1.2))</f>
        <v>3183.3333333333335</v>
      </c>
      <c r="I2317" s="267">
        <f t="shared" ref="I2317:I2326" si="349">IF($W$5=0.2,H2317*1.2,H2317)/$W$4</f>
        <v>3820</v>
      </c>
      <c r="J2317" s="270">
        <f t="shared" ref="J2317:J2326" si="350">IF(AF2317="","",(1-$W$2)*(AF2317/1.2))</f>
        <v>4458.3333333333339</v>
      </c>
      <c r="K2317" s="64">
        <f t="shared" ref="K2317:K2326" si="351">IF($W$5=0.2,J2317*1.2,J2317)/$W$4</f>
        <v>5350.0000000000009</v>
      </c>
      <c r="L2317" s="15">
        <f t="shared" ref="L2317:L2326" si="352">IF(AG2317="","",(1-$W$2)*(AG2317/1.2))</f>
        <v>3383.3333333333335</v>
      </c>
      <c r="M2317" s="267">
        <f t="shared" ref="M2317:M2326" si="353">IF($W$5=0.2,L2317*1.2,L2317)/$W$4</f>
        <v>4060</v>
      </c>
      <c r="N2317" s="270">
        <f t="shared" ref="N2317:N2326" si="354">IF(AH2317="","",(1-$W$2)*(AH2317/1.2))</f>
        <v>4741.666666666667</v>
      </c>
      <c r="O2317" s="64">
        <f t="shared" ref="O2317:O2326" si="355">IF($W$5=0.2,N2317*1.2,N2317)/$W$4</f>
        <v>5690</v>
      </c>
      <c r="P2317" s="15">
        <f t="shared" ref="P2317:P2326" si="356">IF(AI2317="","",(1-$W$2)*(AI2317/1.2))</f>
        <v>3616.666666666667</v>
      </c>
      <c r="Q2317" s="267">
        <f t="shared" ref="Q2317:Q2326" si="357">IF($W$5=0.2,P2317*1.2,P2317)/$W$4</f>
        <v>4340</v>
      </c>
      <c r="R2317" s="270">
        <f t="shared" ref="R2317:R2326" si="358">IF(AJ2317="","",(1-$W$2)*(AJ2317/1.2))</f>
        <v>5066.666666666667</v>
      </c>
      <c r="S2317" s="64">
        <f t="shared" ref="S2317:S2326" si="359">IF($W$5=0.2,R2317*1.2,R2317)/$W$4</f>
        <v>6080</v>
      </c>
      <c r="T2317" s="15">
        <f t="shared" ref="T2317:T2326" si="360">IF(AK2317="","",(1-$W$2)*(AK2317/1.2))</f>
        <v>3883.3333333333335</v>
      </c>
      <c r="U2317" s="267">
        <f t="shared" ref="U2317:U2326" si="361">IF($W$5=0.2,T2317*1.2,T2317)/$W$4</f>
        <v>4660</v>
      </c>
      <c r="V2317" s="270">
        <f t="shared" ref="V2317:V2326" si="362">IF(AL2317="","",(1-$W$2)*(AL2317/1.2))</f>
        <v>5433.3333333333339</v>
      </c>
      <c r="W2317" s="64">
        <f t="shared" ref="W2317:W2326" si="363">IF($W$5=0.2,V2317*1.2,V2317)/$W$4</f>
        <v>6520.0000000000009</v>
      </c>
      <c r="X2317" s="22"/>
      <c r="Y2317" s="22"/>
      <c r="Z2317" s="22"/>
      <c r="AA2317" s="22"/>
      <c r="AB2317" s="22"/>
      <c r="AC2317" s="332">
        <v>3320</v>
      </c>
      <c r="AD2317" s="332">
        <v>4660</v>
      </c>
      <c r="AE2317" s="332">
        <v>3820</v>
      </c>
      <c r="AF2317" s="332">
        <v>5350</v>
      </c>
      <c r="AG2317" s="332">
        <v>4060</v>
      </c>
      <c r="AH2317" s="332">
        <v>5690</v>
      </c>
      <c r="AI2317" s="332">
        <v>4340</v>
      </c>
      <c r="AJ2317" s="332">
        <v>6080</v>
      </c>
      <c r="AK2317" s="332">
        <v>4660</v>
      </c>
      <c r="AL2317" s="332">
        <v>6520</v>
      </c>
      <c r="AM2317" s="334">
        <v>3320</v>
      </c>
      <c r="AN2317" s="310">
        <f>AM2317/AC2317-1</f>
        <v>0</v>
      </c>
      <c r="AO2317" s="334">
        <v>4660</v>
      </c>
      <c r="AP2317" s="399">
        <f>AO2317/AD2317-1</f>
        <v>0</v>
      </c>
      <c r="AQ2317" s="334">
        <v>3820</v>
      </c>
      <c r="AR2317" s="334">
        <f>AQ2317/AE2317-1</f>
        <v>0</v>
      </c>
      <c r="AS2317" s="334">
        <v>5350</v>
      </c>
      <c r="AT2317" s="334">
        <f>AS2317/AF2317-1</f>
        <v>0</v>
      </c>
      <c r="AU2317" s="334">
        <v>4060</v>
      </c>
      <c r="AV2317" s="334">
        <f>AU2317/AG2317-1</f>
        <v>0</v>
      </c>
      <c r="AW2317" s="334">
        <v>5690</v>
      </c>
    </row>
    <row r="2318" spans="1:49">
      <c r="A2318" s="8"/>
      <c r="B2318" s="16" t="str">
        <f>IF($C$1="ENG","B (95 - 115 mm)","B (95 - 115 мм)")</f>
        <v>B (95 - 115 мм)</v>
      </c>
      <c r="C2318" s="432"/>
      <c r="D2318" s="18">
        <f t="shared" si="344"/>
        <v>2916.666666666667</v>
      </c>
      <c r="E2318" s="268">
        <f t="shared" si="345"/>
        <v>3500.0000000000005</v>
      </c>
      <c r="F2318" s="271">
        <f t="shared" si="346"/>
        <v>4083.3333333333335</v>
      </c>
      <c r="G2318" s="66">
        <f t="shared" si="347"/>
        <v>4900</v>
      </c>
      <c r="H2318" s="18">
        <f t="shared" si="348"/>
        <v>3366.666666666667</v>
      </c>
      <c r="I2318" s="268">
        <f t="shared" si="349"/>
        <v>4040</v>
      </c>
      <c r="J2318" s="271">
        <f t="shared" si="350"/>
        <v>4708.3333333333339</v>
      </c>
      <c r="K2318" s="66">
        <f t="shared" si="351"/>
        <v>5650.0000000000009</v>
      </c>
      <c r="L2318" s="18">
        <f t="shared" si="352"/>
        <v>3558.3333333333335</v>
      </c>
      <c r="M2318" s="268">
        <f t="shared" si="353"/>
        <v>4270</v>
      </c>
      <c r="N2318" s="271">
        <f t="shared" si="354"/>
        <v>4983.3333333333339</v>
      </c>
      <c r="O2318" s="66">
        <f t="shared" si="355"/>
        <v>5980.0000000000009</v>
      </c>
      <c r="P2318" s="18">
        <f t="shared" si="356"/>
        <v>3816.666666666667</v>
      </c>
      <c r="Q2318" s="268">
        <f t="shared" si="357"/>
        <v>4580</v>
      </c>
      <c r="R2318" s="271">
        <f t="shared" si="358"/>
        <v>5341.666666666667</v>
      </c>
      <c r="S2318" s="66">
        <f t="shared" si="359"/>
        <v>6410</v>
      </c>
      <c r="T2318" s="18">
        <f t="shared" si="360"/>
        <v>4075</v>
      </c>
      <c r="U2318" s="268">
        <f t="shared" si="361"/>
        <v>4890</v>
      </c>
      <c r="V2318" s="271">
        <f t="shared" si="362"/>
        <v>5708.3333333333339</v>
      </c>
      <c r="W2318" s="66">
        <f t="shared" si="363"/>
        <v>6850.0000000000009</v>
      </c>
      <c r="X2318" s="22"/>
      <c r="Y2318" s="22"/>
      <c r="Z2318" s="22"/>
      <c r="AA2318" s="22"/>
      <c r="AB2318" s="22"/>
      <c r="AC2318" s="332">
        <v>3500</v>
      </c>
      <c r="AD2318" s="332">
        <v>4900</v>
      </c>
      <c r="AE2318" s="332">
        <v>4040</v>
      </c>
      <c r="AF2318" s="332">
        <v>5650</v>
      </c>
      <c r="AG2318" s="332">
        <v>4270</v>
      </c>
      <c r="AH2318" s="332">
        <v>5980</v>
      </c>
      <c r="AI2318" s="332">
        <v>4580</v>
      </c>
      <c r="AJ2318" s="332">
        <v>6410</v>
      </c>
      <c r="AK2318" s="332">
        <v>4890</v>
      </c>
      <c r="AL2318" s="332">
        <v>6850</v>
      </c>
      <c r="AM2318" s="334">
        <v>3500</v>
      </c>
      <c r="AN2318" s="310">
        <f t="shared" ref="AN2318:AN2326" si="364">AM2318/AC2318-1</f>
        <v>0</v>
      </c>
      <c r="AO2318" s="334">
        <v>4900</v>
      </c>
      <c r="AP2318" s="399">
        <f t="shared" ref="AP2318:AP2326" si="365">AO2318/AD2318-1</f>
        <v>0</v>
      </c>
      <c r="AQ2318" s="334">
        <v>4040</v>
      </c>
      <c r="AR2318" s="334">
        <f t="shared" ref="AR2318:AR2326" si="366">AQ2318/AE2318-1</f>
        <v>0</v>
      </c>
      <c r="AS2318" s="334">
        <v>5650</v>
      </c>
      <c r="AT2318" s="334">
        <f t="shared" ref="AT2318:AT2326" si="367">AS2318/AF2318-1</f>
        <v>0</v>
      </c>
      <c r="AU2318" s="334">
        <v>4270</v>
      </c>
      <c r="AV2318" s="334">
        <f t="shared" ref="AV2318:AV2326" si="368">AU2318/AG2318-1</f>
        <v>0</v>
      </c>
      <c r="AW2318" s="334">
        <v>5980</v>
      </c>
    </row>
    <row r="2319" spans="1:49">
      <c r="A2319" s="8"/>
      <c r="B2319" s="16" t="str">
        <f>IF($C$1="ENG","B+ (100 - 120 mm)","B+ (100 - 120 мм)")</f>
        <v>B+ (100 - 120 мм)</v>
      </c>
      <c r="C2319" s="432"/>
      <c r="D2319" s="18">
        <f t="shared" si="344"/>
        <v>3000</v>
      </c>
      <c r="E2319" s="268">
        <f t="shared" si="345"/>
        <v>3600</v>
      </c>
      <c r="F2319" s="271">
        <f t="shared" si="346"/>
        <v>4208.3333333333339</v>
      </c>
      <c r="G2319" s="66">
        <f t="shared" si="347"/>
        <v>5050.0000000000009</v>
      </c>
      <c r="H2319" s="18">
        <f t="shared" si="348"/>
        <v>3458.3333333333335</v>
      </c>
      <c r="I2319" s="268">
        <f t="shared" si="349"/>
        <v>4150</v>
      </c>
      <c r="J2319" s="271">
        <f t="shared" si="350"/>
        <v>4841.666666666667</v>
      </c>
      <c r="K2319" s="66">
        <f t="shared" si="351"/>
        <v>5810</v>
      </c>
      <c r="L2319" s="18">
        <f t="shared" si="352"/>
        <v>3658.3333333333335</v>
      </c>
      <c r="M2319" s="268">
        <f t="shared" si="353"/>
        <v>4390</v>
      </c>
      <c r="N2319" s="271">
        <f t="shared" si="354"/>
        <v>5116.666666666667</v>
      </c>
      <c r="O2319" s="66">
        <f t="shared" si="355"/>
        <v>6140</v>
      </c>
      <c r="P2319" s="18">
        <f t="shared" si="356"/>
        <v>3900</v>
      </c>
      <c r="Q2319" s="268">
        <f t="shared" si="357"/>
        <v>4680</v>
      </c>
      <c r="R2319" s="271">
        <f t="shared" si="358"/>
        <v>5450</v>
      </c>
      <c r="S2319" s="66">
        <f t="shared" si="359"/>
        <v>6540</v>
      </c>
      <c r="T2319" s="18">
        <f t="shared" si="360"/>
        <v>4183.3333333333339</v>
      </c>
      <c r="U2319" s="268">
        <f t="shared" si="361"/>
        <v>5020.0000000000009</v>
      </c>
      <c r="V2319" s="271">
        <f t="shared" si="362"/>
        <v>5858.3333333333339</v>
      </c>
      <c r="W2319" s="66">
        <f t="shared" si="363"/>
        <v>7030.0000000000009</v>
      </c>
      <c r="X2319" s="22"/>
      <c r="Y2319" s="22"/>
      <c r="Z2319" s="22"/>
      <c r="AA2319" s="22"/>
      <c r="AB2319" s="22"/>
      <c r="AC2319" s="332">
        <v>3600</v>
      </c>
      <c r="AD2319" s="332">
        <v>5050</v>
      </c>
      <c r="AE2319" s="332">
        <v>4150</v>
      </c>
      <c r="AF2319" s="332">
        <v>5810</v>
      </c>
      <c r="AG2319" s="332">
        <v>4390</v>
      </c>
      <c r="AH2319" s="332">
        <v>6140</v>
      </c>
      <c r="AI2319" s="332">
        <v>4680</v>
      </c>
      <c r="AJ2319" s="332">
        <v>6540</v>
      </c>
      <c r="AK2319" s="332">
        <v>5020</v>
      </c>
      <c r="AL2319" s="332">
        <v>7030</v>
      </c>
      <c r="AM2319" s="334">
        <v>3600</v>
      </c>
      <c r="AN2319" s="310">
        <f t="shared" si="364"/>
        <v>0</v>
      </c>
      <c r="AO2319" s="334">
        <v>5050</v>
      </c>
      <c r="AP2319" s="399">
        <f t="shared" si="365"/>
        <v>0</v>
      </c>
      <c r="AQ2319" s="334">
        <v>4150</v>
      </c>
      <c r="AR2319" s="334">
        <f t="shared" si="366"/>
        <v>0</v>
      </c>
      <c r="AS2319" s="334">
        <v>5810</v>
      </c>
      <c r="AT2319" s="334">
        <f t="shared" si="367"/>
        <v>0</v>
      </c>
      <c r="AU2319" s="334">
        <v>4390</v>
      </c>
      <c r="AV2319" s="334">
        <f t="shared" si="368"/>
        <v>0</v>
      </c>
      <c r="AW2319" s="334">
        <v>6140</v>
      </c>
    </row>
    <row r="2320" spans="1:49">
      <c r="A2320" s="8"/>
      <c r="B2320" s="16" t="str">
        <f>IF($C$1="ENG","C (120 - 140 mm)","C (120 - 140 мм)")</f>
        <v>C (120 - 140 мм)</v>
      </c>
      <c r="C2320" s="432"/>
      <c r="D2320" s="18">
        <f t="shared" si="344"/>
        <v>3075</v>
      </c>
      <c r="E2320" s="268">
        <f t="shared" si="345"/>
        <v>3690</v>
      </c>
      <c r="F2320" s="271">
        <f t="shared" si="346"/>
        <v>4291.666666666667</v>
      </c>
      <c r="G2320" s="66">
        <f t="shared" si="347"/>
        <v>5150</v>
      </c>
      <c r="H2320" s="18">
        <f t="shared" si="348"/>
        <v>3533.3333333333335</v>
      </c>
      <c r="I2320" s="268">
        <f t="shared" si="349"/>
        <v>4240</v>
      </c>
      <c r="J2320" s="271">
        <f t="shared" si="350"/>
        <v>4950</v>
      </c>
      <c r="K2320" s="66">
        <f t="shared" si="351"/>
        <v>5940</v>
      </c>
      <c r="L2320" s="18">
        <f t="shared" si="352"/>
        <v>3741.666666666667</v>
      </c>
      <c r="M2320" s="268">
        <f t="shared" si="353"/>
        <v>4490</v>
      </c>
      <c r="N2320" s="271">
        <f t="shared" si="354"/>
        <v>5241.666666666667</v>
      </c>
      <c r="O2320" s="66">
        <f t="shared" si="355"/>
        <v>6290</v>
      </c>
      <c r="P2320" s="18">
        <f t="shared" si="356"/>
        <v>4000</v>
      </c>
      <c r="Q2320" s="268">
        <f t="shared" si="357"/>
        <v>4800</v>
      </c>
      <c r="R2320" s="271">
        <f t="shared" si="358"/>
        <v>5600</v>
      </c>
      <c r="S2320" s="66">
        <f t="shared" si="359"/>
        <v>6720</v>
      </c>
      <c r="T2320" s="18">
        <f t="shared" si="360"/>
        <v>4291.666666666667</v>
      </c>
      <c r="U2320" s="268">
        <f t="shared" si="361"/>
        <v>5150</v>
      </c>
      <c r="V2320" s="271">
        <f t="shared" si="362"/>
        <v>6008.3333333333339</v>
      </c>
      <c r="W2320" s="66">
        <f t="shared" si="363"/>
        <v>7210.0000000000009</v>
      </c>
      <c r="X2320" s="22"/>
      <c r="Y2320" s="22"/>
      <c r="Z2320" s="22"/>
      <c r="AA2320" s="22"/>
      <c r="AB2320" s="22"/>
      <c r="AC2320" s="332">
        <v>3690</v>
      </c>
      <c r="AD2320" s="332">
        <v>5150</v>
      </c>
      <c r="AE2320" s="332">
        <v>4240</v>
      </c>
      <c r="AF2320" s="332">
        <v>5940</v>
      </c>
      <c r="AG2320" s="332">
        <v>4490</v>
      </c>
      <c r="AH2320" s="332">
        <v>6290</v>
      </c>
      <c r="AI2320" s="332">
        <v>4800</v>
      </c>
      <c r="AJ2320" s="332">
        <v>6720</v>
      </c>
      <c r="AK2320" s="332">
        <v>5150</v>
      </c>
      <c r="AL2320" s="332">
        <v>7210</v>
      </c>
      <c r="AM2320" s="334">
        <v>3690</v>
      </c>
      <c r="AN2320" s="310">
        <f t="shared" si="364"/>
        <v>0</v>
      </c>
      <c r="AO2320" s="334">
        <v>5150</v>
      </c>
      <c r="AP2320" s="399">
        <f t="shared" si="365"/>
        <v>0</v>
      </c>
      <c r="AQ2320" s="334">
        <v>4240</v>
      </c>
      <c r="AR2320" s="334">
        <f t="shared" si="366"/>
        <v>0</v>
      </c>
      <c r="AS2320" s="334">
        <v>5940</v>
      </c>
      <c r="AT2320" s="334">
        <f t="shared" si="367"/>
        <v>0</v>
      </c>
      <c r="AU2320" s="334">
        <v>4490</v>
      </c>
      <c r="AV2320" s="334">
        <f t="shared" si="368"/>
        <v>0</v>
      </c>
      <c r="AW2320" s="334">
        <v>6290</v>
      </c>
    </row>
    <row r="2321" spans="1:49">
      <c r="A2321" s="8"/>
      <c r="B2321" s="16" t="str">
        <f>IF($C$1="ENG","D (140 - 160 mm)","D (140 - 160 мм)")</f>
        <v>D (140 - 160 мм)</v>
      </c>
      <c r="C2321" s="432"/>
      <c r="D2321" s="18">
        <f t="shared" si="344"/>
        <v>3241.666666666667</v>
      </c>
      <c r="E2321" s="268">
        <f t="shared" si="345"/>
        <v>3890</v>
      </c>
      <c r="F2321" s="271">
        <f t="shared" si="346"/>
        <v>4541.666666666667</v>
      </c>
      <c r="G2321" s="66">
        <f t="shared" si="347"/>
        <v>5450</v>
      </c>
      <c r="H2321" s="18">
        <f t="shared" si="348"/>
        <v>3733.3333333333335</v>
      </c>
      <c r="I2321" s="268">
        <f t="shared" si="349"/>
        <v>4480</v>
      </c>
      <c r="J2321" s="271">
        <f t="shared" si="350"/>
        <v>5216.666666666667</v>
      </c>
      <c r="K2321" s="66">
        <f t="shared" si="351"/>
        <v>6260</v>
      </c>
      <c r="L2321" s="18">
        <f t="shared" si="352"/>
        <v>3908.3333333333335</v>
      </c>
      <c r="M2321" s="268">
        <f t="shared" si="353"/>
        <v>4690</v>
      </c>
      <c r="N2321" s="271">
        <f t="shared" si="354"/>
        <v>5558.3333333333339</v>
      </c>
      <c r="O2321" s="66">
        <f t="shared" si="355"/>
        <v>6670.0000000000009</v>
      </c>
      <c r="P2321" s="18">
        <f t="shared" si="356"/>
        <v>4183.3333333333339</v>
      </c>
      <c r="Q2321" s="268">
        <f t="shared" si="357"/>
        <v>5020.0000000000009</v>
      </c>
      <c r="R2321" s="271">
        <f t="shared" si="358"/>
        <v>5858.3333333333339</v>
      </c>
      <c r="S2321" s="66">
        <f t="shared" si="359"/>
        <v>7030.0000000000009</v>
      </c>
      <c r="T2321" s="18">
        <f t="shared" si="360"/>
        <v>4500</v>
      </c>
      <c r="U2321" s="268">
        <f t="shared" si="361"/>
        <v>5400</v>
      </c>
      <c r="V2321" s="271">
        <f t="shared" si="362"/>
        <v>6300</v>
      </c>
      <c r="W2321" s="66">
        <f t="shared" si="363"/>
        <v>7560</v>
      </c>
      <c r="X2321" s="22"/>
      <c r="Y2321" s="22"/>
      <c r="Z2321" s="22"/>
      <c r="AA2321" s="22"/>
      <c r="AB2321" s="22"/>
      <c r="AC2321" s="332">
        <v>3890</v>
      </c>
      <c r="AD2321" s="332">
        <v>5450</v>
      </c>
      <c r="AE2321" s="332">
        <v>4480</v>
      </c>
      <c r="AF2321" s="332">
        <v>6260</v>
      </c>
      <c r="AG2321" s="332">
        <v>4690</v>
      </c>
      <c r="AH2321" s="332">
        <v>6670</v>
      </c>
      <c r="AI2321" s="332">
        <v>5020</v>
      </c>
      <c r="AJ2321" s="332">
        <v>7030</v>
      </c>
      <c r="AK2321" s="332">
        <v>5400</v>
      </c>
      <c r="AL2321" s="332">
        <v>7560</v>
      </c>
      <c r="AM2321" s="334">
        <v>3890</v>
      </c>
      <c r="AN2321" s="310">
        <f t="shared" si="364"/>
        <v>0</v>
      </c>
      <c r="AO2321" s="334">
        <v>5450</v>
      </c>
      <c r="AP2321" s="399">
        <f t="shared" si="365"/>
        <v>0</v>
      </c>
      <c r="AQ2321" s="334">
        <v>4480</v>
      </c>
      <c r="AR2321" s="334">
        <f t="shared" si="366"/>
        <v>0</v>
      </c>
      <c r="AS2321" s="334">
        <v>6260</v>
      </c>
      <c r="AT2321" s="334">
        <f t="shared" si="367"/>
        <v>0</v>
      </c>
      <c r="AU2321" s="334">
        <v>4690</v>
      </c>
      <c r="AV2321" s="334">
        <f t="shared" si="368"/>
        <v>0</v>
      </c>
      <c r="AW2321" s="334">
        <v>6670</v>
      </c>
    </row>
    <row r="2322" spans="1:49">
      <c r="A2322" s="8"/>
      <c r="B2322" s="16" t="str">
        <f>IF($C$1="ENG","E (160 - 180 mm)","E (160 - 180 мм)")</f>
        <v>E (160 - 180 мм)</v>
      </c>
      <c r="C2322" s="432"/>
      <c r="D2322" s="18">
        <f t="shared" si="344"/>
        <v>3383.3333333333335</v>
      </c>
      <c r="E2322" s="268">
        <f>IF($W$5=0.2,D2322*1.2,D2322)/$W$4</f>
        <v>4060</v>
      </c>
      <c r="F2322" s="271">
        <f t="shared" si="346"/>
        <v>4725</v>
      </c>
      <c r="G2322" s="66">
        <f t="shared" si="347"/>
        <v>5670</v>
      </c>
      <c r="H2322" s="18">
        <f t="shared" si="348"/>
        <v>3891.666666666667</v>
      </c>
      <c r="I2322" s="268">
        <f t="shared" si="349"/>
        <v>4670</v>
      </c>
      <c r="J2322" s="271">
        <f t="shared" si="350"/>
        <v>5441.666666666667</v>
      </c>
      <c r="K2322" s="66">
        <f t="shared" si="351"/>
        <v>6530</v>
      </c>
      <c r="L2322" s="18">
        <f t="shared" si="352"/>
        <v>4083.3333333333335</v>
      </c>
      <c r="M2322" s="268">
        <f t="shared" si="353"/>
        <v>4900</v>
      </c>
      <c r="N2322" s="271">
        <f t="shared" si="354"/>
        <v>5725</v>
      </c>
      <c r="O2322" s="66">
        <f t="shared" si="355"/>
        <v>6870</v>
      </c>
      <c r="P2322" s="18">
        <f t="shared" si="356"/>
        <v>4366.666666666667</v>
      </c>
      <c r="Q2322" s="268">
        <f t="shared" si="357"/>
        <v>5240</v>
      </c>
      <c r="R2322" s="271">
        <f t="shared" si="358"/>
        <v>6108.3333333333339</v>
      </c>
      <c r="S2322" s="66">
        <f t="shared" si="359"/>
        <v>7330.0000000000009</v>
      </c>
      <c r="T2322" s="18">
        <f t="shared" si="360"/>
        <v>4716.666666666667</v>
      </c>
      <c r="U2322" s="268">
        <f t="shared" si="361"/>
        <v>5660</v>
      </c>
      <c r="V2322" s="271">
        <f t="shared" si="362"/>
        <v>6600.8333333333339</v>
      </c>
      <c r="W2322" s="66">
        <f t="shared" si="363"/>
        <v>7921</v>
      </c>
      <c r="X2322" s="22"/>
      <c r="Y2322" s="22"/>
      <c r="Z2322" s="22"/>
      <c r="AA2322" s="22"/>
      <c r="AB2322" s="22"/>
      <c r="AC2322" s="332">
        <v>4060</v>
      </c>
      <c r="AD2322" s="332">
        <v>5670</v>
      </c>
      <c r="AE2322" s="332">
        <v>4670</v>
      </c>
      <c r="AF2322" s="332">
        <v>6530</v>
      </c>
      <c r="AG2322" s="332">
        <v>4900</v>
      </c>
      <c r="AH2322" s="332">
        <v>6870</v>
      </c>
      <c r="AI2322" s="332">
        <v>5240</v>
      </c>
      <c r="AJ2322" s="332">
        <v>7330</v>
      </c>
      <c r="AK2322" s="332">
        <v>5660</v>
      </c>
      <c r="AL2322" s="332">
        <v>7921</v>
      </c>
      <c r="AM2322" s="334">
        <v>4060</v>
      </c>
      <c r="AN2322" s="310">
        <f t="shared" si="364"/>
        <v>0</v>
      </c>
      <c r="AO2322" s="334">
        <v>5670</v>
      </c>
      <c r="AP2322" s="399">
        <f t="shared" si="365"/>
        <v>0</v>
      </c>
      <c r="AQ2322" s="334">
        <v>4670</v>
      </c>
      <c r="AR2322" s="334">
        <f t="shared" si="366"/>
        <v>0</v>
      </c>
      <c r="AS2322" s="334">
        <v>6530</v>
      </c>
      <c r="AT2322" s="334">
        <f t="shared" si="367"/>
        <v>0</v>
      </c>
      <c r="AU2322" s="334">
        <v>4900</v>
      </c>
      <c r="AV2322" s="334">
        <f t="shared" si="368"/>
        <v>0</v>
      </c>
      <c r="AW2322" s="334">
        <v>6870</v>
      </c>
    </row>
    <row r="2323" spans="1:49">
      <c r="A2323" s="8"/>
      <c r="B2323" s="16" t="str">
        <f>IF($C$1="ENG","F (180 - 200 mm)","F (180 - 200 мм)")</f>
        <v>F (180 - 200 мм)</v>
      </c>
      <c r="C2323" s="432"/>
      <c r="D2323" s="18">
        <f t="shared" si="344"/>
        <v>3550</v>
      </c>
      <c r="E2323" s="268">
        <f t="shared" si="345"/>
        <v>4260</v>
      </c>
      <c r="F2323" s="271">
        <f t="shared" si="346"/>
        <v>4958.3333333333339</v>
      </c>
      <c r="G2323" s="66">
        <f t="shared" si="347"/>
        <v>5950.0000000000009</v>
      </c>
      <c r="H2323" s="18">
        <f t="shared" si="348"/>
        <v>4075</v>
      </c>
      <c r="I2323" s="268">
        <f t="shared" si="349"/>
        <v>4890</v>
      </c>
      <c r="J2323" s="271">
        <f t="shared" si="350"/>
        <v>5700</v>
      </c>
      <c r="K2323" s="66">
        <f t="shared" si="351"/>
        <v>6840</v>
      </c>
      <c r="L2323" s="18">
        <f t="shared" si="352"/>
        <v>4275</v>
      </c>
      <c r="M2323" s="268">
        <f t="shared" si="353"/>
        <v>5130</v>
      </c>
      <c r="N2323" s="271">
        <f t="shared" si="354"/>
        <v>5991.666666666667</v>
      </c>
      <c r="O2323" s="66">
        <f t="shared" si="355"/>
        <v>7190</v>
      </c>
      <c r="P2323" s="18">
        <f t="shared" si="356"/>
        <v>4566.666666666667</v>
      </c>
      <c r="Q2323" s="268">
        <f t="shared" si="357"/>
        <v>5480</v>
      </c>
      <c r="R2323" s="271">
        <f t="shared" si="358"/>
        <v>6391.666666666667</v>
      </c>
      <c r="S2323" s="66">
        <f t="shared" si="359"/>
        <v>7670</v>
      </c>
      <c r="T2323" s="18">
        <f t="shared" si="360"/>
        <v>4925</v>
      </c>
      <c r="U2323" s="268">
        <f t="shared" si="361"/>
        <v>5910</v>
      </c>
      <c r="V2323" s="271">
        <f t="shared" si="362"/>
        <v>6891.666666666667</v>
      </c>
      <c r="W2323" s="66">
        <f t="shared" si="363"/>
        <v>8270</v>
      </c>
      <c r="X2323" s="22"/>
      <c r="Y2323" s="22"/>
      <c r="Z2323" s="22"/>
      <c r="AA2323" s="22"/>
      <c r="AB2323" s="22"/>
      <c r="AC2323" s="332">
        <v>4260</v>
      </c>
      <c r="AD2323" s="332">
        <v>5950</v>
      </c>
      <c r="AE2323" s="332">
        <v>4890</v>
      </c>
      <c r="AF2323" s="332">
        <v>6840</v>
      </c>
      <c r="AG2323" s="332">
        <v>5130</v>
      </c>
      <c r="AH2323" s="332">
        <v>7190</v>
      </c>
      <c r="AI2323" s="332">
        <v>5480</v>
      </c>
      <c r="AJ2323" s="332">
        <v>7670</v>
      </c>
      <c r="AK2323" s="332">
        <v>5910</v>
      </c>
      <c r="AL2323" s="332">
        <v>8270</v>
      </c>
      <c r="AM2323" s="334">
        <v>4260</v>
      </c>
      <c r="AN2323" s="310">
        <f t="shared" si="364"/>
        <v>0</v>
      </c>
      <c r="AO2323" s="334">
        <v>5950</v>
      </c>
      <c r="AP2323" s="399">
        <f t="shared" si="365"/>
        <v>0</v>
      </c>
      <c r="AQ2323" s="334">
        <v>4890</v>
      </c>
      <c r="AR2323" s="334">
        <f t="shared" si="366"/>
        <v>0</v>
      </c>
      <c r="AS2323" s="334">
        <v>6840</v>
      </c>
      <c r="AT2323" s="334">
        <f t="shared" si="367"/>
        <v>0</v>
      </c>
      <c r="AU2323" s="334">
        <v>5130</v>
      </c>
      <c r="AV2323" s="334">
        <f t="shared" si="368"/>
        <v>0</v>
      </c>
      <c r="AW2323" s="334">
        <v>7190</v>
      </c>
    </row>
    <row r="2324" spans="1:49">
      <c r="A2324" s="8"/>
      <c r="B2324" s="16" t="str">
        <f>IF($C$1="ENG","G (200 - 220 mm)","G (200 - 220 мм)")</f>
        <v>G (200 - 220 мм)</v>
      </c>
      <c r="C2324" s="432"/>
      <c r="D2324" s="18">
        <f t="shared" si="344"/>
        <v>3691.666666666667</v>
      </c>
      <c r="E2324" s="268">
        <f t="shared" si="345"/>
        <v>4430</v>
      </c>
      <c r="F2324" s="271">
        <f t="shared" si="346"/>
        <v>5166.666666666667</v>
      </c>
      <c r="G2324" s="66">
        <f t="shared" si="347"/>
        <v>6200</v>
      </c>
      <c r="H2324" s="18">
        <f t="shared" si="348"/>
        <v>4250</v>
      </c>
      <c r="I2324" s="268">
        <f t="shared" si="349"/>
        <v>5100</v>
      </c>
      <c r="J2324" s="271">
        <f t="shared" si="350"/>
        <v>5941.666666666667</v>
      </c>
      <c r="K2324" s="66">
        <f t="shared" si="351"/>
        <v>7130</v>
      </c>
      <c r="L2324" s="18">
        <f t="shared" si="352"/>
        <v>4450</v>
      </c>
      <c r="M2324" s="268">
        <f t="shared" si="353"/>
        <v>5340</v>
      </c>
      <c r="N2324" s="271">
        <f t="shared" si="354"/>
        <v>6225</v>
      </c>
      <c r="O2324" s="66">
        <f t="shared" si="355"/>
        <v>7470</v>
      </c>
      <c r="P2324" s="18">
        <f t="shared" si="356"/>
        <v>4758.3333333333339</v>
      </c>
      <c r="Q2324" s="268">
        <f t="shared" si="357"/>
        <v>5710.0000000000009</v>
      </c>
      <c r="R2324" s="271">
        <f t="shared" si="358"/>
        <v>6658.3333333333339</v>
      </c>
      <c r="S2324" s="66">
        <f t="shared" si="359"/>
        <v>7990</v>
      </c>
      <c r="T2324" s="18">
        <f t="shared" si="360"/>
        <v>5141.666666666667</v>
      </c>
      <c r="U2324" s="268">
        <f t="shared" si="361"/>
        <v>6170</v>
      </c>
      <c r="V2324" s="271">
        <f t="shared" si="362"/>
        <v>7191.666666666667</v>
      </c>
      <c r="W2324" s="66">
        <f t="shared" si="363"/>
        <v>8630</v>
      </c>
      <c r="X2324" s="22"/>
      <c r="Y2324" s="22"/>
      <c r="Z2324" s="22"/>
      <c r="AA2324" s="22"/>
      <c r="AB2324" s="22"/>
      <c r="AC2324" s="332">
        <v>4430</v>
      </c>
      <c r="AD2324" s="332">
        <v>6200</v>
      </c>
      <c r="AE2324" s="332">
        <v>5100</v>
      </c>
      <c r="AF2324" s="332">
        <v>7130</v>
      </c>
      <c r="AG2324" s="332">
        <v>5340</v>
      </c>
      <c r="AH2324" s="332">
        <v>7470</v>
      </c>
      <c r="AI2324" s="332">
        <v>5710</v>
      </c>
      <c r="AJ2324" s="332">
        <v>7990</v>
      </c>
      <c r="AK2324" s="332">
        <v>6170</v>
      </c>
      <c r="AL2324" s="332">
        <v>8630</v>
      </c>
      <c r="AM2324" s="334">
        <v>4430</v>
      </c>
      <c r="AN2324" s="310">
        <f t="shared" si="364"/>
        <v>0</v>
      </c>
      <c r="AO2324" s="334">
        <v>6200</v>
      </c>
      <c r="AP2324" s="399">
        <f t="shared" si="365"/>
        <v>0</v>
      </c>
      <c r="AQ2324" s="334">
        <v>5100</v>
      </c>
      <c r="AR2324" s="334">
        <f t="shared" si="366"/>
        <v>0</v>
      </c>
      <c r="AS2324" s="334">
        <v>7130</v>
      </c>
      <c r="AT2324" s="334">
        <f t="shared" si="367"/>
        <v>0</v>
      </c>
      <c r="AU2324" s="334">
        <v>5340</v>
      </c>
      <c r="AV2324" s="334">
        <f t="shared" si="368"/>
        <v>0</v>
      </c>
      <c r="AW2324" s="334">
        <v>7470</v>
      </c>
    </row>
    <row r="2325" spans="1:49">
      <c r="A2325" s="8"/>
      <c r="B2325" s="16" t="str">
        <f>IF($C$1="ENG","H (220 - 240 mm)","H (220 - 240 мм)")</f>
        <v>H (220 - 240 мм)</v>
      </c>
      <c r="C2325" s="432"/>
      <c r="D2325" s="18">
        <f t="shared" si="344"/>
        <v>3841.666666666667</v>
      </c>
      <c r="E2325" s="268">
        <f t="shared" si="345"/>
        <v>4610</v>
      </c>
      <c r="F2325" s="271">
        <f t="shared" si="346"/>
        <v>5375</v>
      </c>
      <c r="G2325" s="66">
        <f t="shared" si="347"/>
        <v>6450</v>
      </c>
      <c r="H2325" s="18">
        <f t="shared" si="348"/>
        <v>4416.666666666667</v>
      </c>
      <c r="I2325" s="268">
        <f t="shared" si="349"/>
        <v>5300</v>
      </c>
      <c r="J2325" s="271">
        <f t="shared" si="350"/>
        <v>6191.666666666667</v>
      </c>
      <c r="K2325" s="66">
        <f t="shared" si="351"/>
        <v>7430</v>
      </c>
      <c r="L2325" s="18">
        <f t="shared" si="352"/>
        <v>4625</v>
      </c>
      <c r="M2325" s="268">
        <f t="shared" si="353"/>
        <v>5550</v>
      </c>
      <c r="N2325" s="271">
        <f t="shared" si="354"/>
        <v>6475</v>
      </c>
      <c r="O2325" s="66">
        <f t="shared" si="355"/>
        <v>7770</v>
      </c>
      <c r="P2325" s="18">
        <f t="shared" si="356"/>
        <v>4933.3333333333339</v>
      </c>
      <c r="Q2325" s="268">
        <f t="shared" si="357"/>
        <v>5920.0000000000009</v>
      </c>
      <c r="R2325" s="271">
        <f t="shared" si="358"/>
        <v>6908.3333333333339</v>
      </c>
      <c r="S2325" s="66">
        <f t="shared" si="359"/>
        <v>8290</v>
      </c>
      <c r="T2325" s="18">
        <f t="shared" si="360"/>
        <v>5350</v>
      </c>
      <c r="U2325" s="268">
        <f t="shared" si="361"/>
        <v>6420</v>
      </c>
      <c r="V2325" s="271">
        <f t="shared" si="362"/>
        <v>7483.3333333333339</v>
      </c>
      <c r="W2325" s="66">
        <f t="shared" si="363"/>
        <v>8980</v>
      </c>
      <c r="X2325" s="22"/>
      <c r="Y2325" s="22"/>
      <c r="Z2325" s="22"/>
      <c r="AA2325" s="22"/>
      <c r="AB2325" s="22"/>
      <c r="AC2325" s="332">
        <v>4610</v>
      </c>
      <c r="AD2325" s="332">
        <v>6450</v>
      </c>
      <c r="AE2325" s="332">
        <v>5300</v>
      </c>
      <c r="AF2325" s="332">
        <v>7430</v>
      </c>
      <c r="AG2325" s="332">
        <v>5550</v>
      </c>
      <c r="AH2325" s="332">
        <v>7770</v>
      </c>
      <c r="AI2325" s="332">
        <v>5920</v>
      </c>
      <c r="AJ2325" s="332">
        <v>8290</v>
      </c>
      <c r="AK2325" s="332">
        <v>6420</v>
      </c>
      <c r="AL2325" s="332">
        <v>8980</v>
      </c>
      <c r="AM2325" s="334">
        <v>4610</v>
      </c>
      <c r="AN2325" s="310">
        <f t="shared" si="364"/>
        <v>0</v>
      </c>
      <c r="AO2325" s="334">
        <v>6450</v>
      </c>
      <c r="AP2325" s="399">
        <f t="shared" si="365"/>
        <v>0</v>
      </c>
      <c r="AQ2325" s="334">
        <v>5300</v>
      </c>
      <c r="AR2325" s="334">
        <f t="shared" si="366"/>
        <v>0</v>
      </c>
      <c r="AS2325" s="334">
        <v>7430</v>
      </c>
      <c r="AT2325" s="334">
        <f t="shared" si="367"/>
        <v>0</v>
      </c>
      <c r="AU2325" s="334">
        <v>5550</v>
      </c>
      <c r="AV2325" s="334">
        <f t="shared" si="368"/>
        <v>0</v>
      </c>
      <c r="AW2325" s="334">
        <v>7770</v>
      </c>
    </row>
    <row r="2326" spans="1:49">
      <c r="A2326" s="8"/>
      <c r="B2326" s="23" t="str">
        <f>IF($C$1="ENG","I (240 - 260 mm)","I (240 - 260 мм)")</f>
        <v>I (240 - 260 мм)</v>
      </c>
      <c r="C2326" s="433"/>
      <c r="D2326" s="25">
        <f t="shared" si="344"/>
        <v>4000</v>
      </c>
      <c r="E2326" s="269">
        <f t="shared" si="345"/>
        <v>4800</v>
      </c>
      <c r="F2326" s="272">
        <f t="shared" si="346"/>
        <v>5608.3333333333339</v>
      </c>
      <c r="G2326" s="69">
        <f t="shared" si="347"/>
        <v>6730.0000000000009</v>
      </c>
      <c r="H2326" s="25">
        <f t="shared" si="348"/>
        <v>4608.3333333333339</v>
      </c>
      <c r="I2326" s="269">
        <f t="shared" si="349"/>
        <v>5530.0000000000009</v>
      </c>
      <c r="J2326" s="272">
        <f t="shared" si="350"/>
        <v>6450</v>
      </c>
      <c r="K2326" s="69">
        <f t="shared" si="351"/>
        <v>7740</v>
      </c>
      <c r="L2326" s="25">
        <f t="shared" si="352"/>
        <v>4791.666666666667</v>
      </c>
      <c r="M2326" s="269">
        <f t="shared" si="353"/>
        <v>5750</v>
      </c>
      <c r="N2326" s="272">
        <f t="shared" si="354"/>
        <v>6716.666666666667</v>
      </c>
      <c r="O2326" s="69">
        <f t="shared" si="355"/>
        <v>8060</v>
      </c>
      <c r="P2326" s="25">
        <f t="shared" si="356"/>
        <v>5133.3333333333339</v>
      </c>
      <c r="Q2326" s="269">
        <f t="shared" si="357"/>
        <v>6160.0000000000009</v>
      </c>
      <c r="R2326" s="272">
        <f t="shared" si="358"/>
        <v>7183.3333333333339</v>
      </c>
      <c r="S2326" s="69">
        <f t="shared" si="359"/>
        <v>8620</v>
      </c>
      <c r="T2326" s="25">
        <f t="shared" si="360"/>
        <v>5566.666666666667</v>
      </c>
      <c r="U2326" s="269">
        <f t="shared" si="361"/>
        <v>6680</v>
      </c>
      <c r="V2326" s="272">
        <f t="shared" si="362"/>
        <v>7791.666666666667</v>
      </c>
      <c r="W2326" s="69">
        <f t="shared" si="363"/>
        <v>9350</v>
      </c>
      <c r="X2326" s="22"/>
      <c r="Y2326" s="22"/>
      <c r="Z2326" s="22"/>
      <c r="AA2326" s="22"/>
      <c r="AB2326" s="22"/>
      <c r="AC2326" s="332">
        <v>4800</v>
      </c>
      <c r="AD2326" s="332">
        <v>6730</v>
      </c>
      <c r="AE2326" s="332">
        <v>5530</v>
      </c>
      <c r="AF2326" s="332">
        <v>7740</v>
      </c>
      <c r="AG2326" s="332">
        <v>5750</v>
      </c>
      <c r="AH2326" s="332">
        <v>8060</v>
      </c>
      <c r="AI2326" s="332">
        <v>6160</v>
      </c>
      <c r="AJ2326" s="332">
        <v>8620</v>
      </c>
      <c r="AK2326" s="332">
        <v>6680</v>
      </c>
      <c r="AL2326" s="332">
        <v>9350</v>
      </c>
      <c r="AM2326" s="334">
        <v>4800</v>
      </c>
      <c r="AN2326" s="310">
        <f t="shared" si="364"/>
        <v>0</v>
      </c>
      <c r="AO2326" s="334">
        <v>6730</v>
      </c>
      <c r="AP2326" s="399">
        <f t="shared" si="365"/>
        <v>0</v>
      </c>
      <c r="AQ2326" s="334">
        <v>5530</v>
      </c>
      <c r="AR2326" s="334">
        <f t="shared" si="366"/>
        <v>0</v>
      </c>
      <c r="AS2326" s="334">
        <v>7740</v>
      </c>
      <c r="AT2326" s="334">
        <f t="shared" si="367"/>
        <v>0</v>
      </c>
      <c r="AU2326" s="334">
        <v>5750</v>
      </c>
      <c r="AV2326" s="334">
        <f t="shared" si="368"/>
        <v>0</v>
      </c>
      <c r="AW2326" s="334">
        <v>8060</v>
      </c>
    </row>
    <row r="2327" spans="1:49">
      <c r="C2327" s="245"/>
      <c r="D2327" s="26"/>
      <c r="E2327" s="57"/>
      <c r="F2327" s="26"/>
      <c r="G2327" s="57"/>
      <c r="H2327" s="5"/>
      <c r="K2327" s="20"/>
      <c r="L2327" s="48"/>
      <c r="M2327" s="106"/>
      <c r="N2327" s="48"/>
      <c r="O2327" s="48"/>
      <c r="P2327" s="48"/>
      <c r="Q2327" s="106"/>
      <c r="R2327" s="48"/>
      <c r="S2327" s="48"/>
      <c r="U2327" s="20"/>
      <c r="W2327" s="20"/>
      <c r="AO2327" s="388"/>
      <c r="AP2327" s="388"/>
      <c r="AQ2327" s="388"/>
      <c r="AR2327" s="388"/>
      <c r="AS2327" s="388"/>
      <c r="AT2327" s="388"/>
      <c r="AU2327" s="388"/>
      <c r="AV2327" s="388"/>
    </row>
    <row r="2328" spans="1:49">
      <c r="B2328" s="212" t="str">
        <f>IF($C$1="ENG","For additonal charge:","Послуги за додаткову плату:")</f>
        <v>Послуги за додаткову плату:</v>
      </c>
      <c r="C2328" s="421"/>
      <c r="D2328" s="213"/>
      <c r="E2328" s="214"/>
      <c r="F2328" s="39"/>
      <c r="G2328" s="39"/>
      <c r="H2328" s="10"/>
      <c r="I2328" s="84"/>
      <c r="J2328" s="8"/>
      <c r="K2328" s="8"/>
      <c r="L2328" s="105"/>
      <c r="N2328" s="105"/>
      <c r="P2328" s="105"/>
      <c r="R2328" s="105"/>
      <c r="U2328" s="20"/>
      <c r="W2328" s="20"/>
    </row>
    <row r="2329" spans="1:49" ht="5.0999999999999996" customHeight="1">
      <c r="B2329" s="27"/>
      <c r="C2329" s="245"/>
      <c r="D2329" s="26"/>
      <c r="E2329" s="57"/>
      <c r="F2329" s="26"/>
      <c r="G2329" s="26"/>
      <c r="H2329" s="10"/>
      <c r="I2329" s="8"/>
      <c r="J2329" s="8"/>
      <c r="K2329" s="8"/>
      <c r="U2329" s="20"/>
      <c r="W2329" s="20"/>
    </row>
    <row r="2330" spans="1:49">
      <c r="B2330" s="486" t="str">
        <f>IF($C$1="ENG","third door hindge","третя завіса")</f>
        <v>третя завіса</v>
      </c>
      <c r="C2330" s="487"/>
      <c r="D2330" s="51">
        <f>IF(AC2330="","",(1-$W$2)*(AC2330/1.2))</f>
        <v>66.666666666666671</v>
      </c>
      <c r="E2330" s="85">
        <f>IF($W$5=0.2,D2330*1.2,D2330)/$W$4</f>
        <v>80</v>
      </c>
      <c r="F2330" s="26"/>
      <c r="G2330" s="26"/>
      <c r="H2330" s="10"/>
      <c r="I2330" s="84"/>
      <c r="J2330" s="8"/>
      <c r="K2330" s="84"/>
      <c r="U2330" s="20"/>
      <c r="W2330" s="20"/>
      <c r="AC2330" s="298">
        <v>80</v>
      </c>
      <c r="AD2330" s="289"/>
      <c r="AE2330" s="289"/>
      <c r="AF2330" s="289"/>
      <c r="AG2330" s="289"/>
      <c r="AH2330" s="289"/>
      <c r="AI2330" s="289"/>
      <c r="AJ2330" s="289"/>
      <c r="AK2330" s="289"/>
      <c r="AL2330" s="289"/>
    </row>
    <row r="2331" spans="1:49" ht="14.25" customHeight="1">
      <c r="T2331" s="488" t="str">
        <f>IF($C$1="ENG",CONCATENATE("down to: ",B2381),CONCATENATE("вниз до: ",B2381))</f>
        <v>вниз до: Дверна коробка Verto-FIT Comfort</v>
      </c>
      <c r="U2331" s="488"/>
      <c r="V2331" s="488"/>
      <c r="W2331" s="488"/>
    </row>
    <row r="2332" spans="1:49" ht="14.25" customHeight="1">
      <c r="C2332" s="245"/>
      <c r="D2332" s="26"/>
      <c r="E2332" s="26"/>
      <c r="F2332" s="26"/>
      <c r="G2332" s="57"/>
      <c r="H2332" s="5"/>
      <c r="K2332" s="84"/>
      <c r="L2332" s="279"/>
      <c r="O2332" s="57"/>
      <c r="P2332" s="279"/>
      <c r="S2332" s="57"/>
      <c r="T2332" s="279"/>
      <c r="W2332" s="57"/>
      <c r="X2332" s="279"/>
      <c r="Y2332" s="279"/>
      <c r="Z2332" s="279"/>
      <c r="AA2332" s="279"/>
      <c r="AB2332" s="279"/>
    </row>
    <row r="2333" spans="1:49" ht="14.25" customHeight="1">
      <c r="C2333" s="245"/>
      <c r="D2333" s="26"/>
      <c r="E2333" s="26"/>
      <c r="F2333" s="26"/>
      <c r="G2333" s="57"/>
      <c r="H2333" s="279"/>
      <c r="K2333" s="57"/>
      <c r="L2333" s="245"/>
      <c r="M2333" s="246"/>
      <c r="N2333" s="245"/>
      <c r="O2333" s="245"/>
      <c r="P2333" s="245"/>
      <c r="Q2333" s="246"/>
      <c r="R2333" s="245"/>
      <c r="S2333" s="245"/>
      <c r="T2333" s="245"/>
      <c r="U2333" s="246"/>
      <c r="V2333" s="245"/>
      <c r="W2333" s="245"/>
    </row>
    <row r="2334" spans="1:49" ht="14.25" customHeight="1">
      <c r="C2334" s="245"/>
      <c r="D2334" s="245"/>
      <c r="E2334" s="245"/>
      <c r="F2334" s="245"/>
      <c r="G2334" s="249"/>
      <c r="H2334" s="245"/>
      <c r="I2334" s="246"/>
      <c r="J2334" s="245"/>
      <c r="K2334" s="245"/>
      <c r="L2334" s="245"/>
      <c r="M2334" s="245"/>
      <c r="N2334" s="245"/>
      <c r="O2334" s="245"/>
      <c r="P2334" s="245"/>
      <c r="Q2334" s="245"/>
      <c r="R2334" s="245"/>
      <c r="S2334" s="245"/>
      <c r="T2334" s="245"/>
      <c r="U2334" s="245"/>
      <c r="V2334" s="245"/>
      <c r="W2334" s="245"/>
    </row>
    <row r="2335" spans="1:49" ht="14.25" customHeight="1">
      <c r="C2335" s="245"/>
      <c r="D2335" s="245"/>
      <c r="E2335" s="245"/>
      <c r="F2335" s="245"/>
      <c r="G2335" s="245"/>
      <c r="H2335" s="245"/>
      <c r="I2335" s="245"/>
      <c r="J2335" s="245"/>
      <c r="K2335" s="245"/>
    </row>
    <row r="2336" spans="1:49" ht="14.25" customHeight="1">
      <c r="C2336" s="245"/>
      <c r="D2336" s="26"/>
      <c r="E2336" s="26"/>
      <c r="F2336" s="26"/>
      <c r="G2336" s="26"/>
      <c r="H2336" s="5"/>
    </row>
    <row r="2337" spans="3:8" ht="14.25" customHeight="1">
      <c r="C2337" s="245"/>
      <c r="D2337" s="26"/>
      <c r="E2337" s="26"/>
      <c r="F2337" s="26"/>
      <c r="G2337" s="26"/>
      <c r="H2337" s="5"/>
    </row>
    <row r="2338" spans="3:8" ht="14.25" customHeight="1">
      <c r="C2338" s="245"/>
      <c r="D2338" s="26"/>
      <c r="E2338" s="26"/>
      <c r="F2338" s="26"/>
      <c r="G2338" s="26"/>
      <c r="H2338" s="5"/>
    </row>
    <row r="2339" spans="3:8" ht="14.25" customHeight="1">
      <c r="C2339" s="245"/>
      <c r="D2339" s="26"/>
      <c r="E2339" s="26"/>
      <c r="F2339" s="26"/>
      <c r="G2339" s="26"/>
      <c r="H2339" s="5"/>
    </row>
    <row r="2340" spans="3:8" ht="14.25" customHeight="1">
      <c r="C2340" s="245"/>
      <c r="D2340" s="26"/>
      <c r="E2340" s="26"/>
      <c r="F2340" s="26"/>
      <c r="G2340" s="26"/>
      <c r="H2340" s="5"/>
    </row>
    <row r="2341" spans="3:8" ht="14.25" customHeight="1">
      <c r="C2341" s="245"/>
      <c r="D2341" s="26"/>
      <c r="E2341" s="26"/>
      <c r="F2341" s="26"/>
      <c r="G2341" s="26"/>
      <c r="H2341" s="5"/>
    </row>
    <row r="2342" spans="3:8" ht="14.25" customHeight="1">
      <c r="C2342" s="245"/>
      <c r="D2342" s="26"/>
      <c r="E2342" s="26"/>
      <c r="F2342" s="26"/>
      <c r="G2342" s="26"/>
      <c r="H2342" s="5"/>
    </row>
    <row r="2343" spans="3:8" ht="14.25" customHeight="1">
      <c r="C2343" s="245"/>
      <c r="D2343" s="26"/>
      <c r="E2343" s="26"/>
      <c r="F2343" s="26"/>
      <c r="G2343" s="26"/>
      <c r="H2343" s="5"/>
    </row>
    <row r="2344" spans="3:8" ht="14.25" customHeight="1">
      <c r="C2344" s="245"/>
      <c r="D2344" s="26"/>
      <c r="E2344" s="26"/>
      <c r="F2344" s="26"/>
      <c r="G2344" s="26"/>
      <c r="H2344" s="5"/>
    </row>
    <row r="2345" spans="3:8" ht="14.25" customHeight="1">
      <c r="C2345" s="245"/>
      <c r="D2345" s="26"/>
      <c r="E2345" s="26"/>
      <c r="F2345" s="26"/>
      <c r="G2345" s="26"/>
      <c r="H2345" s="5"/>
    </row>
    <row r="2346" spans="3:8" ht="14.25" customHeight="1">
      <c r="C2346" s="245"/>
      <c r="D2346" s="26"/>
      <c r="E2346" s="26"/>
      <c r="F2346" s="26"/>
      <c r="G2346" s="26"/>
      <c r="H2346" s="5"/>
    </row>
    <row r="2347" spans="3:8" ht="14.25" customHeight="1">
      <c r="C2347" s="245"/>
      <c r="D2347" s="26"/>
      <c r="E2347" s="26"/>
      <c r="F2347" s="26"/>
      <c r="G2347" s="26"/>
      <c r="H2347" s="5"/>
    </row>
    <row r="2348" spans="3:8" ht="14.25" customHeight="1">
      <c r="C2348" s="245"/>
      <c r="D2348" s="26"/>
      <c r="E2348" s="26"/>
      <c r="F2348" s="26"/>
      <c r="G2348" s="26"/>
      <c r="H2348" s="5"/>
    </row>
    <row r="2349" spans="3:8" ht="14.25" customHeight="1">
      <c r="C2349" s="245"/>
      <c r="D2349" s="26"/>
      <c r="E2349" s="26"/>
      <c r="F2349" s="26"/>
      <c r="G2349" s="26"/>
      <c r="H2349" s="5"/>
    </row>
    <row r="2350" spans="3:8" ht="14.25" customHeight="1">
      <c r="C2350" s="245"/>
      <c r="D2350" s="26"/>
      <c r="E2350" s="26"/>
      <c r="F2350" s="26"/>
      <c r="G2350" s="26"/>
      <c r="H2350" s="5"/>
    </row>
    <row r="2351" spans="3:8" ht="14.25" customHeight="1">
      <c r="C2351" s="245"/>
      <c r="D2351" s="26"/>
      <c r="E2351" s="26"/>
      <c r="F2351" s="26"/>
      <c r="G2351" s="26"/>
      <c r="H2351" s="5"/>
    </row>
    <row r="2352" spans="3:8" ht="14.25" customHeight="1">
      <c r="C2352" s="245"/>
      <c r="D2352" s="26"/>
      <c r="E2352" s="26"/>
      <c r="F2352" s="26"/>
      <c r="G2352" s="26"/>
      <c r="H2352" s="5"/>
    </row>
    <row r="2353" spans="3:8" ht="14.25" customHeight="1">
      <c r="C2353" s="245"/>
      <c r="D2353" s="26"/>
      <c r="E2353" s="26"/>
      <c r="F2353" s="26"/>
      <c r="G2353" s="26"/>
      <c r="H2353" s="5"/>
    </row>
    <row r="2354" spans="3:8" ht="14.25" customHeight="1">
      <c r="C2354" s="245"/>
      <c r="D2354" s="26"/>
      <c r="E2354" s="26"/>
      <c r="F2354" s="26"/>
      <c r="G2354" s="26"/>
      <c r="H2354" s="5"/>
    </row>
    <row r="2355" spans="3:8" ht="14.25" customHeight="1">
      <c r="C2355" s="245"/>
      <c r="D2355" s="26"/>
      <c r="E2355" s="26"/>
      <c r="F2355" s="26"/>
      <c r="G2355" s="26"/>
      <c r="H2355" s="5"/>
    </row>
    <row r="2356" spans="3:8" ht="14.25" customHeight="1">
      <c r="C2356" s="245"/>
      <c r="D2356" s="26"/>
      <c r="E2356" s="26"/>
      <c r="F2356" s="26"/>
      <c r="G2356" s="26"/>
      <c r="H2356" s="5"/>
    </row>
    <row r="2357" spans="3:8" ht="14.25" customHeight="1">
      <c r="C2357" s="245"/>
      <c r="D2357" s="26"/>
      <c r="E2357" s="26"/>
      <c r="F2357" s="26"/>
      <c r="G2357" s="26"/>
      <c r="H2357" s="5"/>
    </row>
    <row r="2358" spans="3:8" ht="14.25" customHeight="1">
      <c r="C2358" s="245"/>
      <c r="D2358" s="26"/>
      <c r="E2358" s="26"/>
      <c r="F2358" s="26"/>
      <c r="G2358" s="26"/>
      <c r="H2358" s="5"/>
    </row>
    <row r="2359" spans="3:8" ht="14.25" customHeight="1">
      <c r="C2359" s="245"/>
      <c r="D2359" s="26"/>
      <c r="E2359" s="26"/>
      <c r="F2359" s="26"/>
      <c r="G2359" s="26"/>
      <c r="H2359" s="5"/>
    </row>
    <row r="2360" spans="3:8" ht="14.25" customHeight="1">
      <c r="C2360" s="245"/>
      <c r="D2360" s="26"/>
      <c r="E2360" s="26"/>
      <c r="F2360" s="26"/>
      <c r="G2360" s="26"/>
      <c r="H2360" s="5"/>
    </row>
    <row r="2361" spans="3:8" ht="14.25" customHeight="1">
      <c r="C2361" s="245"/>
      <c r="D2361" s="26"/>
      <c r="E2361" s="26"/>
      <c r="F2361" s="26"/>
      <c r="G2361" s="26"/>
      <c r="H2361" s="5"/>
    </row>
    <row r="2362" spans="3:8" ht="14.25" customHeight="1">
      <c r="C2362" s="245"/>
      <c r="D2362" s="26"/>
      <c r="E2362" s="26"/>
      <c r="F2362" s="26"/>
      <c r="G2362" s="26"/>
      <c r="H2362" s="5"/>
    </row>
    <row r="2363" spans="3:8" ht="14.25" customHeight="1">
      <c r="C2363" s="245"/>
      <c r="D2363" s="26"/>
      <c r="E2363" s="26"/>
      <c r="F2363" s="26"/>
      <c r="G2363" s="26"/>
      <c r="H2363" s="5"/>
    </row>
    <row r="2364" spans="3:8" ht="14.25" customHeight="1">
      <c r="C2364" s="245"/>
      <c r="D2364" s="26"/>
      <c r="E2364" s="26"/>
      <c r="F2364" s="26"/>
      <c r="G2364" s="26"/>
      <c r="H2364" s="5"/>
    </row>
    <row r="2365" spans="3:8" ht="14.25" customHeight="1">
      <c r="C2365" s="245"/>
      <c r="D2365" s="26"/>
      <c r="E2365" s="26"/>
      <c r="F2365" s="26"/>
      <c r="G2365" s="26"/>
      <c r="H2365" s="5"/>
    </row>
    <row r="2366" spans="3:8" ht="14.25" customHeight="1">
      <c r="C2366" s="245"/>
      <c r="D2366" s="26"/>
      <c r="E2366" s="26"/>
      <c r="F2366" s="26"/>
      <c r="G2366" s="26"/>
      <c r="H2366" s="5"/>
    </row>
    <row r="2367" spans="3:8" ht="14.25" customHeight="1">
      <c r="C2367" s="245"/>
      <c r="D2367" s="26"/>
      <c r="E2367" s="26"/>
      <c r="F2367" s="26"/>
      <c r="G2367" s="26"/>
      <c r="H2367" s="5"/>
    </row>
    <row r="2368" spans="3:8" ht="14.25" customHeight="1">
      <c r="C2368" s="245"/>
      <c r="D2368" s="26"/>
      <c r="E2368" s="26"/>
      <c r="F2368" s="26"/>
      <c r="G2368" s="26"/>
      <c r="H2368" s="5"/>
    </row>
    <row r="2369" spans="1:46" ht="14.25" customHeight="1">
      <c r="C2369" s="245"/>
      <c r="D2369" s="26"/>
      <c r="E2369" s="26"/>
      <c r="F2369" s="26"/>
      <c r="G2369" s="26"/>
      <c r="H2369" s="5"/>
    </row>
    <row r="2370" spans="1:46" ht="14.25" customHeight="1">
      <c r="C2370" s="245"/>
      <c r="D2370" s="26"/>
      <c r="E2370" s="26"/>
      <c r="F2370" s="26"/>
      <c r="G2370" s="26"/>
      <c r="H2370" s="5"/>
    </row>
    <row r="2371" spans="1:46" ht="14.25" customHeight="1">
      <c r="C2371" s="245"/>
      <c r="D2371" s="26"/>
      <c r="E2371" s="26"/>
      <c r="F2371" s="26"/>
      <c r="G2371" s="26"/>
      <c r="H2371" s="5"/>
    </row>
    <row r="2372" spans="1:46" ht="14.25" customHeight="1">
      <c r="C2372" s="245"/>
      <c r="D2372" s="26"/>
      <c r="E2372" s="26"/>
      <c r="F2372" s="26"/>
      <c r="G2372" s="26"/>
      <c r="H2372" s="5"/>
    </row>
    <row r="2373" spans="1:46" ht="14.25" customHeight="1">
      <c r="C2373" s="245"/>
      <c r="D2373" s="26"/>
      <c r="E2373" s="26"/>
      <c r="F2373" s="26"/>
      <c r="G2373" s="26"/>
      <c r="H2373" s="5"/>
    </row>
    <row r="2374" spans="1:46" ht="14.25" customHeight="1">
      <c r="C2374" s="245"/>
      <c r="D2374" s="26"/>
      <c r="E2374" s="26"/>
      <c r="F2374" s="26"/>
      <c r="G2374" s="26"/>
      <c r="H2374" s="5"/>
      <c r="AF2374" s="8"/>
      <c r="AH2374" s="8"/>
    </row>
    <row r="2375" spans="1:46" ht="14.25" customHeight="1">
      <c r="C2375" s="245"/>
      <c r="D2375" s="26"/>
      <c r="E2375" s="26"/>
      <c r="F2375" s="26"/>
      <c r="G2375" s="26"/>
      <c r="H2375" s="5"/>
    </row>
    <row r="2376" spans="1:46" ht="14.25" customHeight="1">
      <c r="C2376" s="245"/>
      <c r="D2376" s="26"/>
      <c r="E2376" s="26"/>
      <c r="F2376" s="26"/>
      <c r="G2376" s="26"/>
      <c r="H2376" s="5"/>
    </row>
    <row r="2377" spans="1:46" ht="14.25" customHeight="1">
      <c r="C2377" s="245"/>
      <c r="D2377" s="26"/>
      <c r="E2377" s="26"/>
      <c r="F2377" s="26"/>
      <c r="G2377" s="26"/>
      <c r="H2377" s="5"/>
    </row>
    <row r="2378" spans="1:46" ht="14.25" customHeight="1">
      <c r="C2378" s="245"/>
      <c r="D2378" s="26"/>
      <c r="E2378" s="26"/>
      <c r="F2378" s="26"/>
      <c r="G2378" s="26"/>
      <c r="H2378" s="5"/>
    </row>
    <row r="2379" spans="1:46" ht="14.25" customHeight="1">
      <c r="C2379" s="245"/>
      <c r="D2379" s="26"/>
      <c r="E2379" s="26"/>
      <c r="F2379" s="26"/>
      <c r="G2379" s="26"/>
      <c r="H2379" s="5"/>
    </row>
    <row r="2380" spans="1:46" ht="14.25" customHeight="1">
      <c r="C2380" s="245"/>
      <c r="D2380" s="26"/>
      <c r="E2380" s="26"/>
      <c r="F2380" s="26"/>
      <c r="G2380" s="26"/>
      <c r="H2380" s="5"/>
    </row>
    <row r="2381" spans="1:46" s="8" customFormat="1">
      <c r="B2381" s="493" t="str">
        <f>TITLE!$C$45</f>
        <v>Дверна коробка Verto-FIT Comfort</v>
      </c>
      <c r="C2381" s="494"/>
      <c r="D2381" s="118"/>
      <c r="E2381" s="495" t="str">
        <f>IF($C$1="ENG","For Door Leafs without Rebbit","Для Дверних Полотен без Фальця")</f>
        <v>Для Дверних Полотен без Фальця</v>
      </c>
      <c r="F2381" s="495"/>
      <c r="G2381" s="495"/>
      <c r="H2381" s="495"/>
      <c r="I2381" s="495"/>
      <c r="J2381" s="495"/>
      <c r="K2381" s="495"/>
      <c r="L2381" s="496"/>
      <c r="M2381" s="496"/>
      <c r="N2381" s="496"/>
      <c r="O2381" s="496"/>
      <c r="P2381" s="496"/>
      <c r="Q2381" s="496"/>
      <c r="R2381" s="496"/>
      <c r="S2381" s="496"/>
      <c r="T2381" s="497" t="str">
        <f>IF($C$1="ENG",CONCATENATE("up to: ",B2313),CONCATENATE("вгору до: ",B2313))</f>
        <v>вгору до: Дверна коробка Verto-FIT Plus</v>
      </c>
      <c r="U2381" s="497"/>
      <c r="V2381" s="497"/>
      <c r="W2381" s="497"/>
      <c r="AC2381" s="1"/>
      <c r="AE2381" s="1"/>
      <c r="AF2381" s="1"/>
      <c r="AG2381" s="1"/>
      <c r="AI2381" s="1"/>
      <c r="AK2381" s="1"/>
      <c r="AN2381" s="280"/>
      <c r="AO2381" s="280"/>
      <c r="AP2381" s="280"/>
      <c r="AQ2381" s="280"/>
      <c r="AR2381" s="280"/>
      <c r="AS2381" s="280"/>
      <c r="AT2381" s="280"/>
    </row>
    <row r="2382" spans="1:46" s="8" customFormat="1" ht="5.0999999999999996" customHeight="1">
      <c r="C2382" s="424"/>
      <c r="T2382" s="116"/>
      <c r="U2382" s="116"/>
      <c r="V2382" s="116"/>
      <c r="W2382" s="116"/>
      <c r="AN2382" s="280"/>
      <c r="AO2382" s="280"/>
      <c r="AP2382" s="280"/>
      <c r="AQ2382" s="280"/>
      <c r="AR2382" s="280"/>
      <c r="AS2382" s="280"/>
      <c r="AT2382" s="280"/>
    </row>
    <row r="2383" spans="1:46" ht="12.75" customHeight="1">
      <c r="A2383" s="8"/>
      <c r="B2383" s="307" t="str">
        <f>IF($C$1="ENG","model","модель")</f>
        <v>модель</v>
      </c>
      <c r="C2383" s="122" t="str">
        <f>IF($C$1="ENG","cover:","покриття:")</f>
        <v>покриття:</v>
      </c>
      <c r="D2383" s="498" t="str">
        <f>IF($C$1="ENG","SIMPLEX / VERTO-CELL","SIMPLEX / VERTO-CELL ")</f>
        <v xml:space="preserve">SIMPLEX / VERTO-CELL </v>
      </c>
      <c r="E2383" s="499"/>
      <c r="F2383" s="499"/>
      <c r="G2383" s="500"/>
      <c r="H2383" s="498" t="str">
        <f>IF($C$1="ENG","UNI-MAT","UNI-MAT")</f>
        <v>UNI-MAT</v>
      </c>
      <c r="I2383" s="499"/>
      <c r="J2383" s="499"/>
      <c r="K2383" s="500"/>
      <c r="L2383" s="498" t="str">
        <f>IF($C$1="ENG","RESIST","RESIST")</f>
        <v>RESIST</v>
      </c>
      <c r="M2383" s="499"/>
      <c r="N2383" s="499"/>
      <c r="O2383" s="500"/>
      <c r="P2383" s="498" t="str">
        <f>IF($C$1="ENG","Verto LINE-3D","Verto LINE-3D")</f>
        <v>Verto LINE-3D</v>
      </c>
      <c r="Q2383" s="499"/>
      <c r="R2383" s="499"/>
      <c r="S2383" s="500"/>
      <c r="T2383" s="498" t="str">
        <f>IF($C$1="ENG","ECO Shpon / LOFT","ЕКО Шпон / LOFT")</f>
        <v>ЕКО Шпон / LOFT</v>
      </c>
      <c r="U2383" s="499"/>
      <c r="V2383" s="499"/>
      <c r="W2383" s="500"/>
      <c r="AO2383" s="384">
        <v>0.15</v>
      </c>
    </row>
    <row r="2384" spans="1:46" ht="12.75" customHeight="1">
      <c r="A2384" s="8"/>
      <c r="B2384" s="308"/>
      <c r="C2384" s="124" t="str">
        <f>IF($C$1="ENG","type:","виконання:")</f>
        <v>виконання:</v>
      </c>
      <c r="D2384" s="489" t="str">
        <f>IF($C$1="ENG","single leaf","одностулкове")</f>
        <v>одностулкове</v>
      </c>
      <c r="E2384" s="490"/>
      <c r="F2384" s="445"/>
      <c r="G2384" s="444"/>
      <c r="H2384" s="489" t="str">
        <f>IF($C$1="ENG","single leaf","одностулкове")</f>
        <v>одностулкове</v>
      </c>
      <c r="I2384" s="490"/>
      <c r="J2384" s="445"/>
      <c r="K2384" s="444"/>
      <c r="L2384" s="489" t="str">
        <f>IF($C$1="ENG","single leaf","одностулкове")</f>
        <v>одностулкове</v>
      </c>
      <c r="M2384" s="490"/>
      <c r="N2384" s="491"/>
      <c r="O2384" s="492"/>
      <c r="P2384" s="489" t="str">
        <f>IF($C$1="ENG","single leaf","одностулкове")</f>
        <v>одностулкове</v>
      </c>
      <c r="Q2384" s="490"/>
      <c r="R2384" s="491"/>
      <c r="S2384" s="492"/>
      <c r="T2384" s="489" t="str">
        <f>IF($C$1="ENG","single leaf","одностулкове")</f>
        <v>одностулкове</v>
      </c>
      <c r="U2384" s="490"/>
      <c r="V2384" s="491"/>
      <c r="W2384" s="492"/>
    </row>
    <row r="2385" spans="1:49" ht="12.75" customHeight="1">
      <c r="A2385" s="8"/>
      <c r="B2385" s="13" t="str">
        <f>IF($C$1="ENG","A (75 - 95 mm)","A (75 - 95 мм)")</f>
        <v>A (75 - 95 мм)</v>
      </c>
      <c r="C2385" s="447"/>
      <c r="D2385" s="15">
        <f t="shared" ref="D2385:D2394" si="369">IF(AC2385="","",(1-$W$2)*(AC2385/1.2))</f>
        <v>2975</v>
      </c>
      <c r="E2385" s="267">
        <f t="shared" ref="E2385:E2394" si="370">IF($W$5=0.2,D2385*1.2,D2385)/$W$4</f>
        <v>3570</v>
      </c>
      <c r="F2385" s="270"/>
      <c r="G2385" s="64"/>
      <c r="H2385" s="15">
        <f t="shared" ref="H2385:H2394" si="371">IF(AE2385="","",(1-$W$2)*(AE2385/1.2))</f>
        <v>3416.666666666667</v>
      </c>
      <c r="I2385" s="267">
        <f t="shared" ref="I2385:I2394" si="372">IF($W$5=0.2,H2385*1.2,H2385)/$W$4</f>
        <v>4100</v>
      </c>
      <c r="J2385" s="270"/>
      <c r="K2385" s="64"/>
      <c r="L2385" s="15">
        <f t="shared" ref="L2385:L2394" si="373">IF(AG2385="","",(1-$W$2)*(AG2385/1.2))</f>
        <v>3600</v>
      </c>
      <c r="M2385" s="267">
        <f t="shared" ref="M2385:M2394" si="374">IF($W$5=0.2,L2385*1.2,L2385)/$W$4</f>
        <v>4320</v>
      </c>
      <c r="N2385" s="270"/>
      <c r="O2385" s="64"/>
      <c r="P2385" s="15">
        <f t="shared" ref="P2385:P2394" si="375">IF(AI2385="","",(1-$W$2)*(AI2385/1.2))</f>
        <v>3841.666666666667</v>
      </c>
      <c r="Q2385" s="267">
        <f t="shared" ref="Q2385:Q2394" si="376">IF($W$5=0.2,P2385*1.2,P2385)/$W$4</f>
        <v>4610</v>
      </c>
      <c r="R2385" s="270"/>
      <c r="S2385" s="64"/>
      <c r="T2385" s="15">
        <f t="shared" ref="T2385:T2394" si="377">IF(AK2385="","",(1-$W$2)*(AK2385/1.2))</f>
        <v>4108.3333333333339</v>
      </c>
      <c r="U2385" s="267">
        <f t="shared" ref="U2385:U2394" si="378">IF($W$5=0.2,T2385*1.2,T2385)/$W$4</f>
        <v>4930.0000000000009</v>
      </c>
      <c r="V2385" s="270"/>
      <c r="W2385" s="64"/>
      <c r="X2385" s="22"/>
      <c r="Y2385" s="22"/>
      <c r="Z2385" s="22"/>
      <c r="AA2385" s="22"/>
      <c r="AB2385" s="22"/>
      <c r="AC2385" s="332">
        <v>3570</v>
      </c>
      <c r="AD2385" s="332"/>
      <c r="AE2385" s="332">
        <v>4100</v>
      </c>
      <c r="AF2385" s="332"/>
      <c r="AG2385" s="332">
        <v>4320</v>
      </c>
      <c r="AH2385" s="332"/>
      <c r="AI2385" s="332">
        <v>4610</v>
      </c>
      <c r="AJ2385" s="332"/>
      <c r="AK2385" s="332">
        <v>4930</v>
      </c>
      <c r="AL2385" s="289"/>
      <c r="AM2385" s="387">
        <v>3570</v>
      </c>
      <c r="AN2385" s="310">
        <f>AM2385/AC2385-1</f>
        <v>0</v>
      </c>
      <c r="AO2385" s="387">
        <f>AD2385/100*13+AD2385</f>
        <v>0</v>
      </c>
      <c r="AP2385" s="30" t="e">
        <f>AO2385/AD2385-1</f>
        <v>#DIV/0!</v>
      </c>
      <c r="AQ2385" s="387">
        <v>4101</v>
      </c>
      <c r="AR2385" s="30">
        <f>AQ2385/AE2385-1</f>
        <v>2.4390243902439046E-4</v>
      </c>
      <c r="AS2385" s="387">
        <f>AF2385/100*13+AF2385</f>
        <v>0</v>
      </c>
      <c r="AT2385" s="30" t="e">
        <f>AS2385/AF2385-1</f>
        <v>#DIV/0!</v>
      </c>
      <c r="AU2385" s="387">
        <v>4320</v>
      </c>
      <c r="AV2385" s="1">
        <f>AU2385/AG2385-1</f>
        <v>0</v>
      </c>
      <c r="AW2385" s="1">
        <f>AH2385/100*13+AH2385</f>
        <v>0</v>
      </c>
    </row>
    <row r="2386" spans="1:49">
      <c r="A2386" s="8"/>
      <c r="B2386" s="16" t="str">
        <f>IF($C$1="ENG","B (95 - 115 mm)","B (95 - 115 мм)")</f>
        <v>B (95 - 115 мм)</v>
      </c>
      <c r="C2386" s="432"/>
      <c r="D2386" s="18">
        <f t="shared" si="369"/>
        <v>3116.666666666667</v>
      </c>
      <c r="E2386" s="268">
        <f t="shared" si="370"/>
        <v>3740</v>
      </c>
      <c r="F2386" s="271"/>
      <c r="G2386" s="66"/>
      <c r="H2386" s="18">
        <f t="shared" si="371"/>
        <v>3591.666666666667</v>
      </c>
      <c r="I2386" s="268">
        <f t="shared" si="372"/>
        <v>4310</v>
      </c>
      <c r="J2386" s="271"/>
      <c r="K2386" s="66"/>
      <c r="L2386" s="18">
        <f t="shared" si="373"/>
        <v>3766.666666666667</v>
      </c>
      <c r="M2386" s="268">
        <f t="shared" si="374"/>
        <v>4520</v>
      </c>
      <c r="N2386" s="271"/>
      <c r="O2386" s="66"/>
      <c r="P2386" s="18">
        <f t="shared" si="375"/>
        <v>4033.3333333333335</v>
      </c>
      <c r="Q2386" s="268">
        <f t="shared" si="376"/>
        <v>4840</v>
      </c>
      <c r="R2386" s="271"/>
      <c r="S2386" s="66"/>
      <c r="T2386" s="18">
        <f t="shared" si="377"/>
        <v>4308.3333333333339</v>
      </c>
      <c r="U2386" s="268">
        <f t="shared" si="378"/>
        <v>5170.0000000000009</v>
      </c>
      <c r="V2386" s="271"/>
      <c r="W2386" s="66"/>
      <c r="X2386" s="22"/>
      <c r="Y2386" s="22"/>
      <c r="Z2386" s="22"/>
      <c r="AA2386" s="22"/>
      <c r="AB2386" s="22"/>
      <c r="AC2386" s="332">
        <v>3740</v>
      </c>
      <c r="AD2386" s="332"/>
      <c r="AE2386" s="332">
        <v>4310</v>
      </c>
      <c r="AF2386" s="332"/>
      <c r="AG2386" s="332">
        <v>4520</v>
      </c>
      <c r="AH2386" s="332"/>
      <c r="AI2386" s="332">
        <v>4840</v>
      </c>
      <c r="AJ2386" s="332"/>
      <c r="AK2386" s="332">
        <v>5170</v>
      </c>
      <c r="AL2386" s="289"/>
      <c r="AM2386" s="387">
        <v>3740</v>
      </c>
      <c r="AN2386" s="30">
        <f t="shared" ref="AN2386:AN2394" si="379">AM2386/AC2386-1</f>
        <v>0</v>
      </c>
      <c r="AO2386" s="387">
        <f t="shared" ref="AO2386:AO2394" si="380">AD2386/100*13+AD2386</f>
        <v>0</v>
      </c>
      <c r="AP2386" s="30" t="e">
        <f t="shared" ref="AP2386:AP2394" si="381">AO2386/AD2386-1</f>
        <v>#DIV/0!</v>
      </c>
      <c r="AQ2386" s="387">
        <v>4310</v>
      </c>
      <c r="AR2386" s="30">
        <f t="shared" ref="AR2386:AR2394" si="382">AQ2386/AE2386-1</f>
        <v>0</v>
      </c>
      <c r="AS2386" s="387">
        <f t="shared" ref="AS2386:AS2394" si="383">AF2386/100*13+AF2386</f>
        <v>0</v>
      </c>
      <c r="AT2386" s="30" t="e">
        <f t="shared" ref="AT2386:AT2394" si="384">AS2386/AF2386-1</f>
        <v>#DIV/0!</v>
      </c>
      <c r="AU2386" s="387">
        <v>4520</v>
      </c>
      <c r="AV2386" s="1">
        <f t="shared" ref="AV2386:AV2394" si="385">AU2386/AG2386-1</f>
        <v>0</v>
      </c>
      <c r="AW2386" s="1">
        <f t="shared" ref="AW2386:AW2394" si="386">AH2386/100*13+AH2386</f>
        <v>0</v>
      </c>
    </row>
    <row r="2387" spans="1:49">
      <c r="A2387" s="8"/>
      <c r="B2387" s="16" t="str">
        <f>IF($C$1="ENG","B+ (115 - 135 mm)","B+ (115 - 135 мм)")</f>
        <v>B+ (115 - 135 мм)</v>
      </c>
      <c r="C2387" s="432"/>
      <c r="D2387" s="18">
        <f t="shared" si="369"/>
        <v>3183.3333333333335</v>
      </c>
      <c r="E2387" s="268">
        <f t="shared" si="370"/>
        <v>3820</v>
      </c>
      <c r="F2387" s="271"/>
      <c r="G2387" s="66"/>
      <c r="H2387" s="18">
        <f t="shared" si="371"/>
        <v>3666.666666666667</v>
      </c>
      <c r="I2387" s="268">
        <f t="shared" si="372"/>
        <v>4400</v>
      </c>
      <c r="J2387" s="271"/>
      <c r="K2387" s="66"/>
      <c r="L2387" s="18">
        <f t="shared" si="373"/>
        <v>3858.3333333333335</v>
      </c>
      <c r="M2387" s="268">
        <f t="shared" si="374"/>
        <v>4630</v>
      </c>
      <c r="N2387" s="271"/>
      <c r="O2387" s="66"/>
      <c r="P2387" s="18">
        <f t="shared" si="375"/>
        <v>4125</v>
      </c>
      <c r="Q2387" s="268">
        <f t="shared" si="376"/>
        <v>4950</v>
      </c>
      <c r="R2387" s="271"/>
      <c r="S2387" s="66"/>
      <c r="T2387" s="18">
        <f t="shared" si="377"/>
        <v>4400</v>
      </c>
      <c r="U2387" s="268">
        <f t="shared" si="378"/>
        <v>5280</v>
      </c>
      <c r="V2387" s="271"/>
      <c r="W2387" s="66"/>
      <c r="X2387" s="22"/>
      <c r="Y2387" s="22"/>
      <c r="Z2387" s="22"/>
      <c r="AA2387" s="22"/>
      <c r="AB2387" s="22"/>
      <c r="AC2387" s="332">
        <v>3820</v>
      </c>
      <c r="AD2387" s="332"/>
      <c r="AE2387" s="332">
        <v>4400</v>
      </c>
      <c r="AF2387" s="332"/>
      <c r="AG2387" s="332">
        <v>4630</v>
      </c>
      <c r="AH2387" s="332"/>
      <c r="AI2387" s="332">
        <v>4950</v>
      </c>
      <c r="AJ2387" s="332"/>
      <c r="AK2387" s="332">
        <v>5280</v>
      </c>
      <c r="AL2387" s="289"/>
      <c r="AM2387" s="387">
        <v>3820</v>
      </c>
      <c r="AN2387" s="310">
        <f t="shared" si="379"/>
        <v>0</v>
      </c>
      <c r="AO2387" s="387">
        <f t="shared" si="380"/>
        <v>0</v>
      </c>
      <c r="AP2387" s="310" t="e">
        <f t="shared" si="381"/>
        <v>#DIV/0!</v>
      </c>
      <c r="AQ2387" s="387">
        <v>4400</v>
      </c>
      <c r="AR2387" s="30">
        <f t="shared" si="382"/>
        <v>0</v>
      </c>
      <c r="AS2387" s="387">
        <f t="shared" si="383"/>
        <v>0</v>
      </c>
      <c r="AT2387" s="30" t="e">
        <f t="shared" si="384"/>
        <v>#DIV/0!</v>
      </c>
      <c r="AU2387" s="387">
        <v>4630</v>
      </c>
      <c r="AV2387" s="1">
        <f t="shared" si="385"/>
        <v>0</v>
      </c>
      <c r="AW2387" s="1">
        <f t="shared" si="386"/>
        <v>0</v>
      </c>
    </row>
    <row r="2388" spans="1:49">
      <c r="A2388" s="8"/>
      <c r="B2388" s="16" t="str">
        <f>IF($C$1="ENG","C (120 - 140 mm)","C (120 - 140 мм)")</f>
        <v>C (120 - 140 мм)</v>
      </c>
      <c r="C2388" s="432"/>
      <c r="D2388" s="18">
        <f t="shared" si="369"/>
        <v>3258.3333333333335</v>
      </c>
      <c r="E2388" s="268">
        <f t="shared" si="370"/>
        <v>3910</v>
      </c>
      <c r="F2388" s="271"/>
      <c r="G2388" s="66"/>
      <c r="H2388" s="18">
        <f t="shared" si="371"/>
        <v>3750</v>
      </c>
      <c r="I2388" s="268">
        <f t="shared" si="372"/>
        <v>4500</v>
      </c>
      <c r="J2388" s="271"/>
      <c r="K2388" s="66"/>
      <c r="L2388" s="18">
        <f t="shared" si="373"/>
        <v>3925</v>
      </c>
      <c r="M2388" s="268">
        <f t="shared" si="374"/>
        <v>4710</v>
      </c>
      <c r="N2388" s="271"/>
      <c r="O2388" s="66"/>
      <c r="P2388" s="18">
        <f t="shared" si="375"/>
        <v>4216.666666666667</v>
      </c>
      <c r="Q2388" s="268">
        <f t="shared" si="376"/>
        <v>5060</v>
      </c>
      <c r="R2388" s="271"/>
      <c r="S2388" s="66"/>
      <c r="T2388" s="18">
        <f t="shared" si="377"/>
        <v>4500</v>
      </c>
      <c r="U2388" s="268">
        <f t="shared" si="378"/>
        <v>5400</v>
      </c>
      <c r="V2388" s="271"/>
      <c r="W2388" s="66"/>
      <c r="X2388" s="22"/>
      <c r="Y2388" s="22"/>
      <c r="Z2388" s="22"/>
      <c r="AA2388" s="22"/>
      <c r="AB2388" s="22"/>
      <c r="AC2388" s="332">
        <v>3910</v>
      </c>
      <c r="AD2388" s="332"/>
      <c r="AE2388" s="332">
        <v>4500</v>
      </c>
      <c r="AF2388" s="332"/>
      <c r="AG2388" s="332">
        <v>4710</v>
      </c>
      <c r="AH2388" s="332"/>
      <c r="AI2388" s="332">
        <v>5060</v>
      </c>
      <c r="AJ2388" s="332"/>
      <c r="AK2388" s="332">
        <v>5400</v>
      </c>
      <c r="AL2388" s="289"/>
      <c r="AM2388" s="387">
        <v>3910</v>
      </c>
      <c r="AN2388" s="310">
        <f t="shared" si="379"/>
        <v>0</v>
      </c>
      <c r="AO2388" s="387">
        <f t="shared" si="380"/>
        <v>0</v>
      </c>
      <c r="AP2388" s="30" t="e">
        <f t="shared" si="381"/>
        <v>#DIV/0!</v>
      </c>
      <c r="AQ2388" s="387">
        <v>4400</v>
      </c>
      <c r="AR2388" s="30">
        <f t="shared" si="382"/>
        <v>-2.2222222222222254E-2</v>
      </c>
      <c r="AS2388" s="387">
        <f t="shared" si="383"/>
        <v>0</v>
      </c>
      <c r="AT2388" s="30" t="e">
        <f t="shared" si="384"/>
        <v>#DIV/0!</v>
      </c>
      <c r="AU2388" s="387">
        <v>4710</v>
      </c>
      <c r="AV2388" s="1">
        <f t="shared" si="385"/>
        <v>0</v>
      </c>
      <c r="AW2388" s="1">
        <f t="shared" si="386"/>
        <v>0</v>
      </c>
    </row>
    <row r="2389" spans="1:49">
      <c r="A2389" s="8"/>
      <c r="B2389" s="16" t="str">
        <f>IF($C$1="ENG","D (140 - 160 mm)","D (140 - 160 мм)")</f>
        <v>D (140 - 160 мм)</v>
      </c>
      <c r="C2389" s="432"/>
      <c r="D2389" s="18">
        <f t="shared" si="369"/>
        <v>3400</v>
      </c>
      <c r="E2389" s="268">
        <f t="shared" si="370"/>
        <v>4080</v>
      </c>
      <c r="F2389" s="271"/>
      <c r="G2389" s="66"/>
      <c r="H2389" s="18">
        <f t="shared" si="371"/>
        <v>3908.3333333333335</v>
      </c>
      <c r="I2389" s="268">
        <f t="shared" si="372"/>
        <v>4690</v>
      </c>
      <c r="J2389" s="271"/>
      <c r="K2389" s="66"/>
      <c r="L2389" s="18">
        <f t="shared" si="373"/>
        <v>4108.3333333333339</v>
      </c>
      <c r="M2389" s="268">
        <f t="shared" si="374"/>
        <v>4930.0000000000009</v>
      </c>
      <c r="N2389" s="271"/>
      <c r="O2389" s="66"/>
      <c r="P2389" s="18">
        <f t="shared" si="375"/>
        <v>4408.3333333333339</v>
      </c>
      <c r="Q2389" s="268">
        <f t="shared" si="376"/>
        <v>5290.0000000000009</v>
      </c>
      <c r="R2389" s="271"/>
      <c r="S2389" s="66"/>
      <c r="T2389" s="18">
        <f t="shared" si="377"/>
        <v>4708.3333333333339</v>
      </c>
      <c r="U2389" s="268">
        <f t="shared" si="378"/>
        <v>5650.0000000000009</v>
      </c>
      <c r="V2389" s="271"/>
      <c r="W2389" s="66"/>
      <c r="X2389" s="22"/>
      <c r="Y2389" s="22"/>
      <c r="Z2389" s="22"/>
      <c r="AA2389" s="22"/>
      <c r="AB2389" s="22"/>
      <c r="AC2389" s="332">
        <v>4080</v>
      </c>
      <c r="AD2389" s="332"/>
      <c r="AE2389" s="332">
        <v>4690</v>
      </c>
      <c r="AF2389" s="332"/>
      <c r="AG2389" s="332">
        <v>4930</v>
      </c>
      <c r="AH2389" s="332"/>
      <c r="AI2389" s="332">
        <v>5290</v>
      </c>
      <c r="AJ2389" s="332"/>
      <c r="AK2389" s="332">
        <v>5650</v>
      </c>
      <c r="AL2389" s="289"/>
      <c r="AM2389" s="387">
        <v>4080</v>
      </c>
      <c r="AN2389" s="310">
        <f t="shared" si="379"/>
        <v>0</v>
      </c>
      <c r="AO2389" s="387">
        <f t="shared" si="380"/>
        <v>0</v>
      </c>
      <c r="AP2389" s="30" t="e">
        <f t="shared" si="381"/>
        <v>#DIV/0!</v>
      </c>
      <c r="AQ2389" s="387">
        <v>4690</v>
      </c>
      <c r="AR2389" s="30">
        <f t="shared" si="382"/>
        <v>0</v>
      </c>
      <c r="AS2389" s="387">
        <f t="shared" si="383"/>
        <v>0</v>
      </c>
      <c r="AT2389" s="30" t="e">
        <f t="shared" si="384"/>
        <v>#DIV/0!</v>
      </c>
      <c r="AU2389" s="387">
        <v>4930</v>
      </c>
      <c r="AV2389" s="1">
        <f t="shared" si="385"/>
        <v>0</v>
      </c>
      <c r="AW2389" s="1">
        <f t="shared" si="386"/>
        <v>0</v>
      </c>
    </row>
    <row r="2390" spans="1:49">
      <c r="A2390" s="8"/>
      <c r="B2390" s="16" t="str">
        <f>IF($C$1="ENG","E (160 - 180 mm)","E (160 - 180 мм)")</f>
        <v>E (160 - 180 мм)</v>
      </c>
      <c r="C2390" s="432"/>
      <c r="D2390" s="18">
        <f t="shared" si="369"/>
        <v>3541.666666666667</v>
      </c>
      <c r="E2390" s="268">
        <f t="shared" si="370"/>
        <v>4250</v>
      </c>
      <c r="F2390" s="271"/>
      <c r="G2390" s="66"/>
      <c r="H2390" s="18">
        <f t="shared" si="371"/>
        <v>4066.666666666667</v>
      </c>
      <c r="I2390" s="268">
        <f t="shared" si="372"/>
        <v>4880</v>
      </c>
      <c r="J2390" s="271"/>
      <c r="K2390" s="66"/>
      <c r="L2390" s="18">
        <f t="shared" si="373"/>
        <v>4283.3333333333339</v>
      </c>
      <c r="M2390" s="268">
        <f t="shared" si="374"/>
        <v>5140.0000000000009</v>
      </c>
      <c r="N2390" s="271"/>
      <c r="O2390" s="66"/>
      <c r="P2390" s="18">
        <f t="shared" si="375"/>
        <v>4600</v>
      </c>
      <c r="Q2390" s="268">
        <f t="shared" si="376"/>
        <v>5520</v>
      </c>
      <c r="R2390" s="271"/>
      <c r="S2390" s="66"/>
      <c r="T2390" s="18">
        <f t="shared" si="377"/>
        <v>4908.3333333333339</v>
      </c>
      <c r="U2390" s="268">
        <f t="shared" si="378"/>
        <v>5890.0000000000009</v>
      </c>
      <c r="V2390" s="271"/>
      <c r="W2390" s="66"/>
      <c r="X2390" s="22"/>
      <c r="Y2390" s="22"/>
      <c r="Z2390" s="22"/>
      <c r="AA2390" s="22"/>
      <c r="AB2390" s="22"/>
      <c r="AC2390" s="332">
        <v>4250</v>
      </c>
      <c r="AD2390" s="332"/>
      <c r="AE2390" s="332">
        <v>4880</v>
      </c>
      <c r="AF2390" s="332"/>
      <c r="AG2390" s="332">
        <v>5140</v>
      </c>
      <c r="AH2390" s="332"/>
      <c r="AI2390" s="332">
        <v>5520</v>
      </c>
      <c r="AJ2390" s="332"/>
      <c r="AK2390" s="332">
        <v>5890</v>
      </c>
      <c r="AL2390" s="289"/>
      <c r="AM2390" s="387">
        <v>4250</v>
      </c>
      <c r="AN2390" s="310">
        <f t="shared" si="379"/>
        <v>0</v>
      </c>
      <c r="AO2390" s="387">
        <f t="shared" si="380"/>
        <v>0</v>
      </c>
      <c r="AP2390" s="30" t="e">
        <f t="shared" si="381"/>
        <v>#DIV/0!</v>
      </c>
      <c r="AQ2390" s="387">
        <v>4880</v>
      </c>
      <c r="AR2390" s="30">
        <f t="shared" si="382"/>
        <v>0</v>
      </c>
      <c r="AS2390" s="387">
        <f t="shared" si="383"/>
        <v>0</v>
      </c>
      <c r="AT2390" s="30" t="e">
        <f t="shared" si="384"/>
        <v>#DIV/0!</v>
      </c>
      <c r="AU2390" s="387">
        <v>5140</v>
      </c>
      <c r="AV2390" s="1">
        <f t="shared" si="385"/>
        <v>0</v>
      </c>
      <c r="AW2390" s="1">
        <f t="shared" si="386"/>
        <v>0</v>
      </c>
    </row>
    <row r="2391" spans="1:49">
      <c r="A2391" s="8"/>
      <c r="B2391" s="16" t="str">
        <f>IF($C$1="ENG","F (180 - 200 mm)","F (180 - 200 мм)")</f>
        <v>F (180 - 200 мм)</v>
      </c>
      <c r="C2391" s="432"/>
      <c r="D2391" s="18">
        <f t="shared" si="369"/>
        <v>3683.3333333333335</v>
      </c>
      <c r="E2391" s="268">
        <f t="shared" si="370"/>
        <v>4420</v>
      </c>
      <c r="F2391" s="271"/>
      <c r="G2391" s="66"/>
      <c r="H2391" s="18">
        <f t="shared" si="371"/>
        <v>4241.666666666667</v>
      </c>
      <c r="I2391" s="268">
        <f t="shared" si="372"/>
        <v>5090</v>
      </c>
      <c r="J2391" s="271"/>
      <c r="K2391" s="66"/>
      <c r="L2391" s="18">
        <f t="shared" si="373"/>
        <v>4458.3333333333339</v>
      </c>
      <c r="M2391" s="268">
        <f t="shared" si="374"/>
        <v>5350.0000000000009</v>
      </c>
      <c r="N2391" s="271"/>
      <c r="O2391" s="66"/>
      <c r="P2391" s="18">
        <f t="shared" si="375"/>
        <v>4783.3333333333339</v>
      </c>
      <c r="Q2391" s="268">
        <f t="shared" si="376"/>
        <v>5740.0000000000009</v>
      </c>
      <c r="R2391" s="271"/>
      <c r="S2391" s="66"/>
      <c r="T2391" s="18">
        <f t="shared" si="377"/>
        <v>5116.666666666667</v>
      </c>
      <c r="U2391" s="268">
        <f t="shared" si="378"/>
        <v>6140</v>
      </c>
      <c r="V2391" s="271"/>
      <c r="W2391" s="66"/>
      <c r="X2391" s="22"/>
      <c r="Y2391" s="22"/>
      <c r="Z2391" s="22"/>
      <c r="AA2391" s="22"/>
      <c r="AB2391" s="22"/>
      <c r="AC2391" s="332">
        <v>4420</v>
      </c>
      <c r="AD2391" s="332"/>
      <c r="AE2391" s="332">
        <v>5090</v>
      </c>
      <c r="AF2391" s="332"/>
      <c r="AG2391" s="332">
        <v>5350</v>
      </c>
      <c r="AH2391" s="332"/>
      <c r="AI2391" s="332">
        <v>5740</v>
      </c>
      <c r="AJ2391" s="332"/>
      <c r="AK2391" s="332">
        <v>6140</v>
      </c>
      <c r="AL2391" s="289"/>
      <c r="AM2391" s="387">
        <v>4420</v>
      </c>
      <c r="AN2391" s="310">
        <f t="shared" si="379"/>
        <v>0</v>
      </c>
      <c r="AO2391" s="387">
        <f t="shared" si="380"/>
        <v>0</v>
      </c>
      <c r="AP2391" s="30" t="e">
        <f t="shared" si="381"/>
        <v>#DIV/0!</v>
      </c>
      <c r="AQ2391" s="387">
        <v>5090</v>
      </c>
      <c r="AR2391" s="30">
        <f t="shared" si="382"/>
        <v>0</v>
      </c>
      <c r="AS2391" s="387">
        <f t="shared" si="383"/>
        <v>0</v>
      </c>
      <c r="AT2391" s="30" t="e">
        <f t="shared" si="384"/>
        <v>#DIV/0!</v>
      </c>
      <c r="AU2391" s="387">
        <v>5350</v>
      </c>
      <c r="AV2391" s="1">
        <f t="shared" si="385"/>
        <v>0</v>
      </c>
      <c r="AW2391" s="1">
        <f t="shared" si="386"/>
        <v>0</v>
      </c>
    </row>
    <row r="2392" spans="1:49">
      <c r="A2392" s="8"/>
      <c r="B2392" s="16" t="str">
        <f>IF($C$1="ENG","G (200 - 220 mm)","G (200 - 220 мм)")</f>
        <v>G (200 - 220 мм)</v>
      </c>
      <c r="C2392" s="432"/>
      <c r="D2392" s="18">
        <f t="shared" si="369"/>
        <v>3825</v>
      </c>
      <c r="E2392" s="268">
        <f t="shared" si="370"/>
        <v>4590</v>
      </c>
      <c r="F2392" s="271"/>
      <c r="G2392" s="66"/>
      <c r="H2392" s="18">
        <f t="shared" si="371"/>
        <v>4400</v>
      </c>
      <c r="I2392" s="268">
        <f t="shared" si="372"/>
        <v>5280</v>
      </c>
      <c r="J2392" s="271"/>
      <c r="K2392" s="66"/>
      <c r="L2392" s="18">
        <f t="shared" si="373"/>
        <v>4633.3333333333339</v>
      </c>
      <c r="M2392" s="268">
        <f t="shared" si="374"/>
        <v>5560.0000000000009</v>
      </c>
      <c r="N2392" s="271"/>
      <c r="O2392" s="66"/>
      <c r="P2392" s="18">
        <f t="shared" si="375"/>
        <v>4975</v>
      </c>
      <c r="Q2392" s="268">
        <f t="shared" si="376"/>
        <v>5970</v>
      </c>
      <c r="R2392" s="271"/>
      <c r="S2392" s="66"/>
      <c r="T2392" s="18">
        <f t="shared" si="377"/>
        <v>5308.3333333333339</v>
      </c>
      <c r="U2392" s="268">
        <f t="shared" si="378"/>
        <v>6370.0000000000009</v>
      </c>
      <c r="V2392" s="271"/>
      <c r="W2392" s="66"/>
      <c r="X2392" s="22"/>
      <c r="Y2392" s="22"/>
      <c r="Z2392" s="22"/>
      <c r="AA2392" s="22"/>
      <c r="AB2392" s="22"/>
      <c r="AC2392" s="332">
        <v>4590</v>
      </c>
      <c r="AD2392" s="332"/>
      <c r="AE2392" s="332">
        <v>5280</v>
      </c>
      <c r="AF2392" s="332"/>
      <c r="AG2392" s="332">
        <v>5560</v>
      </c>
      <c r="AH2392" s="332"/>
      <c r="AI2392" s="332">
        <v>5970</v>
      </c>
      <c r="AJ2392" s="332"/>
      <c r="AK2392" s="332">
        <v>6370</v>
      </c>
      <c r="AL2392" s="289"/>
      <c r="AM2392" s="387">
        <v>4590</v>
      </c>
      <c r="AN2392" s="310">
        <f t="shared" si="379"/>
        <v>0</v>
      </c>
      <c r="AO2392" s="387">
        <f t="shared" si="380"/>
        <v>0</v>
      </c>
      <c r="AP2392" s="30" t="e">
        <f t="shared" si="381"/>
        <v>#DIV/0!</v>
      </c>
      <c r="AQ2392" s="387">
        <v>5280</v>
      </c>
      <c r="AR2392" s="30">
        <f t="shared" si="382"/>
        <v>0</v>
      </c>
      <c r="AS2392" s="387">
        <f t="shared" si="383"/>
        <v>0</v>
      </c>
      <c r="AT2392" s="30" t="e">
        <f t="shared" si="384"/>
        <v>#DIV/0!</v>
      </c>
      <c r="AU2392" s="387">
        <v>5560</v>
      </c>
      <c r="AV2392" s="1">
        <f t="shared" si="385"/>
        <v>0</v>
      </c>
      <c r="AW2392" s="1">
        <f t="shared" si="386"/>
        <v>0</v>
      </c>
    </row>
    <row r="2393" spans="1:49">
      <c r="A2393" s="8"/>
      <c r="B2393" s="16" t="str">
        <f>IF($C$1="ENG","H (220 - 240 mm)","H (220 - 240 мм)")</f>
        <v>H (220 - 240 мм)</v>
      </c>
      <c r="C2393" s="432"/>
      <c r="D2393" s="18">
        <f t="shared" si="369"/>
        <v>3966.666666666667</v>
      </c>
      <c r="E2393" s="268">
        <f t="shared" si="370"/>
        <v>4760</v>
      </c>
      <c r="F2393" s="271"/>
      <c r="G2393" s="66"/>
      <c r="H2393" s="18">
        <f t="shared" si="371"/>
        <v>4558.3333333333339</v>
      </c>
      <c r="I2393" s="268">
        <f t="shared" si="372"/>
        <v>5470.0000000000009</v>
      </c>
      <c r="J2393" s="271"/>
      <c r="K2393" s="66"/>
      <c r="L2393" s="18">
        <f t="shared" si="373"/>
        <v>4800</v>
      </c>
      <c r="M2393" s="268">
        <f t="shared" si="374"/>
        <v>5760</v>
      </c>
      <c r="N2393" s="271"/>
      <c r="O2393" s="66"/>
      <c r="P2393" s="18">
        <f t="shared" si="375"/>
        <v>5158.3333333333339</v>
      </c>
      <c r="Q2393" s="268">
        <f t="shared" si="376"/>
        <v>6190.0000000000009</v>
      </c>
      <c r="R2393" s="271"/>
      <c r="S2393" s="66"/>
      <c r="T2393" s="18">
        <f t="shared" si="377"/>
        <v>5500</v>
      </c>
      <c r="U2393" s="268">
        <f t="shared" si="378"/>
        <v>6600</v>
      </c>
      <c r="V2393" s="271"/>
      <c r="W2393" s="66"/>
      <c r="X2393" s="22"/>
      <c r="Y2393" s="22"/>
      <c r="Z2393" s="22"/>
      <c r="AA2393" s="22"/>
      <c r="AB2393" s="22"/>
      <c r="AC2393" s="332">
        <v>4760</v>
      </c>
      <c r="AD2393" s="332"/>
      <c r="AE2393" s="332">
        <v>5470</v>
      </c>
      <c r="AF2393" s="332"/>
      <c r="AG2393" s="332">
        <v>5760</v>
      </c>
      <c r="AH2393" s="332"/>
      <c r="AI2393" s="332">
        <v>6190</v>
      </c>
      <c r="AJ2393" s="332"/>
      <c r="AK2393" s="332">
        <v>6600</v>
      </c>
      <c r="AL2393" s="289"/>
      <c r="AM2393" s="387">
        <v>4760</v>
      </c>
      <c r="AN2393" s="310">
        <f t="shared" si="379"/>
        <v>0</v>
      </c>
      <c r="AO2393" s="387">
        <f t="shared" si="380"/>
        <v>0</v>
      </c>
      <c r="AP2393" s="30" t="e">
        <f t="shared" si="381"/>
        <v>#DIV/0!</v>
      </c>
      <c r="AQ2393" s="387">
        <v>5470</v>
      </c>
      <c r="AR2393" s="30">
        <f t="shared" si="382"/>
        <v>0</v>
      </c>
      <c r="AS2393" s="387">
        <f t="shared" si="383"/>
        <v>0</v>
      </c>
      <c r="AT2393" s="30" t="e">
        <f t="shared" si="384"/>
        <v>#DIV/0!</v>
      </c>
      <c r="AU2393" s="387">
        <v>5760</v>
      </c>
      <c r="AV2393" s="1">
        <f t="shared" si="385"/>
        <v>0</v>
      </c>
      <c r="AW2393" s="1">
        <f t="shared" si="386"/>
        <v>0</v>
      </c>
    </row>
    <row r="2394" spans="1:49">
      <c r="A2394" s="8"/>
      <c r="B2394" s="23" t="str">
        <f>IF($C$1="ENG","I (240 - 260 mm)","I (240 - 260 мм)")</f>
        <v>I (240 - 260 мм)</v>
      </c>
      <c r="C2394" s="433"/>
      <c r="D2394" s="25">
        <f t="shared" si="369"/>
        <v>4108.3333333333339</v>
      </c>
      <c r="E2394" s="269">
        <f t="shared" si="370"/>
        <v>4930.0000000000009</v>
      </c>
      <c r="F2394" s="272"/>
      <c r="G2394" s="69"/>
      <c r="H2394" s="25">
        <f t="shared" si="371"/>
        <v>4716.666666666667</v>
      </c>
      <c r="I2394" s="269">
        <f t="shared" si="372"/>
        <v>5660</v>
      </c>
      <c r="J2394" s="272"/>
      <c r="K2394" s="69"/>
      <c r="L2394" s="25">
        <f t="shared" si="373"/>
        <v>4991.666666666667</v>
      </c>
      <c r="M2394" s="269">
        <f t="shared" si="374"/>
        <v>5990</v>
      </c>
      <c r="N2394" s="272"/>
      <c r="O2394" s="69"/>
      <c r="P2394" s="25">
        <f t="shared" si="375"/>
        <v>5350</v>
      </c>
      <c r="Q2394" s="269">
        <f t="shared" si="376"/>
        <v>6420</v>
      </c>
      <c r="R2394" s="272"/>
      <c r="S2394" s="69"/>
      <c r="T2394" s="25">
        <f t="shared" si="377"/>
        <v>5708.3333333333339</v>
      </c>
      <c r="U2394" s="269">
        <f t="shared" si="378"/>
        <v>6850.0000000000009</v>
      </c>
      <c r="V2394" s="272"/>
      <c r="W2394" s="69"/>
      <c r="X2394" s="22"/>
      <c r="Y2394" s="22"/>
      <c r="Z2394" s="22"/>
      <c r="AA2394" s="22"/>
      <c r="AB2394" s="22"/>
      <c r="AC2394" s="452">
        <v>4930</v>
      </c>
      <c r="AD2394" s="452"/>
      <c r="AE2394" s="452">
        <v>5660</v>
      </c>
      <c r="AF2394" s="452"/>
      <c r="AG2394" s="452">
        <v>5990</v>
      </c>
      <c r="AH2394" s="452"/>
      <c r="AI2394" s="452">
        <v>6420</v>
      </c>
      <c r="AJ2394" s="452"/>
      <c r="AK2394" s="452">
        <v>6850</v>
      </c>
      <c r="AL2394" s="453"/>
      <c r="AM2394" s="387">
        <v>4930</v>
      </c>
      <c r="AN2394" s="310">
        <f t="shared" si="379"/>
        <v>0</v>
      </c>
      <c r="AO2394" s="387">
        <f t="shared" si="380"/>
        <v>0</v>
      </c>
      <c r="AP2394" s="30" t="e">
        <f t="shared" si="381"/>
        <v>#DIV/0!</v>
      </c>
      <c r="AQ2394" s="387">
        <v>5660</v>
      </c>
      <c r="AR2394" s="30">
        <f t="shared" si="382"/>
        <v>0</v>
      </c>
      <c r="AS2394" s="387">
        <f t="shared" si="383"/>
        <v>0</v>
      </c>
      <c r="AT2394" s="30" t="e">
        <f t="shared" si="384"/>
        <v>#DIV/0!</v>
      </c>
      <c r="AU2394" s="387">
        <v>5990</v>
      </c>
      <c r="AV2394" s="1">
        <f t="shared" si="385"/>
        <v>0</v>
      </c>
      <c r="AW2394" s="1">
        <f t="shared" si="386"/>
        <v>0</v>
      </c>
    </row>
    <row r="2395" spans="1:49" s="8" customFormat="1">
      <c r="B2395" s="451"/>
      <c r="C2395" s="428"/>
      <c r="D2395" s="28"/>
      <c r="E2395" s="59"/>
      <c r="F2395" s="28"/>
      <c r="G2395" s="59"/>
      <c r="H2395" s="28"/>
      <c r="I2395" s="59"/>
      <c r="J2395" s="28"/>
      <c r="K2395" s="59"/>
      <c r="L2395" s="28"/>
      <c r="M2395" s="59"/>
      <c r="N2395" s="28"/>
      <c r="O2395" s="59"/>
      <c r="P2395" s="28"/>
      <c r="Q2395" s="59"/>
      <c r="R2395" s="28"/>
      <c r="S2395" s="59"/>
      <c r="T2395" s="28"/>
      <c r="U2395" s="59"/>
      <c r="V2395" s="28"/>
      <c r="W2395" s="59"/>
      <c r="X2395" s="40"/>
      <c r="Y2395" s="40"/>
      <c r="Z2395" s="40"/>
      <c r="AA2395" s="40"/>
      <c r="AB2395" s="40"/>
      <c r="AC2395" s="48"/>
      <c r="AD2395" s="48"/>
      <c r="AE2395" s="48"/>
      <c r="AF2395" s="48"/>
      <c r="AG2395" s="48"/>
      <c r="AH2395" s="48"/>
      <c r="AI2395" s="48"/>
      <c r="AJ2395" s="48"/>
      <c r="AK2395" s="48"/>
      <c r="AL2395" s="48"/>
      <c r="AM2395" s="456"/>
      <c r="AN2395" s="457"/>
      <c r="AO2395" s="456"/>
      <c r="AP2395" s="280"/>
      <c r="AQ2395" s="456"/>
      <c r="AR2395" s="280"/>
      <c r="AS2395" s="456"/>
      <c r="AT2395" s="280"/>
      <c r="AU2395" s="456"/>
    </row>
    <row r="2396" spans="1:49" s="8" customFormat="1">
      <c r="B2396" s="451"/>
      <c r="C2396" s="428"/>
      <c r="D2396" s="28"/>
      <c r="E2396" s="59"/>
      <c r="F2396" s="28"/>
      <c r="G2396" s="59"/>
      <c r="H2396" s="28"/>
      <c r="I2396" s="59"/>
      <c r="J2396" s="28"/>
      <c r="K2396" s="59"/>
      <c r="L2396" s="28"/>
      <c r="M2396" s="59"/>
      <c r="N2396" s="28"/>
      <c r="O2396" s="59"/>
      <c r="P2396" s="28"/>
      <c r="Q2396" s="59"/>
      <c r="R2396" s="28"/>
      <c r="S2396" s="59"/>
      <c r="T2396" s="28"/>
      <c r="U2396" s="59"/>
      <c r="V2396" s="28"/>
      <c r="W2396" s="59"/>
      <c r="X2396" s="40"/>
      <c r="Y2396" s="40"/>
      <c r="Z2396" s="40"/>
      <c r="AA2396" s="40"/>
      <c r="AB2396" s="40"/>
      <c r="AC2396" s="48"/>
      <c r="AD2396" s="48"/>
      <c r="AE2396" s="48"/>
      <c r="AF2396" s="48"/>
      <c r="AG2396" s="48"/>
      <c r="AH2396" s="48"/>
      <c r="AI2396" s="48"/>
      <c r="AJ2396" s="48"/>
      <c r="AK2396" s="48"/>
      <c r="AL2396" s="48"/>
      <c r="AM2396" s="456"/>
      <c r="AN2396" s="457"/>
      <c r="AO2396" s="456"/>
      <c r="AP2396" s="280"/>
      <c r="AQ2396" s="456"/>
      <c r="AR2396" s="280"/>
      <c r="AS2396" s="456"/>
      <c r="AT2396" s="280"/>
      <c r="AU2396" s="456"/>
    </row>
    <row r="2397" spans="1:49" s="48" customFormat="1" ht="24.9" customHeight="1">
      <c r="B2397" s="54" t="str">
        <f>IF($C$1="ENG","ADJUSTABLE PANELS","ПЛАНКИ РЕГУЛЮВАЛЬНІ")</f>
        <v>ПЛАНКИ РЕГУЛЮВАЛЬНІ</v>
      </c>
      <c r="C2397" s="428"/>
      <c r="D2397" s="28"/>
      <c r="E2397" s="485" t="str">
        <f>IF($C$1="ENG","For Door Frames Verto-FIT Comfort","Для Дверних Коробок Verto-FIT  Comfort")</f>
        <v>Для Дверних Коробок Verto-FIT  Comfort</v>
      </c>
      <c r="F2397" s="485"/>
      <c r="G2397" s="485"/>
      <c r="H2397" s="485"/>
      <c r="I2397" s="485"/>
      <c r="J2397" s="485"/>
      <c r="K2397" s="485"/>
      <c r="L2397" s="28"/>
      <c r="M2397" s="106"/>
      <c r="N2397" s="28"/>
      <c r="O2397" s="29"/>
      <c r="P2397" s="28"/>
      <c r="Q2397" s="106"/>
      <c r="R2397" s="28"/>
      <c r="S2397" s="29"/>
      <c r="T2397" s="153"/>
      <c r="U2397" s="155"/>
      <c r="V2397" s="153"/>
      <c r="W2397" s="154"/>
      <c r="AN2397" s="56"/>
      <c r="AO2397" s="56"/>
      <c r="AP2397" s="56"/>
      <c r="AQ2397" s="56"/>
      <c r="AR2397" s="56"/>
      <c r="AS2397" s="56"/>
      <c r="AT2397" s="56"/>
    </row>
    <row r="2398" spans="1:49" ht="34.5" customHeight="1">
      <c r="A2398" s="8"/>
      <c r="B2398" s="244" t="str">
        <f>IF($C$1="ENG","Panel (1 set) 80 mm","Планка (1 к-т) 80 мм")</f>
        <v>Планка (1 к-т) 80 мм</v>
      </c>
      <c r="C2398" s="434"/>
      <c r="D2398" s="15">
        <f>IF(AC2398="","",(1-$W$2)*(AC2398/1.2))</f>
        <v>991.66666666666674</v>
      </c>
      <c r="E2398" s="299">
        <f>IF($W$5=0.2,D2398*1.2,D2398)/$W$4</f>
        <v>1190</v>
      </c>
      <c r="F2398" s="270"/>
      <c r="G2398" s="64"/>
      <c r="H2398" s="15">
        <f>IF(AE2398="","",(1-$W$2)*(AE2398/1.2))</f>
        <v>1091.6666666666667</v>
      </c>
      <c r="I2398" s="267">
        <f>IF($W$5=0.2,H2398*1.2,H2398)/$W$4</f>
        <v>1310</v>
      </c>
      <c r="J2398" s="270"/>
      <c r="K2398" s="64"/>
      <c r="L2398" s="15">
        <f>IF(AG2398="","",(1-$W$2)*(AG2398/1.2))</f>
        <v>1158.3333333333335</v>
      </c>
      <c r="M2398" s="267">
        <f>IF($W$5=0.2,L2398*1.2,L2398)/$W$4</f>
        <v>1390.0000000000002</v>
      </c>
      <c r="N2398" s="270"/>
      <c r="O2398" s="64"/>
      <c r="P2398" s="15">
        <f>IF(AI2398="","",(1-$W$2)*(AI2398/1.2))</f>
        <v>1225</v>
      </c>
      <c r="Q2398" s="267">
        <f>IF($W$5=0.2,P2398*1.2,P2398)/$W$4</f>
        <v>1470</v>
      </c>
      <c r="R2398" s="270"/>
      <c r="S2398" s="64"/>
      <c r="T2398" s="15">
        <f>IF(AK2398="","",(1-$W$2)*(AK2398/1.2))</f>
        <v>1291.6666666666667</v>
      </c>
      <c r="U2398" s="267">
        <f>IF($W$5=0.2,T2398*1.2,T2398)/$W$4</f>
        <v>1550</v>
      </c>
      <c r="V2398" s="270"/>
      <c r="W2398" s="64"/>
      <c r="AC2398" s="332">
        <v>1190</v>
      </c>
      <c r="AD2398" s="332"/>
      <c r="AE2398" s="332">
        <v>1310</v>
      </c>
      <c r="AF2398" s="332"/>
      <c r="AG2398" s="332">
        <v>1390</v>
      </c>
      <c r="AH2398" s="332"/>
      <c r="AI2398" s="332">
        <v>1470</v>
      </c>
      <c r="AJ2398" s="332"/>
      <c r="AK2398" s="332">
        <v>1550</v>
      </c>
      <c r="AL2398" s="289"/>
      <c r="AM2398" s="387">
        <v>1190</v>
      </c>
      <c r="AN2398" s="310">
        <f>AM2398/AC2398-1</f>
        <v>0</v>
      </c>
      <c r="AO2398" s="387">
        <f>AD2398/100*13+AD2398</f>
        <v>0</v>
      </c>
      <c r="AP2398" s="30" t="e">
        <f>AO2398/AD2398-1</f>
        <v>#DIV/0!</v>
      </c>
      <c r="AQ2398" s="387">
        <v>1310</v>
      </c>
      <c r="AR2398" s="30">
        <f>AQ2398/AE2398-1</f>
        <v>0</v>
      </c>
      <c r="AS2398" s="387">
        <f>AF2398/100*13+AF2398</f>
        <v>0</v>
      </c>
      <c r="AT2398" s="30" t="e">
        <f>AS2398/AF2398-1</f>
        <v>#DIV/0!</v>
      </c>
      <c r="AU2398" s="387">
        <v>1390</v>
      </c>
      <c r="AV2398" s="1">
        <f>AU2398/AG2398-1</f>
        <v>0</v>
      </c>
      <c r="AW2398" s="1">
        <f>AH2398/100*13+AH2398</f>
        <v>0</v>
      </c>
    </row>
    <row r="2399" spans="1:49" ht="34.5" customHeight="1">
      <c r="A2399" s="8"/>
      <c r="B2399" s="312" t="str">
        <f>IF($C$1="ENG","Panel (1 set) 160 mm","Планка (1 к-т) 160 мм")</f>
        <v>Планка (1 к-т) 160 мм</v>
      </c>
      <c r="C2399" s="432"/>
      <c r="D2399" s="18">
        <f>IF(AC2399="","",(1-$W$2)*(AC2399/1.2))</f>
        <v>1650</v>
      </c>
      <c r="E2399" s="268">
        <f>IF($W$5=0.2,D2399*1.2,D2399)/$W$4</f>
        <v>1980</v>
      </c>
      <c r="F2399" s="271"/>
      <c r="G2399" s="66"/>
      <c r="H2399" s="18">
        <f>IF(AE2399="","",(1-$W$2)*(AE2399/1.2))</f>
        <v>1875</v>
      </c>
      <c r="I2399" s="268">
        <f>IF($W$5=0.2,H2399*1.2,H2399)/$W$4</f>
        <v>2250</v>
      </c>
      <c r="J2399" s="271"/>
      <c r="K2399" s="66"/>
      <c r="L2399" s="18">
        <f>IF(AG2399="","",(1-$W$2)*(AG2399/1.2))</f>
        <v>1991.6666666666667</v>
      </c>
      <c r="M2399" s="268">
        <f>IF($W$5=0.2,L2399*1.2,L2399)/$W$4</f>
        <v>2390</v>
      </c>
      <c r="N2399" s="271"/>
      <c r="O2399" s="66"/>
      <c r="P2399" s="18">
        <f>IF(AI2399="","",(1-$W$2)*(AI2399/1.2))</f>
        <v>2116.666666666667</v>
      </c>
      <c r="Q2399" s="268">
        <f>IF($W$5=0.2,P2399*1.2,P2399)/$W$4</f>
        <v>2540.0000000000005</v>
      </c>
      <c r="R2399" s="271"/>
      <c r="S2399" s="66"/>
      <c r="T2399" s="18">
        <f>IF(AK2399="","",(1-$W$2)*(AK2399/1.2))</f>
        <v>2241.666666666667</v>
      </c>
      <c r="U2399" s="268">
        <f>IF($W$5=0.2,T2399*1.2,T2399)/$W$4</f>
        <v>2690.0000000000005</v>
      </c>
      <c r="V2399" s="271"/>
      <c r="W2399" s="66"/>
      <c r="AC2399" s="332">
        <v>1980</v>
      </c>
      <c r="AD2399" s="332"/>
      <c r="AE2399" s="332">
        <v>2250</v>
      </c>
      <c r="AF2399" s="332"/>
      <c r="AG2399" s="332">
        <v>2390</v>
      </c>
      <c r="AH2399" s="332"/>
      <c r="AI2399" s="332">
        <v>2540</v>
      </c>
      <c r="AJ2399" s="332"/>
      <c r="AK2399" s="332">
        <v>2690</v>
      </c>
      <c r="AL2399" s="289"/>
      <c r="AM2399" s="387">
        <v>1980</v>
      </c>
      <c r="AN2399" s="310">
        <f t="shared" ref="AN2399:AN2400" si="387">AM2399/AC2399-1</f>
        <v>0</v>
      </c>
      <c r="AO2399" s="387">
        <f t="shared" ref="AO2399:AO2400" si="388">AD2399/100*13+AD2399</f>
        <v>0</v>
      </c>
      <c r="AP2399" s="30" t="e">
        <f t="shared" ref="AP2399:AP2400" si="389">AO2399/AD2399-1</f>
        <v>#DIV/0!</v>
      </c>
      <c r="AQ2399" s="387">
        <v>2250</v>
      </c>
      <c r="AR2399" s="30">
        <f t="shared" ref="AR2399:AR2400" si="390">AQ2399/AE2399-1</f>
        <v>0</v>
      </c>
      <c r="AS2399" s="387">
        <f t="shared" ref="AS2399:AS2400" si="391">AF2399/100*13+AF2399</f>
        <v>0</v>
      </c>
      <c r="AT2399" s="30" t="e">
        <f t="shared" ref="AT2399:AT2400" si="392">AS2399/AF2399-1</f>
        <v>#DIV/0!</v>
      </c>
      <c r="AU2399" s="387">
        <v>2390</v>
      </c>
      <c r="AV2399" s="1">
        <f t="shared" ref="AV2399:AV2400" si="393">AU2399/AG2399-1</f>
        <v>0</v>
      </c>
      <c r="AW2399" s="1">
        <f t="shared" ref="AW2399:AW2400" si="394">AH2399/100*13+AH2399</f>
        <v>0</v>
      </c>
    </row>
    <row r="2400" spans="1:49" ht="34.5" customHeight="1">
      <c r="A2400" s="8"/>
      <c r="B2400" s="108" t="str">
        <f>IF($C$1="ENG","Panel (1 set) 200 mm","Планка (1 к-т) 200 мм")</f>
        <v>Планка (1 к-т) 200 мм</v>
      </c>
      <c r="C2400" s="433"/>
      <c r="D2400" s="25">
        <f>IF(AC2400="","",(1-$W$2)*(AC2400/1.2))</f>
        <v>1966.6666666666667</v>
      </c>
      <c r="E2400" s="269">
        <f>IF($W$5=0.2,D2400*1.2,D2400)/$W$4</f>
        <v>2360</v>
      </c>
      <c r="F2400" s="272"/>
      <c r="G2400" s="69"/>
      <c r="H2400" s="25">
        <f>IF(AE2400="","",(1-$W$2)*(AE2400/1.2))</f>
        <v>2241.666666666667</v>
      </c>
      <c r="I2400" s="269">
        <f>IF($W$5=0.2,H2400*1.2,H2400)/$W$4</f>
        <v>2690.0000000000005</v>
      </c>
      <c r="J2400" s="272"/>
      <c r="K2400" s="69"/>
      <c r="L2400" s="25">
        <f>IF(AG2400="","",(1-$W$2)*(AG2400/1.2))</f>
        <v>2391.666666666667</v>
      </c>
      <c r="M2400" s="269">
        <f>IF($W$5=0.2,L2400*1.2,L2400)/$W$4</f>
        <v>2870.0000000000005</v>
      </c>
      <c r="N2400" s="272"/>
      <c r="O2400" s="69"/>
      <c r="P2400" s="25">
        <f>IF(AI2400="","",(1-$W$2)*(AI2400/1.2))</f>
        <v>2525</v>
      </c>
      <c r="Q2400" s="269">
        <f>IF($W$5=0.2,P2400*1.2,P2400)/$W$4</f>
        <v>3030</v>
      </c>
      <c r="R2400" s="272"/>
      <c r="S2400" s="69"/>
      <c r="T2400" s="25">
        <f>IF(AK2400="","",(1-$W$2)*(AK2400/1.2))</f>
        <v>2675</v>
      </c>
      <c r="U2400" s="269">
        <f>IF($W$5=0.2,T2400*1.2,T2400)/$W$4</f>
        <v>3210</v>
      </c>
      <c r="V2400" s="272"/>
      <c r="W2400" s="69"/>
      <c r="AC2400" s="332">
        <v>2360</v>
      </c>
      <c r="AD2400" s="332"/>
      <c r="AE2400" s="332">
        <v>2690</v>
      </c>
      <c r="AF2400" s="332"/>
      <c r="AG2400" s="332">
        <v>2870</v>
      </c>
      <c r="AH2400" s="332"/>
      <c r="AI2400" s="332">
        <v>3030</v>
      </c>
      <c r="AJ2400" s="332"/>
      <c r="AK2400" s="332">
        <v>3210</v>
      </c>
      <c r="AL2400" s="289"/>
      <c r="AM2400" s="387">
        <v>2360</v>
      </c>
      <c r="AN2400" s="310">
        <f t="shared" si="387"/>
        <v>0</v>
      </c>
      <c r="AO2400" s="387">
        <f t="shared" si="388"/>
        <v>0</v>
      </c>
      <c r="AP2400" s="30" t="e">
        <f t="shared" si="389"/>
        <v>#DIV/0!</v>
      </c>
      <c r="AQ2400" s="387">
        <v>2690</v>
      </c>
      <c r="AR2400" s="30">
        <f t="shared" si="390"/>
        <v>0</v>
      </c>
      <c r="AS2400" s="387">
        <f t="shared" si="391"/>
        <v>0</v>
      </c>
      <c r="AT2400" s="30" t="e">
        <f t="shared" si="392"/>
        <v>#DIV/0!</v>
      </c>
      <c r="AU2400" s="387">
        <v>2870</v>
      </c>
      <c r="AV2400" s="1">
        <f t="shared" si="393"/>
        <v>0</v>
      </c>
      <c r="AW2400" s="1">
        <f t="shared" si="394"/>
        <v>0</v>
      </c>
    </row>
    <row r="2401" spans="2:47">
      <c r="C2401" s="245"/>
      <c r="D2401" s="26"/>
      <c r="E2401" s="57"/>
      <c r="F2401" s="26"/>
      <c r="G2401" s="57"/>
      <c r="H2401" s="5"/>
      <c r="K2401" s="20"/>
      <c r="L2401" s="48"/>
      <c r="M2401" s="106"/>
      <c r="N2401" s="48"/>
      <c r="O2401" s="48"/>
      <c r="P2401" s="48"/>
      <c r="Q2401" s="106"/>
      <c r="R2401" s="48"/>
      <c r="S2401" s="48"/>
      <c r="U2401" s="20"/>
      <c r="W2401" s="20"/>
    </row>
    <row r="2402" spans="2:47">
      <c r="B2402" s="212" t="str">
        <f>IF($C$1="ENG","For additonal charge:","Послуги за додаткову плату:")</f>
        <v>Послуги за додаткову плату:</v>
      </c>
      <c r="C2402" s="421"/>
      <c r="D2402" s="213"/>
      <c r="E2402" s="214"/>
      <c r="F2402" s="39"/>
      <c r="G2402" s="39"/>
      <c r="H2402" s="10"/>
      <c r="I2402" s="84"/>
      <c r="J2402" s="8"/>
      <c r="K2402" s="8"/>
      <c r="L2402" s="105"/>
      <c r="N2402" s="105"/>
      <c r="P2402" s="105"/>
      <c r="R2402" s="105"/>
      <c r="U2402" s="20"/>
      <c r="W2402" s="20"/>
    </row>
    <row r="2403" spans="2:47" ht="5.0999999999999996" customHeight="1">
      <c r="B2403" s="27"/>
      <c r="C2403" s="245"/>
      <c r="D2403" s="26"/>
      <c r="E2403" s="57"/>
      <c r="F2403" s="26"/>
      <c r="G2403" s="26"/>
      <c r="H2403" s="10"/>
      <c r="I2403" s="8"/>
      <c r="J2403" s="8"/>
      <c r="K2403" s="8"/>
      <c r="U2403" s="20"/>
      <c r="W2403" s="20"/>
    </row>
    <row r="2404" spans="2:47">
      <c r="B2404" s="486" t="str">
        <f>IF($C$1="ENG","hidden 3D door hindge","прихована 3D завіса хром/чорн.")</f>
        <v>прихована 3D завіса хром/чорн.</v>
      </c>
      <c r="C2404" s="487"/>
      <c r="D2404" s="51">
        <f>IF(AC2404="","",(1-$W$2)*(AC2404/1.2))</f>
        <v>741.66666666666674</v>
      </c>
      <c r="E2404" s="85">
        <f>IF($W$5=0.2,D2404*1.2,D2404)/$W$4</f>
        <v>890.00000000000011</v>
      </c>
      <c r="F2404" s="26"/>
      <c r="G2404" s="26"/>
      <c r="H2404" s="10"/>
      <c r="I2404" s="84"/>
      <c r="J2404" s="8"/>
      <c r="K2404" s="84"/>
      <c r="U2404" s="20"/>
      <c r="W2404" s="20"/>
      <c r="AC2404" s="298">
        <v>890</v>
      </c>
      <c r="AD2404" s="387"/>
      <c r="AE2404" s="30"/>
      <c r="AF2404" s="289"/>
      <c r="AG2404" s="289"/>
      <c r="AH2404" s="289"/>
      <c r="AI2404" s="289"/>
      <c r="AJ2404" s="289"/>
      <c r="AK2404" s="289"/>
      <c r="AL2404" s="289"/>
    </row>
    <row r="2405" spans="2:47" ht="14.25" customHeight="1">
      <c r="T2405" s="488" t="str">
        <f>IF($C$1="ENG",CONCATENATE("down to: ",B2488),CONCATENATE("вниз до: ",B2488))</f>
        <v xml:space="preserve">вниз до: </v>
      </c>
      <c r="U2405" s="488"/>
      <c r="V2405" s="488"/>
      <c r="W2405" s="488"/>
    </row>
    <row r="2406" spans="2:47" s="8" customFormat="1">
      <c r="B2406" s="451"/>
      <c r="C2406" s="428"/>
      <c r="D2406" s="28"/>
      <c r="E2406" s="59"/>
      <c r="F2406" s="28"/>
      <c r="G2406" s="59"/>
      <c r="H2406" s="28"/>
      <c r="I2406" s="59"/>
      <c r="J2406" s="28"/>
      <c r="K2406" s="59"/>
      <c r="L2406" s="28"/>
      <c r="M2406" s="59"/>
      <c r="N2406" s="28"/>
      <c r="O2406" s="59"/>
      <c r="P2406" s="28"/>
      <c r="Q2406" s="59"/>
      <c r="R2406" s="28"/>
      <c r="S2406" s="59"/>
      <c r="T2406" s="28"/>
      <c r="U2406" s="59"/>
      <c r="V2406" s="28"/>
      <c r="W2406" s="59"/>
      <c r="X2406" s="40"/>
      <c r="Y2406" s="40"/>
      <c r="Z2406" s="40"/>
      <c r="AA2406" s="40"/>
      <c r="AB2406" s="40"/>
      <c r="AC2406" s="48"/>
      <c r="AD2406" s="48"/>
      <c r="AE2406" s="48"/>
      <c r="AF2406" s="48"/>
      <c r="AG2406" s="48"/>
      <c r="AH2406" s="48"/>
      <c r="AI2406" s="48"/>
      <c r="AJ2406" s="48"/>
      <c r="AK2406" s="48"/>
      <c r="AL2406" s="48"/>
      <c r="AM2406" s="456"/>
      <c r="AN2406" s="457"/>
      <c r="AO2406" s="456"/>
      <c r="AP2406" s="280"/>
      <c r="AQ2406" s="456"/>
      <c r="AR2406" s="280"/>
      <c r="AS2406" s="456"/>
      <c r="AT2406" s="280"/>
      <c r="AU2406" s="456"/>
    </row>
    <row r="2407" spans="2:47" s="8" customFormat="1">
      <c r="B2407" s="451"/>
      <c r="C2407" s="428"/>
      <c r="D2407" s="28"/>
      <c r="E2407" s="59"/>
      <c r="F2407" s="28"/>
      <c r="G2407" s="59"/>
      <c r="H2407" s="28"/>
      <c r="I2407" s="59"/>
      <c r="J2407" s="28"/>
      <c r="K2407" s="59"/>
      <c r="L2407" s="28"/>
      <c r="M2407" s="59"/>
      <c r="N2407" s="28"/>
      <c r="O2407" s="59"/>
      <c r="P2407" s="28"/>
      <c r="Q2407" s="59"/>
      <c r="R2407" s="28"/>
      <c r="S2407" s="59"/>
      <c r="T2407" s="28"/>
      <c r="U2407" s="59"/>
      <c r="V2407" s="28"/>
      <c r="W2407" s="59"/>
      <c r="X2407" s="40"/>
      <c r="Y2407" s="40"/>
      <c r="Z2407" s="40"/>
      <c r="AA2407" s="40"/>
      <c r="AB2407" s="40"/>
      <c r="AC2407" s="48"/>
      <c r="AD2407" s="48"/>
      <c r="AE2407" s="48"/>
      <c r="AF2407" s="48"/>
      <c r="AG2407" s="48"/>
      <c r="AH2407" s="48"/>
      <c r="AI2407" s="48"/>
      <c r="AJ2407" s="48"/>
      <c r="AK2407" s="48"/>
      <c r="AL2407" s="48"/>
      <c r="AM2407" s="456"/>
      <c r="AN2407" s="457"/>
      <c r="AO2407" s="456"/>
      <c r="AP2407" s="280"/>
      <c r="AQ2407" s="456"/>
      <c r="AR2407" s="280"/>
      <c r="AS2407" s="456"/>
      <c r="AT2407" s="280"/>
      <c r="AU2407" s="456"/>
    </row>
    <row r="2408" spans="2:47" s="8" customFormat="1">
      <c r="B2408" s="451"/>
      <c r="C2408" s="428"/>
      <c r="D2408" s="28"/>
      <c r="E2408" s="59"/>
      <c r="F2408" s="28"/>
      <c r="G2408" s="59"/>
      <c r="H2408" s="28"/>
      <c r="I2408" s="59"/>
      <c r="J2408" s="28"/>
      <c r="K2408" s="59"/>
      <c r="L2408" s="28"/>
      <c r="M2408" s="59"/>
      <c r="N2408" s="28"/>
      <c r="O2408" s="59"/>
      <c r="P2408" s="28"/>
      <c r="Q2408" s="59"/>
      <c r="R2408" s="28"/>
      <c r="S2408" s="59"/>
      <c r="T2408" s="28"/>
      <c r="U2408" s="59"/>
      <c r="V2408" s="28"/>
      <c r="W2408" s="59"/>
      <c r="X2408" s="40"/>
      <c r="Y2408" s="40"/>
      <c r="Z2408" s="40"/>
      <c r="AA2408" s="40"/>
      <c r="AB2408" s="40"/>
      <c r="AC2408" s="48"/>
      <c r="AD2408" s="48"/>
      <c r="AE2408" s="48"/>
      <c r="AF2408" s="48"/>
      <c r="AG2408" s="48"/>
      <c r="AH2408" s="48"/>
      <c r="AI2408" s="48"/>
      <c r="AJ2408" s="48"/>
      <c r="AK2408" s="48"/>
      <c r="AL2408" s="48"/>
      <c r="AM2408" s="456"/>
      <c r="AN2408" s="457"/>
      <c r="AO2408" s="456"/>
      <c r="AP2408" s="280"/>
      <c r="AQ2408" s="456"/>
      <c r="AR2408" s="280"/>
      <c r="AS2408" s="456"/>
      <c r="AT2408" s="280"/>
      <c r="AU2408" s="456"/>
    </row>
    <row r="2409" spans="2:47" s="8" customFormat="1">
      <c r="B2409" s="451"/>
      <c r="C2409" s="428"/>
      <c r="D2409" s="28"/>
      <c r="E2409" s="59"/>
      <c r="F2409" s="28"/>
      <c r="G2409" s="59"/>
      <c r="H2409" s="28"/>
      <c r="I2409" s="59"/>
      <c r="J2409" s="28"/>
      <c r="K2409" s="59"/>
      <c r="L2409" s="28"/>
      <c r="M2409" s="59"/>
      <c r="N2409" s="28"/>
      <c r="O2409" s="59"/>
      <c r="P2409" s="28"/>
      <c r="Q2409" s="59"/>
      <c r="R2409" s="28"/>
      <c r="S2409" s="59"/>
      <c r="T2409" s="28"/>
      <c r="U2409" s="59"/>
      <c r="V2409" s="28"/>
      <c r="W2409" s="59"/>
      <c r="X2409" s="40"/>
      <c r="Y2409" s="40"/>
      <c r="Z2409" s="40"/>
      <c r="AA2409" s="40"/>
      <c r="AB2409" s="40"/>
      <c r="AC2409" s="48"/>
      <c r="AD2409" s="48"/>
      <c r="AE2409" s="48"/>
      <c r="AF2409" s="48"/>
      <c r="AG2409" s="48"/>
      <c r="AH2409" s="48"/>
      <c r="AI2409" s="48"/>
      <c r="AJ2409" s="48"/>
      <c r="AK2409" s="48"/>
      <c r="AL2409" s="48"/>
      <c r="AM2409" s="456"/>
      <c r="AN2409" s="457"/>
      <c r="AO2409" s="456"/>
      <c r="AP2409" s="280"/>
      <c r="AQ2409" s="456"/>
      <c r="AR2409" s="280"/>
      <c r="AS2409" s="456"/>
      <c r="AT2409" s="280"/>
      <c r="AU2409" s="456"/>
    </row>
    <row r="2410" spans="2:47" s="8" customFormat="1">
      <c r="B2410" s="451"/>
      <c r="C2410" s="428"/>
      <c r="D2410" s="28"/>
      <c r="E2410" s="59"/>
      <c r="F2410" s="28"/>
      <c r="G2410" s="59"/>
      <c r="H2410" s="28"/>
      <c r="I2410" s="59"/>
      <c r="J2410" s="28"/>
      <c r="K2410" s="59"/>
      <c r="L2410" s="28"/>
      <c r="M2410" s="59"/>
      <c r="N2410" s="28"/>
      <c r="O2410" s="59"/>
      <c r="P2410" s="28"/>
      <c r="Q2410" s="59"/>
      <c r="R2410" s="28"/>
      <c r="S2410" s="59"/>
      <c r="T2410" s="28"/>
      <c r="U2410" s="59"/>
      <c r="V2410" s="28"/>
      <c r="W2410" s="59"/>
      <c r="X2410" s="40"/>
      <c r="Y2410" s="40"/>
      <c r="Z2410" s="40"/>
      <c r="AA2410" s="40"/>
      <c r="AB2410" s="40"/>
      <c r="AC2410" s="48"/>
      <c r="AD2410" s="48"/>
      <c r="AE2410" s="48"/>
      <c r="AF2410" s="48"/>
      <c r="AG2410" s="48"/>
      <c r="AH2410" s="48"/>
      <c r="AI2410" s="48"/>
      <c r="AJ2410" s="48"/>
      <c r="AK2410" s="48"/>
      <c r="AL2410" s="48"/>
      <c r="AM2410" s="456"/>
      <c r="AN2410" s="457"/>
      <c r="AO2410" s="456"/>
      <c r="AP2410" s="280"/>
      <c r="AQ2410" s="456"/>
      <c r="AR2410" s="280"/>
      <c r="AS2410" s="456"/>
      <c r="AT2410" s="280"/>
      <c r="AU2410" s="456"/>
    </row>
    <row r="2411" spans="2:47" s="8" customFormat="1">
      <c r="B2411" s="451"/>
      <c r="C2411" s="428"/>
      <c r="D2411" s="28"/>
      <c r="E2411" s="59"/>
      <c r="F2411" s="28"/>
      <c r="G2411" s="59"/>
      <c r="H2411" s="28"/>
      <c r="I2411" s="59"/>
      <c r="J2411" s="28"/>
      <c r="K2411" s="59"/>
      <c r="L2411" s="28"/>
      <c r="M2411" s="59"/>
      <c r="N2411" s="28"/>
      <c r="O2411" s="59"/>
      <c r="P2411" s="28"/>
      <c r="Q2411" s="59"/>
      <c r="R2411" s="28"/>
      <c r="S2411" s="59"/>
      <c r="T2411" s="28"/>
      <c r="U2411" s="59"/>
      <c r="V2411" s="28"/>
      <c r="W2411" s="59"/>
      <c r="X2411" s="40"/>
      <c r="Y2411" s="40"/>
      <c r="Z2411" s="40"/>
      <c r="AA2411" s="40"/>
      <c r="AB2411" s="40"/>
      <c r="AC2411" s="48"/>
      <c r="AD2411" s="48"/>
      <c r="AE2411" s="48"/>
      <c r="AF2411" s="48"/>
      <c r="AG2411" s="48"/>
      <c r="AH2411" s="48"/>
      <c r="AI2411" s="48"/>
      <c r="AJ2411" s="48"/>
      <c r="AK2411" s="48"/>
      <c r="AL2411" s="48"/>
      <c r="AM2411" s="456"/>
      <c r="AN2411" s="457"/>
      <c r="AO2411" s="456"/>
      <c r="AP2411" s="280"/>
      <c r="AQ2411" s="456"/>
      <c r="AR2411" s="280"/>
      <c r="AS2411" s="456"/>
      <c r="AT2411" s="280"/>
      <c r="AU2411" s="456"/>
    </row>
    <row r="2412" spans="2:47" s="8" customFormat="1">
      <c r="B2412" s="451"/>
      <c r="C2412" s="428"/>
      <c r="D2412" s="28"/>
      <c r="E2412" s="59"/>
      <c r="F2412" s="28"/>
      <c r="G2412" s="59"/>
      <c r="H2412" s="28"/>
      <c r="I2412" s="59"/>
      <c r="J2412" s="28"/>
      <c r="K2412" s="59"/>
      <c r="L2412" s="28"/>
      <c r="M2412" s="59"/>
      <c r="N2412" s="28"/>
      <c r="O2412" s="59"/>
      <c r="P2412" s="28"/>
      <c r="Q2412" s="59"/>
      <c r="R2412" s="28"/>
      <c r="S2412" s="59"/>
      <c r="T2412" s="28"/>
      <c r="U2412" s="59"/>
      <c r="V2412" s="28"/>
      <c r="W2412" s="59"/>
      <c r="X2412" s="40"/>
      <c r="Y2412" s="40"/>
      <c r="Z2412" s="40"/>
      <c r="AA2412" s="40"/>
      <c r="AB2412" s="40"/>
      <c r="AC2412" s="48"/>
      <c r="AD2412" s="48"/>
      <c r="AE2412" s="48"/>
      <c r="AF2412" s="48"/>
      <c r="AG2412" s="48"/>
      <c r="AH2412" s="48"/>
      <c r="AI2412" s="48"/>
      <c r="AJ2412" s="48"/>
      <c r="AK2412" s="48"/>
      <c r="AL2412" s="48"/>
      <c r="AM2412" s="456"/>
      <c r="AN2412" s="457"/>
      <c r="AO2412" s="456"/>
      <c r="AP2412" s="280"/>
      <c r="AQ2412" s="456"/>
      <c r="AR2412" s="280"/>
      <c r="AS2412" s="456"/>
      <c r="AT2412" s="280"/>
      <c r="AU2412" s="456"/>
    </row>
    <row r="2413" spans="2:47" s="8" customFormat="1">
      <c r="B2413" s="451"/>
      <c r="C2413" s="428"/>
      <c r="D2413" s="28"/>
      <c r="E2413" s="59"/>
      <c r="F2413" s="28"/>
      <c r="G2413" s="59"/>
      <c r="H2413" s="28"/>
      <c r="I2413" s="59"/>
      <c r="J2413" s="28"/>
      <c r="K2413" s="59"/>
      <c r="L2413" s="28"/>
      <c r="M2413" s="59"/>
      <c r="N2413" s="28"/>
      <c r="O2413" s="59"/>
      <c r="P2413" s="28"/>
      <c r="Q2413" s="59"/>
      <c r="R2413" s="28"/>
      <c r="S2413" s="59"/>
      <c r="T2413" s="28"/>
      <c r="U2413" s="59"/>
      <c r="V2413" s="28"/>
      <c r="W2413" s="59"/>
      <c r="X2413" s="40"/>
      <c r="Y2413" s="40"/>
      <c r="Z2413" s="40"/>
      <c r="AA2413" s="40"/>
      <c r="AB2413" s="40"/>
      <c r="AC2413" s="48"/>
      <c r="AD2413" s="48"/>
      <c r="AE2413" s="48"/>
      <c r="AF2413" s="48"/>
      <c r="AG2413" s="48"/>
      <c r="AH2413" s="48"/>
      <c r="AI2413" s="48"/>
      <c r="AJ2413" s="48"/>
      <c r="AK2413" s="48"/>
      <c r="AL2413" s="48"/>
      <c r="AM2413" s="456"/>
      <c r="AN2413" s="457"/>
      <c r="AO2413" s="456"/>
      <c r="AP2413" s="280"/>
      <c r="AQ2413" s="456"/>
      <c r="AR2413" s="280"/>
      <c r="AS2413" s="456"/>
      <c r="AT2413" s="280"/>
      <c r="AU2413" s="456"/>
    </row>
    <row r="2414" spans="2:47" s="8" customFormat="1">
      <c r="B2414" s="451"/>
      <c r="C2414" s="428"/>
      <c r="D2414" s="28"/>
      <c r="E2414" s="59"/>
      <c r="F2414" s="28"/>
      <c r="G2414" s="59"/>
      <c r="H2414" s="28"/>
      <c r="I2414" s="59"/>
      <c r="J2414" s="28"/>
      <c r="K2414" s="59"/>
      <c r="L2414" s="28"/>
      <c r="M2414" s="59"/>
      <c r="N2414" s="28"/>
      <c r="O2414" s="59"/>
      <c r="P2414" s="28"/>
      <c r="Q2414" s="59"/>
      <c r="R2414" s="28"/>
      <c r="S2414" s="59"/>
      <c r="T2414" s="28"/>
      <c r="U2414" s="59"/>
      <c r="V2414" s="28"/>
      <c r="W2414" s="59"/>
      <c r="X2414" s="40"/>
      <c r="Y2414" s="40"/>
      <c r="Z2414" s="40"/>
      <c r="AA2414" s="40"/>
      <c r="AB2414" s="40"/>
      <c r="AC2414" s="48"/>
      <c r="AD2414" s="48"/>
      <c r="AE2414" s="48"/>
      <c r="AF2414" s="48"/>
      <c r="AG2414" s="48"/>
      <c r="AH2414" s="48"/>
      <c r="AI2414" s="48"/>
      <c r="AJ2414" s="48"/>
      <c r="AK2414" s="48"/>
      <c r="AL2414" s="48"/>
      <c r="AM2414" s="456"/>
      <c r="AN2414" s="457"/>
      <c r="AO2414" s="456"/>
      <c r="AP2414" s="280"/>
      <c r="AQ2414" s="456"/>
      <c r="AR2414" s="280"/>
      <c r="AS2414" s="456"/>
      <c r="AT2414" s="280"/>
      <c r="AU2414" s="456"/>
    </row>
    <row r="2415" spans="2:47" s="8" customFormat="1">
      <c r="B2415" s="451"/>
      <c r="C2415" s="428"/>
      <c r="D2415" s="28"/>
      <c r="E2415" s="59"/>
      <c r="F2415" s="28"/>
      <c r="G2415" s="59"/>
      <c r="H2415" s="28"/>
      <c r="I2415" s="59"/>
      <c r="J2415" s="28"/>
      <c r="K2415" s="59"/>
      <c r="L2415" s="28"/>
      <c r="M2415" s="59"/>
      <c r="N2415" s="28"/>
      <c r="O2415" s="59"/>
      <c r="P2415" s="28"/>
      <c r="Q2415" s="59"/>
      <c r="R2415" s="28"/>
      <c r="S2415" s="59"/>
      <c r="T2415" s="28"/>
      <c r="U2415" s="59"/>
      <c r="V2415" s="28"/>
      <c r="W2415" s="59"/>
      <c r="X2415" s="40"/>
      <c r="Y2415" s="40"/>
      <c r="Z2415" s="40"/>
      <c r="AA2415" s="40"/>
      <c r="AB2415" s="40"/>
      <c r="AC2415" s="48"/>
      <c r="AD2415" s="48"/>
      <c r="AE2415" s="48"/>
      <c r="AF2415" s="48"/>
      <c r="AG2415" s="48"/>
      <c r="AH2415" s="48"/>
      <c r="AI2415" s="48"/>
      <c r="AJ2415" s="48"/>
      <c r="AK2415" s="48"/>
      <c r="AL2415" s="48"/>
      <c r="AM2415" s="456"/>
      <c r="AN2415" s="457"/>
      <c r="AO2415" s="456"/>
      <c r="AP2415" s="280"/>
      <c r="AQ2415" s="456"/>
      <c r="AR2415" s="280"/>
      <c r="AS2415" s="456"/>
      <c r="AT2415" s="280"/>
      <c r="AU2415" s="456"/>
    </row>
    <row r="2416" spans="2:47" s="48" customFormat="1">
      <c r="B2416" s="451"/>
      <c r="C2416" s="428"/>
      <c r="D2416" s="28"/>
      <c r="E2416" s="59"/>
      <c r="F2416" s="28"/>
      <c r="G2416" s="59"/>
      <c r="H2416" s="28"/>
      <c r="I2416" s="59"/>
      <c r="J2416" s="28"/>
      <c r="K2416" s="59"/>
      <c r="L2416" s="28"/>
      <c r="M2416" s="59"/>
      <c r="N2416" s="28"/>
      <c r="O2416" s="59"/>
      <c r="P2416" s="28"/>
      <c r="Q2416" s="59"/>
      <c r="R2416" s="28"/>
      <c r="S2416" s="59"/>
      <c r="T2416" s="28"/>
      <c r="U2416" s="59"/>
      <c r="V2416" s="28"/>
      <c r="W2416" s="59"/>
      <c r="X2416" s="401"/>
      <c r="Y2416" s="401"/>
      <c r="Z2416" s="401"/>
      <c r="AA2416" s="401"/>
      <c r="AB2416" s="401"/>
      <c r="AM2416" s="454"/>
      <c r="AN2416" s="455"/>
      <c r="AO2416" s="454"/>
      <c r="AP2416" s="56"/>
      <c r="AQ2416" s="454"/>
      <c r="AR2416" s="56"/>
      <c r="AS2416" s="454"/>
      <c r="AT2416" s="56"/>
      <c r="AU2416" s="454"/>
    </row>
    <row r="2417" spans="1:47" s="48" customFormat="1">
      <c r="B2417" s="451"/>
      <c r="C2417" s="428"/>
      <c r="D2417" s="28"/>
      <c r="E2417" s="59"/>
      <c r="F2417" s="28"/>
      <c r="G2417" s="59"/>
      <c r="H2417" s="28"/>
      <c r="I2417" s="59"/>
      <c r="J2417" s="28"/>
      <c r="K2417" s="59"/>
      <c r="L2417" s="28"/>
      <c r="M2417" s="59"/>
      <c r="N2417" s="28"/>
      <c r="O2417" s="59"/>
      <c r="P2417" s="28"/>
      <c r="Q2417" s="59"/>
      <c r="R2417" s="28"/>
      <c r="S2417" s="59"/>
      <c r="T2417" s="28"/>
      <c r="U2417" s="59"/>
      <c r="V2417" s="28"/>
      <c r="W2417" s="59"/>
      <c r="X2417" s="401"/>
      <c r="Y2417" s="401"/>
      <c r="Z2417" s="401"/>
      <c r="AA2417" s="401"/>
      <c r="AB2417" s="401"/>
      <c r="AM2417" s="454"/>
      <c r="AN2417" s="455"/>
      <c r="AO2417" s="454"/>
      <c r="AP2417" s="56"/>
      <c r="AQ2417" s="454"/>
      <c r="AR2417" s="56"/>
      <c r="AS2417" s="454"/>
      <c r="AT2417" s="56"/>
      <c r="AU2417" s="454"/>
    </row>
    <row r="2418" spans="1:47" s="48" customFormat="1">
      <c r="B2418" s="451"/>
      <c r="C2418" s="428"/>
      <c r="D2418" s="28"/>
      <c r="E2418" s="59"/>
      <c r="F2418" s="28"/>
      <c r="G2418" s="59"/>
      <c r="H2418" s="28"/>
      <c r="I2418" s="59"/>
      <c r="J2418" s="28"/>
      <c r="K2418" s="59"/>
      <c r="L2418" s="28"/>
      <c r="M2418" s="59"/>
      <c r="N2418" s="28"/>
      <c r="O2418" s="59"/>
      <c r="P2418" s="28"/>
      <c r="Q2418" s="59"/>
      <c r="R2418" s="28"/>
      <c r="S2418" s="59"/>
      <c r="T2418" s="28"/>
      <c r="U2418" s="59"/>
      <c r="V2418" s="28"/>
      <c r="W2418" s="59"/>
      <c r="X2418" s="401"/>
      <c r="Y2418" s="401"/>
      <c r="Z2418" s="401"/>
      <c r="AA2418" s="401"/>
      <c r="AB2418" s="401"/>
      <c r="AM2418" s="454"/>
      <c r="AN2418" s="455"/>
      <c r="AO2418" s="454"/>
      <c r="AP2418" s="56"/>
      <c r="AQ2418" s="454"/>
      <c r="AR2418" s="56"/>
      <c r="AS2418" s="454"/>
      <c r="AT2418" s="56"/>
      <c r="AU2418" s="454"/>
    </row>
    <row r="2419" spans="1:47" s="48" customFormat="1">
      <c r="B2419" s="451"/>
      <c r="C2419" s="428"/>
      <c r="D2419" s="28"/>
      <c r="E2419" s="59"/>
      <c r="F2419" s="28"/>
      <c r="G2419" s="59"/>
      <c r="H2419" s="28"/>
      <c r="I2419" s="59"/>
      <c r="J2419" s="28"/>
      <c r="K2419" s="59"/>
      <c r="L2419" s="28"/>
      <c r="M2419" s="59"/>
      <c r="N2419" s="28"/>
      <c r="O2419" s="59"/>
      <c r="P2419" s="28"/>
      <c r="Q2419" s="59"/>
      <c r="R2419" s="28"/>
      <c r="S2419" s="59"/>
      <c r="T2419" s="28"/>
      <c r="U2419" s="59"/>
      <c r="V2419" s="28"/>
      <c r="W2419" s="59"/>
      <c r="X2419" s="401"/>
      <c r="Y2419" s="401"/>
      <c r="Z2419" s="401"/>
      <c r="AA2419" s="401"/>
      <c r="AB2419" s="401"/>
      <c r="AM2419" s="454"/>
      <c r="AN2419" s="455"/>
      <c r="AO2419" s="454"/>
      <c r="AP2419" s="56"/>
      <c r="AQ2419" s="454"/>
      <c r="AR2419" s="56"/>
      <c r="AS2419" s="454"/>
      <c r="AT2419" s="56"/>
      <c r="AU2419" s="454"/>
    </row>
    <row r="2420" spans="1:47" s="48" customFormat="1">
      <c r="B2420" s="451"/>
      <c r="C2420" s="428"/>
      <c r="D2420" s="28"/>
      <c r="E2420" s="59"/>
      <c r="F2420" s="28"/>
      <c r="G2420" s="59"/>
      <c r="H2420" s="28"/>
      <c r="I2420" s="59"/>
      <c r="J2420" s="28"/>
      <c r="K2420" s="59"/>
      <c r="L2420" s="28"/>
      <c r="M2420" s="59"/>
      <c r="N2420" s="28"/>
      <c r="O2420" s="59"/>
      <c r="P2420" s="28"/>
      <c r="Q2420" s="59"/>
      <c r="R2420" s="28"/>
      <c r="S2420" s="59"/>
      <c r="T2420" s="28"/>
      <c r="U2420" s="59"/>
      <c r="V2420" s="28"/>
      <c r="W2420" s="59"/>
      <c r="X2420" s="401"/>
      <c r="Y2420" s="401"/>
      <c r="Z2420" s="401"/>
      <c r="AA2420" s="401"/>
      <c r="AB2420" s="401"/>
      <c r="AM2420" s="454"/>
      <c r="AN2420" s="455"/>
      <c r="AO2420" s="454"/>
      <c r="AP2420" s="56"/>
      <c r="AQ2420" s="454"/>
      <c r="AR2420" s="56"/>
      <c r="AS2420" s="454"/>
      <c r="AT2420" s="56"/>
      <c r="AU2420" s="454"/>
    </row>
    <row r="2421" spans="1:47" s="48" customFormat="1">
      <c r="B2421" s="451"/>
      <c r="C2421" s="428"/>
      <c r="D2421" s="28"/>
      <c r="E2421" s="59"/>
      <c r="F2421" s="28"/>
      <c r="G2421" s="59"/>
      <c r="H2421" s="28"/>
      <c r="I2421" s="59"/>
      <c r="J2421" s="28"/>
      <c r="K2421" s="59"/>
      <c r="L2421" s="28"/>
      <c r="M2421" s="59"/>
      <c r="N2421" s="28"/>
      <c r="O2421" s="59"/>
      <c r="P2421" s="28"/>
      <c r="Q2421" s="59"/>
      <c r="R2421" s="28"/>
      <c r="S2421" s="59"/>
      <c r="T2421" s="28"/>
      <c r="U2421" s="59"/>
      <c r="V2421" s="28"/>
      <c r="W2421" s="59"/>
      <c r="X2421" s="401"/>
      <c r="Y2421" s="401"/>
      <c r="Z2421" s="401"/>
      <c r="AA2421" s="401"/>
      <c r="AB2421" s="401"/>
      <c r="AM2421" s="454"/>
      <c r="AN2421" s="455"/>
      <c r="AO2421" s="454"/>
      <c r="AP2421" s="56"/>
      <c r="AQ2421" s="454"/>
      <c r="AR2421" s="56"/>
      <c r="AS2421" s="454"/>
      <c r="AT2421" s="56"/>
      <c r="AU2421" s="454"/>
    </row>
    <row r="2422" spans="1:47" s="48" customFormat="1">
      <c r="B2422" s="451"/>
      <c r="C2422" s="428"/>
      <c r="D2422" s="28"/>
      <c r="E2422" s="59"/>
      <c r="F2422" s="28"/>
      <c r="G2422" s="59"/>
      <c r="H2422" s="28"/>
      <c r="I2422" s="59"/>
      <c r="J2422" s="28"/>
      <c r="K2422" s="59"/>
      <c r="L2422" s="28"/>
      <c r="M2422" s="59"/>
      <c r="N2422" s="28"/>
      <c r="O2422" s="59"/>
      <c r="P2422" s="28"/>
      <c r="Q2422" s="59"/>
      <c r="R2422" s="28"/>
      <c r="S2422" s="59"/>
      <c r="T2422" s="28"/>
      <c r="U2422" s="59"/>
      <c r="V2422" s="28"/>
      <c r="W2422" s="59"/>
      <c r="X2422" s="401"/>
      <c r="Y2422" s="401"/>
      <c r="Z2422" s="401"/>
      <c r="AA2422" s="401"/>
      <c r="AB2422" s="401"/>
      <c r="AM2422" s="454"/>
      <c r="AN2422" s="455"/>
      <c r="AO2422" s="454"/>
      <c r="AP2422" s="56"/>
      <c r="AQ2422" s="454"/>
      <c r="AR2422" s="56"/>
      <c r="AS2422" s="454"/>
      <c r="AT2422" s="56"/>
      <c r="AU2422" s="454"/>
    </row>
    <row r="2423" spans="1:47" s="8" customFormat="1">
      <c r="B2423" s="493" t="str">
        <f>TITLE!C46</f>
        <v>Дверна коробка Verto-FIT Comfort Inside</v>
      </c>
      <c r="C2423" s="494"/>
      <c r="D2423" s="118"/>
      <c r="E2423" s="495" t="str">
        <f>IF($C$1="ENG","For Door Leafs inside","Для Дверних Полотен Внутрішнього відкривання")</f>
        <v>Для Дверних Полотен Внутрішнього відкривання</v>
      </c>
      <c r="F2423" s="495"/>
      <c r="G2423" s="495"/>
      <c r="H2423" s="495"/>
      <c r="I2423" s="495"/>
      <c r="J2423" s="495"/>
      <c r="K2423" s="495"/>
      <c r="L2423" s="496"/>
      <c r="M2423" s="496"/>
      <c r="N2423" s="496"/>
      <c r="O2423" s="496"/>
      <c r="P2423" s="496"/>
      <c r="Q2423" s="496"/>
      <c r="R2423" s="496"/>
      <c r="S2423" s="496"/>
      <c r="T2423" s="497" t="str">
        <f>IF($C$1="ENG",CONCATENATE("up to: ",B2334),CONCATENATE("вгору до: ",B2334))</f>
        <v xml:space="preserve">вгору до: </v>
      </c>
      <c r="U2423" s="497"/>
      <c r="V2423" s="497"/>
      <c r="W2423" s="497"/>
      <c r="AC2423" s="1"/>
      <c r="AE2423" s="1"/>
      <c r="AF2423" s="1"/>
      <c r="AG2423" s="1"/>
      <c r="AI2423" s="1"/>
      <c r="AK2423" s="1"/>
      <c r="AN2423" s="280"/>
      <c r="AO2423" s="280"/>
      <c r="AP2423" s="280"/>
      <c r="AQ2423" s="280"/>
      <c r="AR2423" s="280"/>
      <c r="AS2423" s="280"/>
      <c r="AT2423" s="280"/>
    </row>
    <row r="2424" spans="1:47" s="8" customFormat="1" ht="5.0999999999999996" customHeight="1">
      <c r="C2424" s="424"/>
      <c r="T2424" s="446"/>
      <c r="U2424" s="446"/>
      <c r="V2424" s="446"/>
      <c r="W2424" s="446"/>
      <c r="AN2424" s="280"/>
      <c r="AO2424" s="280"/>
      <c r="AP2424" s="280"/>
      <c r="AQ2424" s="280"/>
      <c r="AR2424" s="280"/>
      <c r="AS2424" s="280"/>
      <c r="AT2424" s="280"/>
    </row>
    <row r="2425" spans="1:47" ht="12.75" customHeight="1">
      <c r="A2425" s="8"/>
      <c r="B2425" s="307" t="str">
        <f>IF($C$1="ENG","model","модель")</f>
        <v>модель</v>
      </c>
      <c r="C2425" s="122" t="str">
        <f>IF($C$1="ENG","cover:","покриття:")</f>
        <v>покриття:</v>
      </c>
      <c r="D2425" s="498" t="str">
        <f>IF($C$1="ENG","SIMPLEX / VERTO-CELL","SIMPLEX / VERTO-CELL ")</f>
        <v xml:space="preserve">SIMPLEX / VERTO-CELL </v>
      </c>
      <c r="E2425" s="499"/>
      <c r="F2425" s="499"/>
      <c r="G2425" s="500"/>
      <c r="H2425" s="498" t="str">
        <f>IF($C$1="ENG","UNI-MAT","UNI-MAT")</f>
        <v>UNI-MAT</v>
      </c>
      <c r="I2425" s="499"/>
      <c r="J2425" s="499"/>
      <c r="K2425" s="500"/>
      <c r="L2425" s="498" t="str">
        <f>IF($C$1="ENG","RESIST","RESIST")</f>
        <v>RESIST</v>
      </c>
      <c r="M2425" s="499"/>
      <c r="N2425" s="499"/>
      <c r="O2425" s="500"/>
      <c r="AL2425" s="30"/>
      <c r="AM2425" s="384">
        <v>0.15</v>
      </c>
      <c r="AS2425" s="1"/>
      <c r="AT2425" s="1"/>
    </row>
    <row r="2426" spans="1:47" ht="12.75" customHeight="1">
      <c r="A2426" s="8"/>
      <c r="B2426" s="308"/>
      <c r="C2426" s="124" t="str">
        <f>IF($C$1="ENG","type:","виконання:")</f>
        <v>виконання:</v>
      </c>
      <c r="D2426" s="489" t="str">
        <f>IF($C$1="ENG","single leaf","одностулкове")</f>
        <v>одностулкове</v>
      </c>
      <c r="E2426" s="490"/>
      <c r="F2426" s="450"/>
      <c r="G2426" s="448"/>
      <c r="H2426" s="489" t="str">
        <f>IF($C$1="ENG","single leaf","одностулкове")</f>
        <v>одностулкове</v>
      </c>
      <c r="I2426" s="490"/>
      <c r="J2426" s="450"/>
      <c r="K2426" s="448"/>
      <c r="L2426" s="489" t="str">
        <f>IF($C$1="ENG","single leaf","одностулкове")</f>
        <v>одностулкове</v>
      </c>
      <c r="M2426" s="490"/>
      <c r="N2426" s="491"/>
      <c r="O2426" s="492"/>
      <c r="AL2426" s="30"/>
      <c r="AM2426" s="30"/>
      <c r="AS2426" s="1"/>
      <c r="AT2426" s="1"/>
    </row>
    <row r="2427" spans="1:47" ht="12.75" customHeight="1">
      <c r="A2427" s="8"/>
      <c r="B2427" s="13" t="str">
        <f>IF($C$1="ENG","A (75 - 95 mm)","A (75 - 95 мм)")</f>
        <v>A (75 - 95 мм)</v>
      </c>
      <c r="C2427" s="449"/>
      <c r="D2427" s="15">
        <f t="shared" ref="D2427:D2435" si="395">IF(AA2427="","",(1-$W$2)*(AA2427/1.2))</f>
        <v>2908.3333333333335</v>
      </c>
      <c r="E2427" s="267">
        <f t="shared" ref="E2427:E2435" si="396">IF($W$5=0.2,D2427*1.2,D2427)/$W$4</f>
        <v>3490</v>
      </c>
      <c r="F2427" s="270"/>
      <c r="G2427" s="64"/>
      <c r="H2427" s="15">
        <f t="shared" ref="H2427:H2435" si="397">IF(AC2427="","",(1-$W$2)*(AC2427/1.2))</f>
        <v>3341.666666666667</v>
      </c>
      <c r="I2427" s="267">
        <f t="shared" ref="I2427:I2435" si="398">IF($W$5=0.2,H2427*1.2,H2427)/$W$4</f>
        <v>4010</v>
      </c>
      <c r="J2427" s="270"/>
      <c r="K2427" s="64"/>
      <c r="L2427" s="15">
        <f t="shared" ref="L2427:L2435" si="399">IF(AE2427="","",(1-$W$2)*(AE2427/1.2))</f>
        <v>3550</v>
      </c>
      <c r="M2427" s="267">
        <f t="shared" ref="M2427:M2435" si="400">IF($W$5=0.2,L2427*1.2,L2427)/$W$4</f>
        <v>4260</v>
      </c>
      <c r="N2427" s="270"/>
      <c r="O2427" s="64"/>
      <c r="P2427" s="22"/>
      <c r="Q2427" s="22"/>
      <c r="R2427" s="22"/>
      <c r="S2427" s="22"/>
      <c r="T2427" s="22"/>
      <c r="U2427" s="22"/>
      <c r="V2427" s="22"/>
      <c r="W2427" s="22"/>
      <c r="X2427" s="22"/>
      <c r="Y2427" s="22"/>
      <c r="Z2427" s="22"/>
      <c r="AA2427" s="332">
        <v>3490</v>
      </c>
      <c r="AB2427" s="332"/>
      <c r="AC2427" s="332">
        <v>4010</v>
      </c>
      <c r="AD2427" s="332"/>
      <c r="AE2427" s="332">
        <v>4260</v>
      </c>
      <c r="AF2427" s="332"/>
      <c r="AG2427" s="332">
        <v>4610</v>
      </c>
      <c r="AH2427" s="332"/>
      <c r="AI2427" s="332">
        <v>4930</v>
      </c>
      <c r="AJ2427" s="289"/>
      <c r="AK2427" s="387">
        <v>3570</v>
      </c>
      <c r="AL2427" s="310">
        <f>AK2427/AA2427-1</f>
        <v>2.2922636103151817E-2</v>
      </c>
      <c r="AM2427" s="387">
        <f>AB2427/100*13+AB2427</f>
        <v>0</v>
      </c>
      <c r="AN2427" s="30" t="e">
        <f>AM2427/AB2427-1</f>
        <v>#DIV/0!</v>
      </c>
      <c r="AO2427" s="387">
        <v>4101</v>
      </c>
      <c r="AP2427" s="30">
        <f>AO2427/AC2427-1</f>
        <v>2.2693266832917613E-2</v>
      </c>
      <c r="AQ2427" s="387">
        <f>AD2427/100*13+AD2427</f>
        <v>0</v>
      </c>
      <c r="AR2427" s="30" t="e">
        <f>AQ2427/AD2427-1</f>
        <v>#DIV/0!</v>
      </c>
      <c r="AS2427" s="387">
        <v>4320</v>
      </c>
      <c r="AT2427" s="1">
        <f>AS2427/AE2427-1</f>
        <v>1.4084507042253502E-2</v>
      </c>
      <c r="AU2427" s="1">
        <f>AF2427/100*13+AF2427</f>
        <v>0</v>
      </c>
    </row>
    <row r="2428" spans="1:47">
      <c r="A2428" s="8"/>
      <c r="B2428" s="16" t="str">
        <f>IF($C$1="ENG","B (95 - 115 mm)","B (95 - 115 мм)")</f>
        <v>B (95 - 115 мм)</v>
      </c>
      <c r="C2428" s="432"/>
      <c r="D2428" s="18">
        <f t="shared" si="395"/>
        <v>3066.666666666667</v>
      </c>
      <c r="E2428" s="268">
        <f t="shared" si="396"/>
        <v>3680.0000000000005</v>
      </c>
      <c r="F2428" s="271"/>
      <c r="G2428" s="66"/>
      <c r="H2428" s="18">
        <f t="shared" si="397"/>
        <v>3533.3333333333335</v>
      </c>
      <c r="I2428" s="268">
        <f t="shared" si="398"/>
        <v>4240</v>
      </c>
      <c r="J2428" s="271"/>
      <c r="K2428" s="66"/>
      <c r="L2428" s="18">
        <f t="shared" si="399"/>
        <v>3733.3333333333335</v>
      </c>
      <c r="M2428" s="268">
        <f t="shared" si="400"/>
        <v>4480</v>
      </c>
      <c r="N2428" s="271"/>
      <c r="O2428" s="66"/>
      <c r="P2428" s="22"/>
      <c r="Q2428" s="22"/>
      <c r="R2428" s="22"/>
      <c r="S2428" s="22"/>
      <c r="T2428" s="22"/>
      <c r="U2428" s="22"/>
      <c r="V2428" s="22"/>
      <c r="W2428" s="22"/>
      <c r="X2428" s="22"/>
      <c r="Y2428" s="22"/>
      <c r="Z2428" s="22"/>
      <c r="AA2428" s="332">
        <v>3680</v>
      </c>
      <c r="AB2428" s="332"/>
      <c r="AC2428" s="332">
        <v>4240</v>
      </c>
      <c r="AD2428" s="332"/>
      <c r="AE2428" s="332">
        <v>4480</v>
      </c>
      <c r="AF2428" s="332"/>
      <c r="AG2428" s="332">
        <v>4840</v>
      </c>
      <c r="AH2428" s="332"/>
      <c r="AI2428" s="332">
        <v>5170</v>
      </c>
      <c r="AJ2428" s="289"/>
      <c r="AK2428" s="387">
        <v>3740</v>
      </c>
      <c r="AL2428" s="30">
        <f t="shared" ref="AL2428:AL2435" si="401">AK2428/AA2428-1</f>
        <v>1.6304347826086918E-2</v>
      </c>
      <c r="AM2428" s="387">
        <f t="shared" ref="AM2428:AM2435" si="402">AB2428/100*13+AB2428</f>
        <v>0</v>
      </c>
      <c r="AN2428" s="30" t="e">
        <f t="shared" ref="AN2428:AN2435" si="403">AM2428/AB2428-1</f>
        <v>#DIV/0!</v>
      </c>
      <c r="AO2428" s="387">
        <v>4310</v>
      </c>
      <c r="AP2428" s="30">
        <f t="shared" ref="AP2428:AP2435" si="404">AO2428/AC2428-1</f>
        <v>1.6509433962264231E-2</v>
      </c>
      <c r="AQ2428" s="387">
        <f t="shared" ref="AQ2428:AQ2435" si="405">AD2428/100*13+AD2428</f>
        <v>0</v>
      </c>
      <c r="AR2428" s="30" t="e">
        <f t="shared" ref="AR2428:AR2435" si="406">AQ2428/AD2428-1</f>
        <v>#DIV/0!</v>
      </c>
      <c r="AS2428" s="387">
        <v>4520</v>
      </c>
      <c r="AT2428" s="1">
        <f t="shared" ref="AT2428:AT2435" si="407">AS2428/AE2428-1</f>
        <v>8.9285714285713969E-3</v>
      </c>
      <c r="AU2428" s="1">
        <f t="shared" ref="AU2428:AU2435" si="408">AF2428/100*13+AF2428</f>
        <v>0</v>
      </c>
    </row>
    <row r="2429" spans="1:47">
      <c r="A2429" s="8"/>
      <c r="B2429" s="16" t="str">
        <f>IF($C$1="ENG","B+ (100 - 120 mm)","B+ (100 - 120 мм)")</f>
        <v>B+ (100 - 120 мм)</v>
      </c>
      <c r="C2429" s="432"/>
      <c r="D2429" s="18">
        <f t="shared" si="395"/>
        <v>3150</v>
      </c>
      <c r="E2429" s="268">
        <f t="shared" si="396"/>
        <v>3780</v>
      </c>
      <c r="F2429" s="271"/>
      <c r="G2429" s="66"/>
      <c r="H2429" s="18">
        <f t="shared" si="397"/>
        <v>3633.3333333333335</v>
      </c>
      <c r="I2429" s="268">
        <f t="shared" si="398"/>
        <v>4360</v>
      </c>
      <c r="J2429" s="271"/>
      <c r="K2429" s="66"/>
      <c r="L2429" s="18">
        <f t="shared" si="399"/>
        <v>3841.666666666667</v>
      </c>
      <c r="M2429" s="268">
        <f t="shared" si="400"/>
        <v>4610</v>
      </c>
      <c r="N2429" s="271"/>
      <c r="O2429" s="66"/>
      <c r="P2429" s="22"/>
      <c r="Q2429" s="22"/>
      <c r="R2429" s="22"/>
      <c r="S2429" s="22"/>
      <c r="T2429" s="22"/>
      <c r="U2429" s="22"/>
      <c r="V2429" s="22"/>
      <c r="W2429" s="22"/>
      <c r="X2429" s="22"/>
      <c r="Y2429" s="22"/>
      <c r="Z2429" s="22"/>
      <c r="AA2429" s="332">
        <v>3780</v>
      </c>
      <c r="AB2429" s="332"/>
      <c r="AC2429" s="332">
        <v>4360</v>
      </c>
      <c r="AD2429" s="332"/>
      <c r="AE2429" s="332">
        <v>4610</v>
      </c>
      <c r="AF2429" s="332"/>
      <c r="AG2429" s="332">
        <v>4950</v>
      </c>
      <c r="AH2429" s="332"/>
      <c r="AI2429" s="332">
        <v>5280</v>
      </c>
      <c r="AJ2429" s="289"/>
      <c r="AK2429" s="387">
        <v>3820</v>
      </c>
      <c r="AL2429" s="310">
        <f t="shared" si="401"/>
        <v>1.0582010582010692E-2</v>
      </c>
      <c r="AM2429" s="387">
        <f t="shared" si="402"/>
        <v>0</v>
      </c>
      <c r="AN2429" s="310" t="e">
        <f t="shared" si="403"/>
        <v>#DIV/0!</v>
      </c>
      <c r="AO2429" s="387">
        <v>4400</v>
      </c>
      <c r="AP2429" s="30">
        <f t="shared" si="404"/>
        <v>9.1743119266054496E-3</v>
      </c>
      <c r="AQ2429" s="387">
        <f t="shared" si="405"/>
        <v>0</v>
      </c>
      <c r="AR2429" s="30" t="e">
        <f t="shared" si="406"/>
        <v>#DIV/0!</v>
      </c>
      <c r="AS2429" s="387">
        <v>4630</v>
      </c>
      <c r="AT2429" s="1">
        <f t="shared" si="407"/>
        <v>4.3383947939261702E-3</v>
      </c>
      <c r="AU2429" s="1">
        <f t="shared" si="408"/>
        <v>0</v>
      </c>
    </row>
    <row r="2430" spans="1:47">
      <c r="A2430" s="8"/>
      <c r="B2430" s="16" t="str">
        <f>IF($C$1="ENG","C (120 - 140 mm)","C (120 - 140 мм)")</f>
        <v>C (120 - 140 мм)</v>
      </c>
      <c r="C2430" s="432"/>
      <c r="D2430" s="18">
        <f t="shared" si="395"/>
        <v>3225</v>
      </c>
      <c r="E2430" s="268">
        <f t="shared" si="396"/>
        <v>3870</v>
      </c>
      <c r="F2430" s="271"/>
      <c r="G2430" s="66"/>
      <c r="H2430" s="18">
        <f t="shared" si="397"/>
        <v>3708.3333333333335</v>
      </c>
      <c r="I2430" s="268">
        <f t="shared" si="398"/>
        <v>4450</v>
      </c>
      <c r="J2430" s="271"/>
      <c r="K2430" s="66"/>
      <c r="L2430" s="18">
        <f t="shared" si="399"/>
        <v>3925</v>
      </c>
      <c r="M2430" s="268">
        <f t="shared" si="400"/>
        <v>4710</v>
      </c>
      <c r="N2430" s="271"/>
      <c r="O2430" s="66"/>
      <c r="P2430" s="22"/>
      <c r="Q2430" s="22"/>
      <c r="R2430" s="22"/>
      <c r="S2430" s="22"/>
      <c r="T2430" s="22"/>
      <c r="U2430" s="22"/>
      <c r="V2430" s="22"/>
      <c r="W2430" s="22"/>
      <c r="X2430" s="22"/>
      <c r="Y2430" s="22"/>
      <c r="Z2430" s="22"/>
      <c r="AA2430" s="332">
        <v>3870</v>
      </c>
      <c r="AB2430" s="332"/>
      <c r="AC2430" s="332">
        <v>4450</v>
      </c>
      <c r="AD2430" s="332"/>
      <c r="AE2430" s="332">
        <v>4710</v>
      </c>
      <c r="AF2430" s="332"/>
      <c r="AG2430" s="332">
        <v>5060</v>
      </c>
      <c r="AH2430" s="332"/>
      <c r="AI2430" s="332">
        <v>5400</v>
      </c>
      <c r="AJ2430" s="289"/>
      <c r="AK2430" s="387">
        <v>3910</v>
      </c>
      <c r="AL2430" s="310">
        <f t="shared" si="401"/>
        <v>1.0335917312661591E-2</v>
      </c>
      <c r="AM2430" s="387">
        <f t="shared" si="402"/>
        <v>0</v>
      </c>
      <c r="AN2430" s="30" t="e">
        <f t="shared" si="403"/>
        <v>#DIV/0!</v>
      </c>
      <c r="AO2430" s="387">
        <v>4400</v>
      </c>
      <c r="AP2430" s="30">
        <f t="shared" si="404"/>
        <v>-1.1235955056179803E-2</v>
      </c>
      <c r="AQ2430" s="387">
        <f t="shared" si="405"/>
        <v>0</v>
      </c>
      <c r="AR2430" s="30" t="e">
        <f t="shared" si="406"/>
        <v>#DIV/0!</v>
      </c>
      <c r="AS2430" s="387">
        <v>4710</v>
      </c>
      <c r="AT2430" s="1">
        <f t="shared" si="407"/>
        <v>0</v>
      </c>
      <c r="AU2430" s="1">
        <f t="shared" si="408"/>
        <v>0</v>
      </c>
    </row>
    <row r="2431" spans="1:47">
      <c r="A2431" s="8"/>
      <c r="B2431" s="16" t="str">
        <f>IF($C$1="ENG","D (140 - 160 mm)","D (140 - 160 мм)")</f>
        <v>D (140 - 160 мм)</v>
      </c>
      <c r="C2431" s="432"/>
      <c r="D2431" s="18">
        <f t="shared" si="395"/>
        <v>3400</v>
      </c>
      <c r="E2431" s="268">
        <f t="shared" si="396"/>
        <v>4080</v>
      </c>
      <c r="F2431" s="271"/>
      <c r="G2431" s="66"/>
      <c r="H2431" s="18">
        <f t="shared" si="397"/>
        <v>3916.666666666667</v>
      </c>
      <c r="I2431" s="268">
        <f t="shared" si="398"/>
        <v>4700</v>
      </c>
      <c r="J2431" s="271"/>
      <c r="K2431" s="66"/>
      <c r="L2431" s="18">
        <f t="shared" si="399"/>
        <v>4100</v>
      </c>
      <c r="M2431" s="268">
        <f t="shared" si="400"/>
        <v>4920</v>
      </c>
      <c r="N2431" s="271"/>
      <c r="O2431" s="66"/>
      <c r="P2431" s="22"/>
      <c r="Q2431" s="22"/>
      <c r="R2431" s="22"/>
      <c r="S2431" s="22"/>
      <c r="T2431" s="22"/>
      <c r="U2431" s="22"/>
      <c r="V2431" s="22"/>
      <c r="W2431" s="22"/>
      <c r="X2431" s="22"/>
      <c r="Y2431" s="22"/>
      <c r="Z2431" s="22"/>
      <c r="AA2431" s="332">
        <v>4080</v>
      </c>
      <c r="AB2431" s="332"/>
      <c r="AC2431" s="332">
        <v>4700</v>
      </c>
      <c r="AD2431" s="332"/>
      <c r="AE2431" s="332">
        <v>4920</v>
      </c>
      <c r="AF2431" s="332"/>
      <c r="AG2431" s="332">
        <v>5290</v>
      </c>
      <c r="AH2431" s="332"/>
      <c r="AI2431" s="332">
        <v>5650</v>
      </c>
      <c r="AJ2431" s="289"/>
      <c r="AK2431" s="387">
        <v>4080</v>
      </c>
      <c r="AL2431" s="310">
        <f t="shared" si="401"/>
        <v>0</v>
      </c>
      <c r="AM2431" s="387">
        <f t="shared" si="402"/>
        <v>0</v>
      </c>
      <c r="AN2431" s="30" t="e">
        <f t="shared" si="403"/>
        <v>#DIV/0!</v>
      </c>
      <c r="AO2431" s="387">
        <v>4690</v>
      </c>
      <c r="AP2431" s="30">
        <f t="shared" si="404"/>
        <v>-2.1276595744680327E-3</v>
      </c>
      <c r="AQ2431" s="387">
        <f t="shared" si="405"/>
        <v>0</v>
      </c>
      <c r="AR2431" s="30" t="e">
        <f t="shared" si="406"/>
        <v>#DIV/0!</v>
      </c>
      <c r="AS2431" s="387">
        <v>4930</v>
      </c>
      <c r="AT2431" s="1">
        <f t="shared" si="407"/>
        <v>2.0325203252031798E-3</v>
      </c>
      <c r="AU2431" s="1">
        <f t="shared" si="408"/>
        <v>0</v>
      </c>
    </row>
    <row r="2432" spans="1:47">
      <c r="A2432" s="8"/>
      <c r="B2432" s="16" t="str">
        <f>IF($C$1="ENG","E (160 - 180 mm)","E (160 - 180 мм)")</f>
        <v>E (160 - 180 мм)</v>
      </c>
      <c r="C2432" s="432"/>
      <c r="D2432" s="18">
        <f t="shared" si="395"/>
        <v>3550</v>
      </c>
      <c r="E2432" s="268">
        <f t="shared" si="396"/>
        <v>4260</v>
      </c>
      <c r="F2432" s="271"/>
      <c r="G2432" s="66"/>
      <c r="H2432" s="18">
        <f t="shared" si="397"/>
        <v>4083.3333333333335</v>
      </c>
      <c r="I2432" s="268">
        <f t="shared" si="398"/>
        <v>4900</v>
      </c>
      <c r="J2432" s="271"/>
      <c r="K2432" s="66"/>
      <c r="L2432" s="18">
        <f t="shared" si="399"/>
        <v>4283.3333333333339</v>
      </c>
      <c r="M2432" s="268">
        <f t="shared" si="400"/>
        <v>5140.0000000000009</v>
      </c>
      <c r="N2432" s="271"/>
      <c r="O2432" s="66"/>
      <c r="P2432" s="22"/>
      <c r="Q2432" s="22"/>
      <c r="R2432" s="22"/>
      <c r="S2432" s="22"/>
      <c r="T2432" s="22"/>
      <c r="U2432" s="22"/>
      <c r="V2432" s="22"/>
      <c r="W2432" s="22"/>
      <c r="X2432" s="22"/>
      <c r="Y2432" s="22"/>
      <c r="Z2432" s="22"/>
      <c r="AA2432" s="332">
        <v>4260</v>
      </c>
      <c r="AB2432" s="332"/>
      <c r="AC2432" s="332">
        <v>4900</v>
      </c>
      <c r="AD2432" s="332"/>
      <c r="AE2432" s="332">
        <v>5140</v>
      </c>
      <c r="AF2432" s="332"/>
      <c r="AG2432" s="332">
        <v>5520</v>
      </c>
      <c r="AH2432" s="332"/>
      <c r="AI2432" s="332">
        <v>5890</v>
      </c>
      <c r="AJ2432" s="289"/>
      <c r="AK2432" s="387">
        <v>4250</v>
      </c>
      <c r="AL2432" s="310">
        <f t="shared" si="401"/>
        <v>-2.3474178403756207E-3</v>
      </c>
      <c r="AM2432" s="387">
        <f t="shared" si="402"/>
        <v>0</v>
      </c>
      <c r="AN2432" s="30" t="e">
        <f t="shared" si="403"/>
        <v>#DIV/0!</v>
      </c>
      <c r="AO2432" s="387">
        <v>4880</v>
      </c>
      <c r="AP2432" s="30">
        <f t="shared" si="404"/>
        <v>-4.0816326530612734E-3</v>
      </c>
      <c r="AQ2432" s="387">
        <f t="shared" si="405"/>
        <v>0</v>
      </c>
      <c r="AR2432" s="30" t="e">
        <f t="shared" si="406"/>
        <v>#DIV/0!</v>
      </c>
      <c r="AS2432" s="387">
        <v>5140</v>
      </c>
      <c r="AT2432" s="1">
        <f t="shared" si="407"/>
        <v>0</v>
      </c>
      <c r="AU2432" s="1">
        <f t="shared" si="408"/>
        <v>0</v>
      </c>
    </row>
    <row r="2433" spans="1:49">
      <c r="A2433" s="8"/>
      <c r="B2433" s="16" t="str">
        <f>IF($C$1="ENG","F (180 - 200 mm)","F (180 - 200 мм)")</f>
        <v>F (180 - 200 мм)</v>
      </c>
      <c r="C2433" s="432"/>
      <c r="D2433" s="18">
        <f t="shared" si="395"/>
        <v>3725</v>
      </c>
      <c r="E2433" s="268">
        <f t="shared" si="396"/>
        <v>4470</v>
      </c>
      <c r="F2433" s="271"/>
      <c r="G2433" s="66"/>
      <c r="H2433" s="18">
        <f t="shared" si="397"/>
        <v>4275</v>
      </c>
      <c r="I2433" s="268">
        <f t="shared" si="398"/>
        <v>5130</v>
      </c>
      <c r="J2433" s="271"/>
      <c r="K2433" s="66"/>
      <c r="L2433" s="18">
        <f t="shared" si="399"/>
        <v>4491.666666666667</v>
      </c>
      <c r="M2433" s="268">
        <f t="shared" si="400"/>
        <v>5390</v>
      </c>
      <c r="N2433" s="271"/>
      <c r="O2433" s="66"/>
      <c r="P2433" s="22"/>
      <c r="Q2433" s="22"/>
      <c r="R2433" s="22"/>
      <c r="S2433" s="22"/>
      <c r="T2433" s="22"/>
      <c r="U2433" s="22"/>
      <c r="V2433" s="22"/>
      <c r="W2433" s="22"/>
      <c r="X2433" s="22"/>
      <c r="Y2433" s="22"/>
      <c r="Z2433" s="22"/>
      <c r="AA2433" s="332">
        <v>4470</v>
      </c>
      <c r="AB2433" s="332"/>
      <c r="AC2433" s="332">
        <v>5130</v>
      </c>
      <c r="AD2433" s="332"/>
      <c r="AE2433" s="332">
        <v>5390</v>
      </c>
      <c r="AF2433" s="332"/>
      <c r="AG2433" s="332">
        <v>5740</v>
      </c>
      <c r="AH2433" s="332"/>
      <c r="AI2433" s="332">
        <v>6140</v>
      </c>
      <c r="AJ2433" s="289"/>
      <c r="AK2433" s="387">
        <v>4420</v>
      </c>
      <c r="AL2433" s="310">
        <f t="shared" si="401"/>
        <v>-1.1185682326621871E-2</v>
      </c>
      <c r="AM2433" s="387">
        <f t="shared" si="402"/>
        <v>0</v>
      </c>
      <c r="AN2433" s="30" t="e">
        <f t="shared" si="403"/>
        <v>#DIV/0!</v>
      </c>
      <c r="AO2433" s="387">
        <v>5090</v>
      </c>
      <c r="AP2433" s="30">
        <f t="shared" si="404"/>
        <v>-7.7972709551656916E-3</v>
      </c>
      <c r="AQ2433" s="387">
        <f t="shared" si="405"/>
        <v>0</v>
      </c>
      <c r="AR2433" s="30" t="e">
        <f t="shared" si="406"/>
        <v>#DIV/0!</v>
      </c>
      <c r="AS2433" s="387">
        <v>5350</v>
      </c>
      <c r="AT2433" s="1">
        <f t="shared" si="407"/>
        <v>-7.4211502782931538E-3</v>
      </c>
      <c r="AU2433" s="1">
        <f t="shared" si="408"/>
        <v>0</v>
      </c>
    </row>
    <row r="2434" spans="1:49">
      <c r="A2434" s="8"/>
      <c r="B2434" s="16" t="str">
        <f>IF($C$1="ENG","G (200 - 220 mm)","G (200 - 220 мм)")</f>
        <v>G (200 - 220 мм)</v>
      </c>
      <c r="C2434" s="432"/>
      <c r="D2434" s="18">
        <f t="shared" si="395"/>
        <v>3875</v>
      </c>
      <c r="E2434" s="268">
        <f t="shared" si="396"/>
        <v>4650</v>
      </c>
      <c r="F2434" s="271"/>
      <c r="G2434" s="66"/>
      <c r="H2434" s="18">
        <f t="shared" si="397"/>
        <v>4466.666666666667</v>
      </c>
      <c r="I2434" s="268">
        <f t="shared" si="398"/>
        <v>5360</v>
      </c>
      <c r="J2434" s="271"/>
      <c r="K2434" s="66"/>
      <c r="L2434" s="18">
        <f t="shared" si="399"/>
        <v>4675</v>
      </c>
      <c r="M2434" s="268">
        <f t="shared" si="400"/>
        <v>5610</v>
      </c>
      <c r="N2434" s="271"/>
      <c r="O2434" s="66"/>
      <c r="P2434" s="22"/>
      <c r="Q2434" s="22"/>
      <c r="R2434" s="22"/>
      <c r="S2434" s="22"/>
      <c r="T2434" s="22"/>
      <c r="U2434" s="22"/>
      <c r="V2434" s="22"/>
      <c r="W2434" s="22"/>
      <c r="X2434" s="22"/>
      <c r="Y2434" s="22"/>
      <c r="Z2434" s="22"/>
      <c r="AA2434" s="332">
        <v>4650</v>
      </c>
      <c r="AB2434" s="332"/>
      <c r="AC2434" s="332">
        <v>5360</v>
      </c>
      <c r="AD2434" s="332"/>
      <c r="AE2434" s="332">
        <v>5610</v>
      </c>
      <c r="AF2434" s="332"/>
      <c r="AG2434" s="332">
        <v>5970</v>
      </c>
      <c r="AH2434" s="332"/>
      <c r="AI2434" s="332">
        <v>6370</v>
      </c>
      <c r="AJ2434" s="289"/>
      <c r="AK2434" s="387">
        <v>4590</v>
      </c>
      <c r="AL2434" s="310">
        <f t="shared" si="401"/>
        <v>-1.2903225806451646E-2</v>
      </c>
      <c r="AM2434" s="387">
        <f t="shared" si="402"/>
        <v>0</v>
      </c>
      <c r="AN2434" s="30" t="e">
        <f t="shared" si="403"/>
        <v>#DIV/0!</v>
      </c>
      <c r="AO2434" s="387">
        <v>5280</v>
      </c>
      <c r="AP2434" s="30">
        <f t="shared" si="404"/>
        <v>-1.4925373134328401E-2</v>
      </c>
      <c r="AQ2434" s="387">
        <f t="shared" si="405"/>
        <v>0</v>
      </c>
      <c r="AR2434" s="30" t="e">
        <f t="shared" si="406"/>
        <v>#DIV/0!</v>
      </c>
      <c r="AS2434" s="387">
        <v>5560</v>
      </c>
      <c r="AT2434" s="1">
        <f t="shared" si="407"/>
        <v>-8.9126559714794995E-3</v>
      </c>
      <c r="AU2434" s="1">
        <f t="shared" si="408"/>
        <v>0</v>
      </c>
    </row>
    <row r="2435" spans="1:49">
      <c r="A2435" s="8"/>
      <c r="B2435" s="107" t="str">
        <f>IF($C$1="ENG","H (220 - 240 mm)","H (220 - 240 мм)")</f>
        <v>H (220 - 240 мм)</v>
      </c>
      <c r="C2435" s="433"/>
      <c r="D2435" s="25">
        <f t="shared" si="395"/>
        <v>4033.3333333333335</v>
      </c>
      <c r="E2435" s="269">
        <f t="shared" si="396"/>
        <v>4840</v>
      </c>
      <c r="F2435" s="272"/>
      <c r="G2435" s="69"/>
      <c r="H2435" s="25">
        <f t="shared" si="397"/>
        <v>4641.666666666667</v>
      </c>
      <c r="I2435" s="269">
        <f t="shared" si="398"/>
        <v>5570</v>
      </c>
      <c r="J2435" s="272"/>
      <c r="K2435" s="69"/>
      <c r="L2435" s="25">
        <f t="shared" si="399"/>
        <v>4858.3333333333339</v>
      </c>
      <c r="M2435" s="269">
        <f t="shared" si="400"/>
        <v>5830.0000000000009</v>
      </c>
      <c r="N2435" s="272"/>
      <c r="O2435" s="69"/>
      <c r="P2435" s="22"/>
      <c r="Q2435" s="22"/>
      <c r="R2435" s="22"/>
      <c r="S2435" s="22"/>
      <c r="T2435" s="22"/>
      <c r="U2435" s="22"/>
      <c r="V2435" s="22"/>
      <c r="W2435" s="22"/>
      <c r="X2435" s="22"/>
      <c r="Y2435" s="22"/>
      <c r="Z2435" s="22"/>
      <c r="AA2435" s="332">
        <v>4840</v>
      </c>
      <c r="AB2435" s="332"/>
      <c r="AC2435" s="332">
        <v>5570</v>
      </c>
      <c r="AD2435" s="332"/>
      <c r="AE2435" s="332">
        <v>5830</v>
      </c>
      <c r="AF2435" s="332"/>
      <c r="AG2435" s="332">
        <v>6190</v>
      </c>
      <c r="AH2435" s="332"/>
      <c r="AI2435" s="332">
        <v>6600</v>
      </c>
      <c r="AJ2435" s="289"/>
      <c r="AK2435" s="387">
        <v>4760</v>
      </c>
      <c r="AL2435" s="310">
        <f t="shared" si="401"/>
        <v>-1.6528925619834656E-2</v>
      </c>
      <c r="AM2435" s="387">
        <f t="shared" si="402"/>
        <v>0</v>
      </c>
      <c r="AN2435" s="30" t="e">
        <f t="shared" si="403"/>
        <v>#DIV/0!</v>
      </c>
      <c r="AO2435" s="387">
        <v>5470</v>
      </c>
      <c r="AP2435" s="30">
        <f t="shared" si="404"/>
        <v>-1.7953321364452379E-2</v>
      </c>
      <c r="AQ2435" s="387">
        <f t="shared" si="405"/>
        <v>0</v>
      </c>
      <c r="AR2435" s="30" t="e">
        <f t="shared" si="406"/>
        <v>#DIV/0!</v>
      </c>
      <c r="AS2435" s="387">
        <v>5760</v>
      </c>
      <c r="AT2435" s="1">
        <f t="shared" si="407"/>
        <v>-1.2006861063464824E-2</v>
      </c>
      <c r="AU2435" s="1">
        <f t="shared" si="408"/>
        <v>0</v>
      </c>
    </row>
    <row r="2436" spans="1:49" s="48" customFormat="1">
      <c r="B2436" s="313"/>
      <c r="C2436" s="428"/>
      <c r="D2436" s="28"/>
      <c r="E2436" s="59"/>
      <c r="F2436" s="28"/>
      <c r="G2436" s="59"/>
      <c r="H2436" s="28"/>
      <c r="I2436" s="59"/>
      <c r="J2436" s="28"/>
      <c r="K2436" s="59"/>
      <c r="L2436" s="28"/>
      <c r="M2436" s="59"/>
      <c r="N2436" s="28"/>
      <c r="O2436" s="59"/>
      <c r="P2436" s="28"/>
      <c r="Q2436" s="59"/>
      <c r="R2436" s="28"/>
      <c r="S2436" s="59"/>
      <c r="T2436" s="28"/>
      <c r="U2436" s="59"/>
      <c r="V2436" s="28"/>
      <c r="W2436" s="59"/>
      <c r="X2436" s="401"/>
      <c r="Y2436" s="401"/>
      <c r="Z2436" s="401"/>
      <c r="AA2436" s="401"/>
      <c r="AB2436" s="401"/>
      <c r="AM2436" s="454"/>
      <c r="AN2436" s="455"/>
      <c r="AO2436" s="454"/>
      <c r="AP2436" s="56"/>
      <c r="AQ2436" s="454"/>
      <c r="AR2436" s="56"/>
      <c r="AS2436" s="454"/>
      <c r="AT2436" s="56"/>
      <c r="AU2436" s="454"/>
    </row>
    <row r="2437" spans="1:49" s="48" customFormat="1">
      <c r="B2437" s="451"/>
      <c r="C2437" s="428"/>
      <c r="D2437" s="28"/>
      <c r="E2437" s="59"/>
      <c r="F2437" s="28"/>
      <c r="G2437" s="59"/>
      <c r="H2437" s="28"/>
      <c r="I2437" s="59"/>
      <c r="J2437" s="28"/>
      <c r="K2437" s="59"/>
      <c r="L2437" s="28"/>
      <c r="M2437" s="59"/>
      <c r="N2437" s="28"/>
      <c r="O2437" s="59"/>
      <c r="P2437" s="28"/>
      <c r="Q2437" s="59"/>
      <c r="R2437" s="28"/>
      <c r="S2437" s="59"/>
      <c r="T2437" s="28"/>
      <c r="U2437" s="59"/>
      <c r="V2437" s="28"/>
      <c r="W2437" s="59"/>
      <c r="X2437" s="401"/>
      <c r="Y2437" s="401"/>
      <c r="Z2437" s="401"/>
      <c r="AA2437" s="401"/>
      <c r="AB2437" s="401"/>
      <c r="AM2437" s="454"/>
      <c r="AN2437" s="455"/>
      <c r="AO2437" s="454"/>
      <c r="AP2437" s="56"/>
      <c r="AQ2437" s="454"/>
      <c r="AR2437" s="56"/>
      <c r="AS2437" s="454"/>
      <c r="AT2437" s="56"/>
      <c r="AU2437" s="454"/>
    </row>
    <row r="2438" spans="1:49" s="48" customFormat="1" ht="24.9" customHeight="1">
      <c r="B2438" s="54" t="str">
        <f>IF($C$1="ENG","ADJUSTABLE PANELS","ПЛАНКИ РЕГУЛЮВАЛЬНІ")</f>
        <v>ПЛАНКИ РЕГУЛЮВАЛЬНІ</v>
      </c>
      <c r="C2438" s="428"/>
      <c r="D2438" s="28"/>
      <c r="E2438" s="485" t="str">
        <f>IF($C$1="ENG","For Door Frames Verto-FIT Comfort Inside","Для Дверних Коробок Verto-FIT Comfort Inside")</f>
        <v>Для Дверних Коробок Verto-FIT Comfort Inside</v>
      </c>
      <c r="F2438" s="485"/>
      <c r="G2438" s="485"/>
      <c r="H2438" s="485"/>
      <c r="I2438" s="485"/>
      <c r="J2438" s="485"/>
      <c r="K2438" s="485"/>
      <c r="L2438" s="28"/>
      <c r="M2438" s="106"/>
      <c r="N2438" s="28"/>
      <c r="O2438" s="29"/>
      <c r="P2438" s="28"/>
      <c r="Q2438" s="106"/>
      <c r="R2438" s="28"/>
      <c r="S2438" s="29"/>
      <c r="T2438" s="153"/>
      <c r="U2438" s="155"/>
      <c r="V2438" s="153"/>
      <c r="W2438" s="154"/>
      <c r="AN2438" s="56"/>
      <c r="AO2438" s="56"/>
      <c r="AP2438" s="56"/>
      <c r="AQ2438" s="56"/>
      <c r="AR2438" s="56"/>
      <c r="AS2438" s="56"/>
      <c r="AT2438" s="56"/>
    </row>
    <row r="2439" spans="1:49" ht="34.5" customHeight="1">
      <c r="A2439" s="8"/>
      <c r="B2439" s="244" t="str">
        <f>IF($C$1="ENG","Panel (1 set) 80 mm","Планка (1 к-т) 80 мм")</f>
        <v>Планка (1 к-т) 80 мм</v>
      </c>
      <c r="C2439" s="434"/>
      <c r="D2439" s="15">
        <f>IF(AC2439="","",(1-$W$2)*(AC2439/1.2))</f>
        <v>991.66666666666674</v>
      </c>
      <c r="E2439" s="299">
        <f>IF($W$5=0.2,D2439*1.2,D2439)/$W$4</f>
        <v>1190</v>
      </c>
      <c r="F2439" s="270"/>
      <c r="G2439" s="64"/>
      <c r="H2439" s="15">
        <f>IF(AE2439="","",(1-$W$2)*(AE2439/1.2))</f>
        <v>1091.6666666666667</v>
      </c>
      <c r="I2439" s="267">
        <f>IF($W$5=0.2,H2439*1.2,H2439)/$W$4</f>
        <v>1310</v>
      </c>
      <c r="J2439" s="270"/>
      <c r="K2439" s="64"/>
      <c r="L2439" s="15">
        <f>IF(AG2439="","",(1-$W$2)*(AG2439/1.2))</f>
        <v>1158.3333333333335</v>
      </c>
      <c r="M2439" s="267">
        <f>IF($W$5=0.2,L2439*1.2,L2439)/$W$4</f>
        <v>1390.0000000000002</v>
      </c>
      <c r="N2439" s="270"/>
      <c r="O2439" s="64"/>
      <c r="P2439" s="15">
        <f>IF(AI2439="","",(1-$W$2)*(AI2439/1.2))</f>
        <v>1225</v>
      </c>
      <c r="Q2439" s="458"/>
      <c r="R2439" s="28"/>
      <c r="S2439" s="59"/>
      <c r="T2439" s="28"/>
      <c r="U2439" s="59"/>
      <c r="V2439" s="28"/>
      <c r="W2439" s="59"/>
      <c r="AC2439" s="332">
        <v>1190</v>
      </c>
      <c r="AD2439" s="332"/>
      <c r="AE2439" s="332">
        <v>1310</v>
      </c>
      <c r="AF2439" s="332"/>
      <c r="AG2439" s="332">
        <v>1390</v>
      </c>
      <c r="AH2439" s="332"/>
      <c r="AI2439" s="332">
        <v>1470</v>
      </c>
      <c r="AJ2439" s="332"/>
      <c r="AK2439" s="332">
        <v>1550</v>
      </c>
      <c r="AL2439" s="289"/>
      <c r="AM2439" s="387">
        <v>1190</v>
      </c>
      <c r="AN2439" s="310">
        <f>AM2439/AC2439-1</f>
        <v>0</v>
      </c>
      <c r="AO2439" s="387">
        <f>AD2439/100*13+AD2439</f>
        <v>0</v>
      </c>
      <c r="AP2439" s="30" t="e">
        <f>AO2439/AD2439-1</f>
        <v>#DIV/0!</v>
      </c>
      <c r="AQ2439" s="387">
        <v>1310</v>
      </c>
      <c r="AR2439" s="30">
        <f>AQ2439/AE2439-1</f>
        <v>0</v>
      </c>
      <c r="AS2439" s="387">
        <f>AF2439/100*13+AF2439</f>
        <v>0</v>
      </c>
      <c r="AT2439" s="30" t="e">
        <f>AS2439/AF2439-1</f>
        <v>#DIV/0!</v>
      </c>
      <c r="AU2439" s="387">
        <v>1390</v>
      </c>
      <c r="AV2439" s="1">
        <f>AU2439/AG2439-1</f>
        <v>0</v>
      </c>
      <c r="AW2439" s="1">
        <f>AH2439/100*13+AH2439</f>
        <v>0</v>
      </c>
    </row>
    <row r="2440" spans="1:49" ht="34.5" customHeight="1">
      <c r="A2440" s="8"/>
      <c r="B2440" s="312" t="str">
        <f>IF($C$1="ENG","Panel (1 set) 160 mm","Планка (1 к-т) 160 мм")</f>
        <v>Планка (1 к-т) 160 мм</v>
      </c>
      <c r="C2440" s="432"/>
      <c r="D2440" s="18">
        <f>IF(AC2440="","",(1-$W$2)*(AC2440/1.2))</f>
        <v>1650</v>
      </c>
      <c r="E2440" s="268">
        <f>IF($W$5=0.2,D2440*1.2,D2440)/$W$4</f>
        <v>1980</v>
      </c>
      <c r="F2440" s="271"/>
      <c r="G2440" s="66"/>
      <c r="H2440" s="18">
        <f>IF(AE2440="","",(1-$W$2)*(AE2440/1.2))</f>
        <v>1875</v>
      </c>
      <c r="I2440" s="268">
        <f>IF($W$5=0.2,H2440*1.2,H2440)/$W$4</f>
        <v>2250</v>
      </c>
      <c r="J2440" s="271"/>
      <c r="K2440" s="66"/>
      <c r="L2440" s="18">
        <f>IF(AG2440="","",(1-$W$2)*(AG2440/1.2))</f>
        <v>1991.6666666666667</v>
      </c>
      <c r="M2440" s="268">
        <f>IF($W$5=0.2,L2440*1.2,L2440)/$W$4</f>
        <v>2390</v>
      </c>
      <c r="N2440" s="271"/>
      <c r="O2440" s="66"/>
      <c r="P2440" s="18">
        <f>IF(AI2440="","",(1-$W$2)*(AI2440/1.2))</f>
        <v>2116.666666666667</v>
      </c>
      <c r="Q2440" s="458"/>
      <c r="R2440" s="28"/>
      <c r="S2440" s="59"/>
      <c r="T2440" s="28"/>
      <c r="U2440" s="59"/>
      <c r="V2440" s="28"/>
      <c r="W2440" s="59"/>
      <c r="AC2440" s="332">
        <v>1980</v>
      </c>
      <c r="AD2440" s="332"/>
      <c r="AE2440" s="332">
        <v>2250</v>
      </c>
      <c r="AF2440" s="332"/>
      <c r="AG2440" s="332">
        <v>2390</v>
      </c>
      <c r="AH2440" s="332"/>
      <c r="AI2440" s="332">
        <v>2540</v>
      </c>
      <c r="AJ2440" s="332"/>
      <c r="AK2440" s="332">
        <v>2690</v>
      </c>
      <c r="AL2440" s="289"/>
      <c r="AM2440" s="387">
        <v>1980</v>
      </c>
      <c r="AN2440" s="310">
        <f t="shared" ref="AN2440:AN2441" si="409">AM2440/AC2440-1</f>
        <v>0</v>
      </c>
      <c r="AO2440" s="387">
        <f t="shared" ref="AO2440:AO2441" si="410">AD2440/100*13+AD2440</f>
        <v>0</v>
      </c>
      <c r="AP2440" s="30" t="e">
        <f t="shared" ref="AP2440:AP2441" si="411">AO2440/AD2440-1</f>
        <v>#DIV/0!</v>
      </c>
      <c r="AQ2440" s="387">
        <v>2250</v>
      </c>
      <c r="AR2440" s="30">
        <f t="shared" ref="AR2440:AR2441" si="412">AQ2440/AE2440-1</f>
        <v>0</v>
      </c>
      <c r="AS2440" s="387">
        <f t="shared" ref="AS2440:AS2441" si="413">AF2440/100*13+AF2440</f>
        <v>0</v>
      </c>
      <c r="AT2440" s="30" t="e">
        <f t="shared" ref="AT2440:AT2441" si="414">AS2440/AF2440-1</f>
        <v>#DIV/0!</v>
      </c>
      <c r="AU2440" s="387">
        <v>2390</v>
      </c>
      <c r="AV2440" s="1">
        <f t="shared" ref="AV2440:AV2441" si="415">AU2440/AG2440-1</f>
        <v>0</v>
      </c>
      <c r="AW2440" s="1">
        <f t="shared" ref="AW2440:AW2441" si="416">AH2440/100*13+AH2440</f>
        <v>0</v>
      </c>
    </row>
    <row r="2441" spans="1:49" ht="34.5" customHeight="1">
      <c r="A2441" s="8"/>
      <c r="B2441" s="108" t="str">
        <f>IF($C$1="ENG","Panel (1 set) 200 mm","Планка (1 к-т) 200 мм")</f>
        <v>Планка (1 к-т) 200 мм</v>
      </c>
      <c r="C2441" s="433"/>
      <c r="D2441" s="25">
        <f>IF(AC2441="","",(1-$W$2)*(AC2441/1.2))</f>
        <v>1966.6666666666667</v>
      </c>
      <c r="E2441" s="269">
        <f>IF($W$5=0.2,D2441*1.2,D2441)/$W$4</f>
        <v>2360</v>
      </c>
      <c r="F2441" s="272"/>
      <c r="G2441" s="69"/>
      <c r="H2441" s="25">
        <f>IF(AE2441="","",(1-$W$2)*(AE2441/1.2))</f>
        <v>2241.666666666667</v>
      </c>
      <c r="I2441" s="269">
        <f>IF($W$5=0.2,H2441*1.2,H2441)/$W$4</f>
        <v>2690.0000000000005</v>
      </c>
      <c r="J2441" s="272"/>
      <c r="K2441" s="69"/>
      <c r="L2441" s="25">
        <f>IF(AG2441="","",(1-$W$2)*(AG2441/1.2))</f>
        <v>2391.666666666667</v>
      </c>
      <c r="M2441" s="269">
        <f>IF($W$5=0.2,L2441*1.2,L2441)/$W$4</f>
        <v>2870.0000000000005</v>
      </c>
      <c r="N2441" s="272"/>
      <c r="O2441" s="69"/>
      <c r="P2441" s="25">
        <f>IF(AI2441="","",(1-$W$2)*(AI2441/1.2))</f>
        <v>2525</v>
      </c>
      <c r="Q2441" s="458"/>
      <c r="R2441" s="28"/>
      <c r="S2441" s="59"/>
      <c r="T2441" s="28"/>
      <c r="U2441" s="59"/>
      <c r="V2441" s="28"/>
      <c r="W2441" s="59"/>
      <c r="AC2441" s="332">
        <v>2360</v>
      </c>
      <c r="AD2441" s="332"/>
      <c r="AE2441" s="332">
        <v>2690</v>
      </c>
      <c r="AF2441" s="332"/>
      <c r="AG2441" s="332">
        <v>2870</v>
      </c>
      <c r="AH2441" s="332"/>
      <c r="AI2441" s="332">
        <v>3030</v>
      </c>
      <c r="AJ2441" s="332"/>
      <c r="AK2441" s="332">
        <v>3210</v>
      </c>
      <c r="AL2441" s="289"/>
      <c r="AM2441" s="387">
        <v>2360</v>
      </c>
      <c r="AN2441" s="310">
        <f t="shared" si="409"/>
        <v>0</v>
      </c>
      <c r="AO2441" s="387">
        <f t="shared" si="410"/>
        <v>0</v>
      </c>
      <c r="AP2441" s="30" t="e">
        <f t="shared" si="411"/>
        <v>#DIV/0!</v>
      </c>
      <c r="AQ2441" s="387">
        <v>2690</v>
      </c>
      <c r="AR2441" s="30">
        <f t="shared" si="412"/>
        <v>0</v>
      </c>
      <c r="AS2441" s="387">
        <f t="shared" si="413"/>
        <v>0</v>
      </c>
      <c r="AT2441" s="30" t="e">
        <f t="shared" si="414"/>
        <v>#DIV/0!</v>
      </c>
      <c r="AU2441" s="387">
        <v>2870</v>
      </c>
      <c r="AV2441" s="1">
        <f t="shared" si="415"/>
        <v>0</v>
      </c>
      <c r="AW2441" s="1">
        <f t="shared" si="416"/>
        <v>0</v>
      </c>
    </row>
    <row r="2442" spans="1:49">
      <c r="C2442" s="245"/>
      <c r="D2442" s="26"/>
      <c r="E2442" s="57"/>
      <c r="F2442" s="26"/>
      <c r="G2442" s="57"/>
      <c r="H2442" s="5"/>
      <c r="K2442" s="20"/>
      <c r="L2442" s="48"/>
      <c r="M2442" s="106"/>
      <c r="N2442" s="48"/>
      <c r="O2442" s="48"/>
      <c r="P2442" s="48"/>
      <c r="Q2442" s="106"/>
      <c r="R2442" s="48"/>
      <c r="S2442" s="48"/>
      <c r="U2442" s="20"/>
      <c r="W2442" s="20"/>
    </row>
    <row r="2443" spans="1:49">
      <c r="B2443" s="212" t="str">
        <f>IF($C$1="ENG","For additonal charge:","Послуги за додаткову плату:")</f>
        <v>Послуги за додаткову плату:</v>
      </c>
      <c r="C2443" s="421"/>
      <c r="D2443" s="213"/>
      <c r="E2443" s="214"/>
      <c r="F2443" s="39"/>
      <c r="G2443" s="39"/>
      <c r="H2443" s="10"/>
      <c r="I2443" s="84"/>
      <c r="J2443" s="8"/>
      <c r="K2443" s="8"/>
      <c r="L2443" s="105"/>
      <c r="N2443" s="105"/>
      <c r="P2443" s="105"/>
      <c r="R2443" s="105"/>
      <c r="U2443" s="20"/>
      <c r="W2443" s="20"/>
    </row>
    <row r="2444" spans="1:49" ht="5.0999999999999996" customHeight="1">
      <c r="B2444" s="27"/>
      <c r="C2444" s="245"/>
      <c r="D2444" s="26"/>
      <c r="E2444" s="57"/>
      <c r="F2444" s="26"/>
      <c r="G2444" s="26"/>
      <c r="H2444" s="10"/>
      <c r="I2444" s="8"/>
      <c r="J2444" s="8"/>
      <c r="K2444" s="8"/>
      <c r="U2444" s="20"/>
      <c r="W2444" s="20"/>
    </row>
    <row r="2445" spans="1:49">
      <c r="B2445" s="486" t="str">
        <f>IF($C$1="ENG","hidden 3D door hindge Cemom","прихована 3D завіса Cemom хром/чорн.")</f>
        <v>прихована 3D завіса Cemom хром/чорн.</v>
      </c>
      <c r="C2445" s="487"/>
      <c r="D2445" s="51">
        <f>IF(AC2445="","",(1-$W$2)*(AC2445/1.2))</f>
        <v>741.66666666666674</v>
      </c>
      <c r="E2445" s="85">
        <v>1500</v>
      </c>
      <c r="F2445" s="26"/>
      <c r="G2445" s="26"/>
      <c r="H2445" s="10"/>
      <c r="I2445" s="84"/>
      <c r="J2445" s="8"/>
      <c r="K2445" s="84"/>
      <c r="U2445" s="20"/>
      <c r="W2445" s="20"/>
      <c r="AC2445" s="298">
        <v>890</v>
      </c>
      <c r="AD2445" s="387"/>
      <c r="AE2445" s="30"/>
      <c r="AF2445" s="289"/>
      <c r="AG2445" s="289"/>
      <c r="AH2445" s="289"/>
      <c r="AI2445" s="289"/>
      <c r="AJ2445" s="289"/>
      <c r="AK2445" s="289"/>
      <c r="AL2445" s="289"/>
    </row>
    <row r="2446" spans="1:49" ht="14.25" customHeight="1">
      <c r="T2446" s="488" t="str">
        <f>IF($C$1="ENG",CONCATENATE("down to: ",B2531),CONCATENATE("вниз до: ",B2531))</f>
        <v>вниз до: Плінтуси</v>
      </c>
      <c r="U2446" s="488"/>
      <c r="V2446" s="488"/>
      <c r="W2446" s="488"/>
    </row>
    <row r="2447" spans="1:49" ht="14.25" customHeight="1">
      <c r="C2447" s="245"/>
      <c r="D2447" s="26"/>
      <c r="E2447" s="26"/>
      <c r="F2447" s="26"/>
      <c r="G2447" s="57"/>
      <c r="H2447" s="5"/>
      <c r="K2447" s="84"/>
    </row>
    <row r="2448" spans="1:49" ht="14.25" customHeight="1">
      <c r="C2448" s="245"/>
      <c r="D2448" s="26"/>
      <c r="E2448" s="26"/>
      <c r="F2448" s="26"/>
      <c r="G2448" s="26"/>
      <c r="H2448" s="5"/>
    </row>
    <row r="2449" spans="3:8" ht="14.25" customHeight="1">
      <c r="C2449" s="245"/>
      <c r="D2449" s="26"/>
      <c r="E2449" s="26"/>
      <c r="F2449" s="26"/>
      <c r="G2449" s="26"/>
      <c r="H2449" s="5"/>
    </row>
    <row r="2450" spans="3:8" ht="14.25" customHeight="1">
      <c r="C2450" s="245"/>
      <c r="D2450" s="26"/>
      <c r="E2450" s="26"/>
      <c r="F2450" s="26"/>
      <c r="G2450" s="26"/>
      <c r="H2450" s="5"/>
    </row>
    <row r="2451" spans="3:8" ht="14.25" customHeight="1">
      <c r="C2451" s="245"/>
      <c r="D2451" s="26"/>
      <c r="E2451" s="26"/>
      <c r="F2451" s="26"/>
      <c r="G2451" s="26"/>
      <c r="H2451" s="5"/>
    </row>
    <row r="2452" spans="3:8" ht="14.25" customHeight="1">
      <c r="C2452" s="245"/>
      <c r="D2452" s="26"/>
      <c r="E2452" s="26"/>
      <c r="F2452" s="26"/>
      <c r="G2452" s="26"/>
      <c r="H2452" s="5"/>
    </row>
    <row r="2453" spans="3:8" ht="14.25" customHeight="1">
      <c r="C2453" s="245"/>
      <c r="D2453" s="26"/>
      <c r="E2453" s="26"/>
      <c r="F2453" s="26"/>
      <c r="G2453" s="26"/>
      <c r="H2453" s="5"/>
    </row>
    <row r="2454" spans="3:8" ht="14.25" customHeight="1">
      <c r="C2454" s="245"/>
      <c r="D2454" s="26"/>
      <c r="E2454" s="26"/>
      <c r="F2454" s="26"/>
      <c r="G2454" s="26"/>
      <c r="H2454" s="5"/>
    </row>
    <row r="2455" spans="3:8" ht="14.25" customHeight="1">
      <c r="C2455" s="245"/>
      <c r="D2455" s="26"/>
      <c r="E2455" s="26"/>
      <c r="F2455" s="26"/>
      <c r="G2455" s="26"/>
      <c r="H2455" s="5"/>
    </row>
    <row r="2456" spans="3:8" ht="14.25" customHeight="1">
      <c r="C2456" s="245"/>
      <c r="D2456" s="26"/>
      <c r="E2456" s="26"/>
      <c r="F2456" s="26"/>
      <c r="G2456" s="26"/>
      <c r="H2456" s="5"/>
    </row>
    <row r="2457" spans="3:8" ht="14.25" customHeight="1">
      <c r="C2457" s="245"/>
      <c r="D2457" s="26"/>
      <c r="E2457" s="26"/>
      <c r="F2457" s="26"/>
      <c r="G2457" s="26"/>
      <c r="H2457" s="5"/>
    </row>
    <row r="2458" spans="3:8" ht="14.25" customHeight="1">
      <c r="C2458" s="245"/>
      <c r="D2458" s="26"/>
      <c r="E2458" s="26"/>
      <c r="F2458" s="26"/>
      <c r="G2458" s="26"/>
      <c r="H2458" s="5"/>
    </row>
    <row r="2459" spans="3:8" ht="14.25" customHeight="1">
      <c r="C2459" s="245"/>
      <c r="D2459" s="26"/>
      <c r="E2459" s="26"/>
      <c r="F2459" s="26"/>
      <c r="G2459" s="26"/>
      <c r="H2459" s="5"/>
    </row>
    <row r="2460" spans="3:8" ht="14.25" customHeight="1">
      <c r="C2460" s="245"/>
      <c r="D2460" s="26"/>
      <c r="E2460" s="26"/>
      <c r="F2460" s="26"/>
      <c r="G2460" s="26"/>
      <c r="H2460" s="5"/>
    </row>
    <row r="2461" spans="3:8" ht="14.25" customHeight="1">
      <c r="C2461" s="245"/>
      <c r="D2461" s="26"/>
      <c r="E2461" s="26"/>
      <c r="F2461" s="26"/>
      <c r="G2461" s="26"/>
      <c r="H2461" s="5"/>
    </row>
    <row r="2462" spans="3:8" ht="14.25" customHeight="1">
      <c r="C2462" s="245"/>
      <c r="D2462" s="26"/>
      <c r="E2462" s="26"/>
      <c r="F2462" s="26"/>
      <c r="G2462" s="26"/>
      <c r="H2462" s="5"/>
    </row>
    <row r="2463" spans="3:8" ht="14.25" customHeight="1">
      <c r="C2463" s="245"/>
      <c r="D2463" s="26"/>
      <c r="E2463" s="26"/>
      <c r="F2463" s="26"/>
      <c r="G2463" s="26"/>
      <c r="H2463" s="5"/>
    </row>
    <row r="2464" spans="3:8" ht="14.25" customHeight="1">
      <c r="C2464" s="245"/>
      <c r="D2464" s="26"/>
      <c r="E2464" s="26"/>
      <c r="F2464" s="26"/>
      <c r="G2464" s="26"/>
      <c r="H2464" s="5"/>
    </row>
    <row r="2465" spans="3:8" ht="14.25" customHeight="1">
      <c r="C2465" s="245"/>
      <c r="D2465" s="26"/>
      <c r="E2465" s="26"/>
      <c r="F2465" s="26"/>
      <c r="G2465" s="26"/>
      <c r="H2465" s="5"/>
    </row>
    <row r="2466" spans="3:8" ht="14.25" customHeight="1">
      <c r="C2466" s="245"/>
      <c r="D2466" s="26"/>
      <c r="E2466" s="26"/>
      <c r="F2466" s="26"/>
      <c r="G2466" s="26"/>
      <c r="H2466" s="5"/>
    </row>
    <row r="2467" spans="3:8" ht="14.25" customHeight="1">
      <c r="C2467" s="245"/>
      <c r="D2467" s="26"/>
      <c r="E2467" s="26"/>
      <c r="F2467" s="26"/>
      <c r="G2467" s="26"/>
      <c r="H2467" s="5"/>
    </row>
    <row r="2468" spans="3:8" ht="14.25" customHeight="1">
      <c r="C2468" s="245"/>
      <c r="D2468" s="26"/>
      <c r="E2468" s="26"/>
      <c r="F2468" s="26"/>
      <c r="G2468" s="26"/>
      <c r="H2468" s="5"/>
    </row>
    <row r="2469" spans="3:8" ht="14.25" customHeight="1">
      <c r="C2469" s="245"/>
      <c r="D2469" s="26"/>
      <c r="E2469" s="26"/>
      <c r="F2469" s="26"/>
      <c r="G2469" s="26"/>
      <c r="H2469" s="5"/>
    </row>
    <row r="2470" spans="3:8" ht="14.25" customHeight="1">
      <c r="C2470" s="245"/>
      <c r="D2470" s="26"/>
      <c r="E2470" s="26"/>
      <c r="F2470" s="26"/>
      <c r="G2470" s="26"/>
      <c r="H2470" s="5"/>
    </row>
    <row r="2471" spans="3:8" ht="14.25" customHeight="1">
      <c r="C2471" s="245"/>
      <c r="D2471" s="26"/>
      <c r="E2471" s="26"/>
      <c r="F2471" s="26"/>
      <c r="G2471" s="26"/>
      <c r="H2471" s="5"/>
    </row>
    <row r="2472" spans="3:8" ht="14.25" customHeight="1">
      <c r="C2472" s="245"/>
      <c r="D2472" s="26"/>
      <c r="E2472" s="26"/>
      <c r="F2472" s="26"/>
      <c r="G2472" s="26"/>
      <c r="H2472" s="5"/>
    </row>
    <row r="2473" spans="3:8" ht="14.25" customHeight="1">
      <c r="C2473" s="245"/>
      <c r="D2473" s="26"/>
      <c r="E2473" s="26"/>
      <c r="F2473" s="26"/>
      <c r="G2473" s="26"/>
      <c r="H2473" s="5"/>
    </row>
    <row r="2474" spans="3:8" ht="14.25" customHeight="1">
      <c r="C2474" s="245"/>
      <c r="D2474" s="26"/>
      <c r="E2474" s="26"/>
      <c r="F2474" s="26"/>
      <c r="G2474" s="26"/>
      <c r="H2474" s="5"/>
    </row>
    <row r="2475" spans="3:8" ht="14.25" customHeight="1">
      <c r="C2475" s="245"/>
      <c r="D2475" s="26"/>
      <c r="E2475" s="26"/>
      <c r="F2475" s="26"/>
      <c r="G2475" s="26"/>
      <c r="H2475" s="5"/>
    </row>
    <row r="2476" spans="3:8" ht="14.25" customHeight="1">
      <c r="C2476" s="245"/>
      <c r="D2476" s="26"/>
      <c r="E2476" s="26"/>
      <c r="F2476" s="26"/>
      <c r="G2476" s="26"/>
      <c r="H2476" s="5"/>
    </row>
    <row r="2477" spans="3:8" ht="14.25" customHeight="1">
      <c r="C2477" s="245"/>
      <c r="D2477" s="26"/>
      <c r="E2477" s="26"/>
      <c r="F2477" s="26"/>
      <c r="G2477" s="26"/>
      <c r="H2477" s="5"/>
    </row>
    <row r="2478" spans="3:8" ht="14.25" customHeight="1">
      <c r="C2478" s="245"/>
      <c r="D2478" s="26"/>
      <c r="E2478" s="26"/>
      <c r="F2478" s="26"/>
      <c r="G2478" s="26"/>
      <c r="H2478" s="5"/>
    </row>
    <row r="2479" spans="3:8" ht="14.25" customHeight="1">
      <c r="C2479" s="245"/>
      <c r="D2479" s="26"/>
      <c r="E2479" s="26"/>
      <c r="F2479" s="26"/>
      <c r="G2479" s="26"/>
      <c r="H2479" s="5"/>
    </row>
    <row r="2480" spans="3:8" ht="14.25" customHeight="1">
      <c r="C2480" s="245"/>
      <c r="D2480" s="26"/>
      <c r="E2480" s="26"/>
      <c r="F2480" s="26"/>
      <c r="G2480" s="26"/>
      <c r="H2480" s="5"/>
    </row>
    <row r="2481" spans="3:8" ht="14.25" customHeight="1">
      <c r="C2481" s="245"/>
      <c r="D2481" s="26"/>
      <c r="E2481" s="26"/>
      <c r="F2481" s="26"/>
      <c r="G2481" s="26"/>
      <c r="H2481" s="5"/>
    </row>
    <row r="2482" spans="3:8" ht="14.25" customHeight="1">
      <c r="C2482" s="245"/>
      <c r="D2482" s="26"/>
      <c r="E2482" s="26"/>
      <c r="F2482" s="26"/>
      <c r="G2482" s="26"/>
      <c r="H2482" s="5"/>
    </row>
    <row r="2483" spans="3:8" ht="14.25" customHeight="1">
      <c r="C2483" s="245"/>
      <c r="D2483" s="26"/>
      <c r="E2483" s="26"/>
      <c r="F2483" s="26"/>
      <c r="G2483" s="26"/>
      <c r="H2483" s="5"/>
    </row>
    <row r="2484" spans="3:8" ht="14.25" customHeight="1">
      <c r="C2484" s="245"/>
      <c r="D2484" s="26"/>
      <c r="E2484" s="26"/>
      <c r="F2484" s="26"/>
      <c r="G2484" s="26"/>
      <c r="H2484" s="5"/>
    </row>
    <row r="2485" spans="3:8" ht="14.25" customHeight="1">
      <c r="C2485" s="245"/>
      <c r="D2485" s="26"/>
      <c r="E2485" s="26"/>
      <c r="F2485" s="26"/>
      <c r="G2485" s="26"/>
      <c r="H2485" s="5"/>
    </row>
    <row r="2486" spans="3:8" ht="14.25" customHeight="1">
      <c r="C2486" s="245"/>
      <c r="D2486" s="26"/>
      <c r="E2486" s="26"/>
      <c r="F2486" s="26"/>
      <c r="G2486" s="26"/>
      <c r="H2486" s="5"/>
    </row>
    <row r="2487" spans="3:8" ht="14.25" customHeight="1">
      <c r="C2487" s="245"/>
      <c r="D2487" s="26"/>
      <c r="E2487" s="26"/>
      <c r="F2487" s="26"/>
      <c r="G2487" s="26"/>
      <c r="H2487" s="5"/>
    </row>
    <row r="2488" spans="3:8" ht="14.25" customHeight="1">
      <c r="C2488" s="245"/>
      <c r="D2488" s="26"/>
      <c r="E2488" s="26"/>
      <c r="F2488" s="26"/>
      <c r="G2488" s="26"/>
      <c r="H2488" s="5"/>
    </row>
    <row r="2489" spans="3:8" ht="14.25" customHeight="1">
      <c r="C2489" s="245"/>
      <c r="D2489" s="26"/>
      <c r="E2489" s="26"/>
      <c r="F2489" s="26"/>
      <c r="G2489" s="26"/>
      <c r="H2489" s="5"/>
    </row>
    <row r="2490" spans="3:8" ht="14.25" customHeight="1">
      <c r="C2490" s="245"/>
      <c r="D2490" s="26"/>
      <c r="E2490" s="26"/>
      <c r="F2490" s="26"/>
      <c r="G2490" s="26"/>
      <c r="H2490" s="5"/>
    </row>
    <row r="2491" spans="3:8" ht="14.25" customHeight="1">
      <c r="C2491" s="245"/>
      <c r="D2491" s="26"/>
      <c r="E2491" s="26"/>
      <c r="F2491" s="26"/>
      <c r="G2491" s="26"/>
      <c r="H2491" s="5"/>
    </row>
    <row r="2492" spans="3:8" ht="14.25" customHeight="1">
      <c r="C2492" s="245"/>
      <c r="D2492" s="26"/>
      <c r="E2492" s="26"/>
      <c r="F2492" s="26"/>
      <c r="G2492" s="26"/>
      <c r="H2492" s="5"/>
    </row>
    <row r="2493" spans="3:8" ht="14.25" customHeight="1">
      <c r="C2493" s="245"/>
      <c r="D2493" s="26"/>
      <c r="E2493" s="26"/>
      <c r="F2493" s="26"/>
      <c r="G2493" s="26"/>
      <c r="H2493" s="5"/>
    </row>
    <row r="2494" spans="3:8" ht="14.25" customHeight="1">
      <c r="C2494" s="245"/>
      <c r="D2494" s="26"/>
      <c r="E2494" s="26"/>
      <c r="F2494" s="26"/>
      <c r="G2494" s="26"/>
      <c r="H2494" s="5"/>
    </row>
    <row r="2495" spans="3:8" ht="14.25" customHeight="1">
      <c r="C2495" s="245"/>
      <c r="D2495" s="26"/>
      <c r="E2495" s="26"/>
      <c r="F2495" s="26"/>
      <c r="G2495" s="26"/>
      <c r="H2495" s="5"/>
    </row>
    <row r="2496" spans="3:8" ht="14.25" customHeight="1">
      <c r="C2496" s="245"/>
      <c r="D2496" s="26"/>
      <c r="E2496" s="26"/>
      <c r="F2496" s="26"/>
      <c r="G2496" s="26"/>
      <c r="H2496" s="5"/>
    </row>
    <row r="2497" spans="3:8" ht="14.25" customHeight="1">
      <c r="C2497" s="245"/>
      <c r="D2497" s="26"/>
      <c r="E2497" s="26"/>
      <c r="F2497" s="26"/>
      <c r="G2497" s="26"/>
      <c r="H2497" s="5"/>
    </row>
    <row r="2498" spans="3:8" ht="14.25" customHeight="1">
      <c r="C2498" s="245"/>
      <c r="D2498" s="26"/>
      <c r="E2498" s="26"/>
      <c r="F2498" s="26"/>
      <c r="G2498" s="26"/>
      <c r="H2498" s="5"/>
    </row>
    <row r="2499" spans="3:8" ht="14.25" customHeight="1">
      <c r="C2499" s="245"/>
      <c r="D2499" s="26"/>
      <c r="E2499" s="26"/>
      <c r="F2499" s="26"/>
      <c r="G2499" s="26"/>
      <c r="H2499" s="5"/>
    </row>
    <row r="2500" spans="3:8" ht="14.25" customHeight="1">
      <c r="C2500" s="245"/>
      <c r="D2500" s="26"/>
      <c r="E2500" s="26"/>
      <c r="F2500" s="26"/>
      <c r="G2500" s="26"/>
      <c r="H2500" s="5"/>
    </row>
    <row r="2501" spans="3:8" ht="14.25" customHeight="1">
      <c r="C2501" s="245"/>
      <c r="D2501" s="26"/>
      <c r="E2501" s="26"/>
      <c r="F2501" s="26"/>
      <c r="G2501" s="26"/>
      <c r="H2501" s="5"/>
    </row>
    <row r="2502" spans="3:8" ht="14.25" customHeight="1">
      <c r="C2502" s="245"/>
      <c r="D2502" s="26"/>
      <c r="E2502" s="26"/>
      <c r="F2502" s="26"/>
      <c r="G2502" s="26"/>
      <c r="H2502" s="5"/>
    </row>
    <row r="2503" spans="3:8" ht="14.25" customHeight="1">
      <c r="C2503" s="245"/>
      <c r="D2503" s="26"/>
      <c r="E2503" s="26"/>
      <c r="F2503" s="26"/>
      <c r="G2503" s="26"/>
      <c r="H2503" s="5"/>
    </row>
    <row r="2504" spans="3:8" ht="14.25" customHeight="1">
      <c r="C2504" s="245"/>
      <c r="D2504" s="26"/>
      <c r="E2504" s="26"/>
      <c r="F2504" s="26"/>
      <c r="G2504" s="26"/>
      <c r="H2504" s="5"/>
    </row>
    <row r="2505" spans="3:8" ht="14.25" customHeight="1">
      <c r="C2505" s="245"/>
      <c r="D2505" s="26"/>
      <c r="E2505" s="26"/>
      <c r="F2505" s="26"/>
      <c r="G2505" s="26"/>
      <c r="H2505" s="5"/>
    </row>
    <row r="2506" spans="3:8" ht="14.25" customHeight="1">
      <c r="C2506" s="245"/>
      <c r="D2506" s="26"/>
      <c r="E2506" s="26"/>
      <c r="F2506" s="26"/>
      <c r="G2506" s="26"/>
      <c r="H2506" s="5"/>
    </row>
    <row r="2507" spans="3:8" ht="14.25" customHeight="1">
      <c r="C2507" s="245"/>
      <c r="D2507" s="26"/>
      <c r="E2507" s="26"/>
      <c r="F2507" s="26"/>
      <c r="G2507" s="26"/>
      <c r="H2507" s="5"/>
    </row>
    <row r="2508" spans="3:8" ht="14.25" customHeight="1">
      <c r="C2508" s="245"/>
      <c r="D2508" s="26"/>
      <c r="E2508" s="26"/>
      <c r="F2508" s="26"/>
      <c r="G2508" s="26"/>
      <c r="H2508" s="5"/>
    </row>
    <row r="2509" spans="3:8" ht="14.25" customHeight="1">
      <c r="C2509" s="245"/>
      <c r="D2509" s="26"/>
      <c r="E2509" s="26"/>
      <c r="F2509" s="26"/>
      <c r="G2509" s="26"/>
      <c r="H2509" s="5"/>
    </row>
    <row r="2510" spans="3:8" ht="14.25" customHeight="1">
      <c r="C2510" s="245"/>
      <c r="D2510" s="26"/>
      <c r="E2510" s="26"/>
      <c r="F2510" s="26"/>
      <c r="G2510" s="26"/>
      <c r="H2510" s="5"/>
    </row>
    <row r="2511" spans="3:8" ht="14.25" customHeight="1">
      <c r="C2511" s="245"/>
      <c r="D2511" s="26"/>
      <c r="E2511" s="26"/>
      <c r="F2511" s="26"/>
      <c r="G2511" s="26"/>
      <c r="H2511" s="5"/>
    </row>
    <row r="2512" spans="3:8" ht="14.25" customHeight="1">
      <c r="C2512" s="245"/>
      <c r="D2512" s="26"/>
      <c r="E2512" s="26"/>
      <c r="F2512" s="26"/>
      <c r="G2512" s="26"/>
      <c r="H2512" s="5"/>
    </row>
    <row r="2513" spans="3:8" ht="14.25" customHeight="1">
      <c r="C2513" s="245"/>
      <c r="D2513" s="26"/>
      <c r="E2513" s="26"/>
      <c r="F2513" s="26"/>
      <c r="G2513" s="26"/>
      <c r="H2513" s="5"/>
    </row>
    <row r="2514" spans="3:8" ht="14.25" customHeight="1">
      <c r="C2514" s="245"/>
      <c r="D2514" s="26"/>
      <c r="E2514" s="26"/>
      <c r="F2514" s="26"/>
      <c r="G2514" s="26"/>
      <c r="H2514" s="5"/>
    </row>
    <row r="2515" spans="3:8" ht="14.25" customHeight="1">
      <c r="C2515" s="245"/>
      <c r="D2515" s="26"/>
      <c r="E2515" s="26"/>
      <c r="F2515" s="26"/>
      <c r="G2515" s="26"/>
      <c r="H2515" s="5"/>
    </row>
    <row r="2516" spans="3:8" ht="14.25" customHeight="1">
      <c r="C2516" s="245"/>
      <c r="D2516" s="26"/>
      <c r="E2516" s="26"/>
      <c r="F2516" s="26"/>
      <c r="G2516" s="26"/>
      <c r="H2516" s="5"/>
    </row>
    <row r="2517" spans="3:8" ht="14.25" customHeight="1">
      <c r="C2517" s="245"/>
      <c r="D2517" s="26"/>
      <c r="E2517" s="26"/>
      <c r="F2517" s="26"/>
      <c r="G2517" s="26"/>
      <c r="H2517" s="5"/>
    </row>
    <row r="2518" spans="3:8" ht="14.25" customHeight="1">
      <c r="C2518" s="245"/>
      <c r="D2518" s="26"/>
      <c r="E2518" s="26"/>
      <c r="F2518" s="26"/>
      <c r="G2518" s="26"/>
      <c r="H2518" s="5"/>
    </row>
    <row r="2519" spans="3:8" ht="14.25" customHeight="1">
      <c r="C2519" s="245"/>
      <c r="D2519" s="26"/>
      <c r="E2519" s="26"/>
      <c r="F2519" s="26"/>
      <c r="G2519" s="26"/>
      <c r="H2519" s="5"/>
    </row>
    <row r="2520" spans="3:8" ht="14.25" customHeight="1">
      <c r="C2520" s="245"/>
      <c r="D2520" s="26"/>
      <c r="E2520" s="26"/>
      <c r="F2520" s="26"/>
      <c r="G2520" s="26"/>
      <c r="H2520" s="5"/>
    </row>
    <row r="2521" spans="3:8" ht="14.25" customHeight="1">
      <c r="C2521" s="245"/>
      <c r="D2521" s="26"/>
      <c r="E2521" s="26"/>
      <c r="F2521" s="26"/>
      <c r="G2521" s="26"/>
      <c r="H2521" s="5"/>
    </row>
    <row r="2522" spans="3:8" ht="14.25" customHeight="1">
      <c r="C2522" s="245"/>
      <c r="D2522" s="26"/>
      <c r="E2522" s="26"/>
      <c r="F2522" s="26"/>
      <c r="G2522" s="26"/>
      <c r="H2522" s="5"/>
    </row>
    <row r="2523" spans="3:8" ht="14.25" customHeight="1">
      <c r="C2523" s="245"/>
      <c r="D2523" s="26"/>
      <c r="E2523" s="26"/>
      <c r="F2523" s="26"/>
      <c r="G2523" s="26"/>
      <c r="H2523" s="5"/>
    </row>
    <row r="2524" spans="3:8" ht="14.25" customHeight="1">
      <c r="C2524" s="245"/>
      <c r="D2524" s="26"/>
      <c r="E2524" s="26"/>
      <c r="F2524" s="26"/>
      <c r="G2524" s="26"/>
      <c r="H2524" s="5"/>
    </row>
    <row r="2525" spans="3:8" ht="14.25" customHeight="1">
      <c r="C2525" s="245"/>
      <c r="D2525" s="26"/>
      <c r="E2525" s="26"/>
      <c r="F2525" s="26"/>
      <c r="G2525" s="26"/>
      <c r="H2525" s="5"/>
    </row>
    <row r="2526" spans="3:8" ht="14.25" customHeight="1">
      <c r="C2526" s="245"/>
      <c r="D2526" s="26"/>
      <c r="E2526" s="26"/>
      <c r="F2526" s="26"/>
      <c r="G2526" s="26"/>
      <c r="H2526" s="5"/>
    </row>
    <row r="2527" spans="3:8" ht="14.25" customHeight="1">
      <c r="C2527" s="245"/>
      <c r="D2527" s="26"/>
      <c r="E2527" s="26"/>
      <c r="F2527" s="26"/>
      <c r="G2527" s="26"/>
      <c r="H2527" s="5"/>
    </row>
    <row r="2528" spans="3:8" ht="14.25" customHeight="1">
      <c r="C2528" s="245"/>
      <c r="D2528" s="26"/>
      <c r="E2528" s="26"/>
      <c r="F2528" s="26"/>
      <c r="G2528" s="26"/>
      <c r="H2528" s="5"/>
    </row>
    <row r="2529" spans="2:45" ht="14.25" customHeight="1">
      <c r="C2529" s="245"/>
      <c r="D2529" s="26"/>
      <c r="E2529" s="26"/>
      <c r="F2529" s="26"/>
      <c r="G2529" s="26"/>
      <c r="H2529" s="5"/>
    </row>
    <row r="2530" spans="2:45" ht="14.25" customHeight="1">
      <c r="C2530" s="245"/>
      <c r="D2530" s="26"/>
      <c r="E2530" s="26"/>
      <c r="F2530" s="26"/>
      <c r="G2530" s="26"/>
      <c r="H2530" s="5"/>
    </row>
    <row r="2531" spans="2:45" ht="14.25" customHeight="1">
      <c r="B2531" s="493" t="str">
        <f>TITLE!C47</f>
        <v>Плінтуси</v>
      </c>
      <c r="C2531" s="494"/>
      <c r="D2531" s="118"/>
      <c r="E2531" s="118"/>
      <c r="F2531" s="118"/>
      <c r="G2531" s="118"/>
      <c r="H2531" s="496"/>
      <c r="I2531" s="496"/>
      <c r="J2531" s="121"/>
      <c r="K2531" s="121"/>
      <c r="L2531" s="121"/>
      <c r="M2531" s="121"/>
      <c r="N2531" s="121"/>
      <c r="O2531" s="121"/>
      <c r="P2531" s="121"/>
      <c r="Q2531" s="121"/>
      <c r="R2531" s="121"/>
      <c r="S2531" s="121"/>
      <c r="T2531" s="497" t="str">
        <f>IF($C$1="ENG",CONCATENATE("up to: ",B2381),CONCATENATE("вгору до: ",B2381))</f>
        <v>вгору до: Дверна коробка Verto-FIT Comfort</v>
      </c>
      <c r="U2531" s="497"/>
      <c r="V2531" s="497"/>
      <c r="W2531" s="497"/>
    </row>
    <row r="2532" spans="2:45" ht="14.25" customHeight="1">
      <c r="B2532" s="8"/>
      <c r="C2532" s="424"/>
      <c r="D2532" s="8"/>
      <c r="E2532" s="8"/>
      <c r="F2532" s="8"/>
      <c r="G2532" s="8"/>
      <c r="H2532" s="8"/>
      <c r="I2532" s="8"/>
      <c r="J2532" s="8"/>
      <c r="K2532" s="8"/>
      <c r="L2532" s="48"/>
      <c r="M2532" s="48"/>
      <c r="N2532" s="48"/>
      <c r="O2532" s="48"/>
      <c r="P2532" s="48"/>
      <c r="Q2532" s="48"/>
      <c r="R2532" s="48"/>
      <c r="S2532" s="48"/>
      <c r="T2532" s="115"/>
      <c r="U2532" s="115"/>
      <c r="V2532" s="115"/>
      <c r="W2532" s="115"/>
    </row>
    <row r="2533" spans="2:45" ht="27" customHeight="1">
      <c r="B2533" s="305" t="str">
        <f>IF($C$1="ENG","model","модель")</f>
        <v>модель</v>
      </c>
      <c r="C2533" s="122" t="str">
        <f>IF($C$1="ENG","cover:","покриття:")</f>
        <v>покриття:</v>
      </c>
      <c r="D2533" s="498" t="str">
        <f>IF($C$1="ENG","SIMPL / V-CELL ","SIMPL / V-CELL")</f>
        <v>SIMPL / V-CELL</v>
      </c>
      <c r="E2533" s="500"/>
      <c r="F2533" s="498" t="str">
        <f>IF($C$1="ENG","UNI-MAT","UNI-MAT")</f>
        <v>UNI-MAT</v>
      </c>
      <c r="G2533" s="500"/>
      <c r="H2533" s="498" t="str">
        <f>IF($C$1="ENG","RESIST","RESIST")</f>
        <v>RESIST</v>
      </c>
      <c r="I2533" s="500"/>
      <c r="J2533" s="498" t="str">
        <f>IF($C$1="ENG","Verto LINE-3D","Verto LINE-3D")</f>
        <v>Verto LINE-3D</v>
      </c>
      <c r="K2533" s="500"/>
      <c r="L2533" s="498" t="str">
        <f>IF($C$1="ENG","ECO Shpon / LOFT","ЕКО Шпон / LOFT")</f>
        <v>ЕКО Шпон / LOFT</v>
      </c>
      <c r="M2533" s="500"/>
      <c r="N2533" s="47"/>
      <c r="O2533" s="47"/>
      <c r="P2533" s="47"/>
      <c r="Q2533" s="47"/>
      <c r="R2533" s="47"/>
      <c r="S2533" s="47"/>
      <c r="AM2533" s="385">
        <v>0.15</v>
      </c>
    </row>
    <row r="2534" spans="2:45" ht="14.25" customHeight="1">
      <c r="B2534" s="306"/>
      <c r="C2534" s="124" t="str">
        <f>IF($C$1="ENG","type:","виконання:")</f>
        <v>виконання:</v>
      </c>
      <c r="D2534" s="489" t="str">
        <f>IF($C$1="ENG","for 1 pcs","за 1 шт.")</f>
        <v>за 1 шт.</v>
      </c>
      <c r="E2534" s="492"/>
      <c r="F2534" s="489" t="str">
        <f>IF($C$1="ENG","for 1 pcs","за 1 шт.")</f>
        <v>за 1 шт.</v>
      </c>
      <c r="G2534" s="492"/>
      <c r="H2534" s="489" t="str">
        <f>IF($C$1="ENG","for 1 pcs","за 1 шт.")</f>
        <v>за 1 шт.</v>
      </c>
      <c r="I2534" s="492"/>
      <c r="J2534" s="489" t="str">
        <f>IF($C$1="ENG","for 1 pcs","за 1 шт.")</f>
        <v>за 1 шт.</v>
      </c>
      <c r="K2534" s="492"/>
      <c r="L2534" s="489" t="str">
        <f>IF($C$1="ENG","for 1 pcs","за 1 шт.")</f>
        <v>за 1 шт.</v>
      </c>
      <c r="M2534" s="492"/>
      <c r="N2534" s="47"/>
      <c r="O2534" s="47"/>
      <c r="P2534" s="47"/>
      <c r="Q2534" s="47"/>
      <c r="R2534" s="47"/>
      <c r="S2534" s="47"/>
    </row>
    <row r="2535" spans="2:45" ht="34.5" customHeight="1">
      <c r="B2535" s="336" t="str">
        <f>IF($C$1="ENG","Plinth 60 mm","Плінтус 60 мм")</f>
        <v>Плінтус 60 мм</v>
      </c>
      <c r="C2535" s="534"/>
      <c r="D2535" s="15">
        <f>IF(AC2535="","",(1-$W$2)*(AC2535/1.2))</f>
        <v>266.66666666666669</v>
      </c>
      <c r="E2535" s="92">
        <f>IF($W$5=0.2,D2535*1.2,D2535)/$W$4</f>
        <v>320</v>
      </c>
      <c r="F2535" s="132">
        <f>IF(AD2535="","",(1-$W$2)*(AD2535/1.2))</f>
        <v>291.66666666666669</v>
      </c>
      <c r="G2535" s="92">
        <f>IF($W$5=0.2,F2535*1.2,F2535)/$W$4</f>
        <v>350</v>
      </c>
      <c r="H2535" s="132">
        <f>IF(AE2535="","",(1-$W$2)*(AE2535/1.2))</f>
        <v>341.66666666666669</v>
      </c>
      <c r="I2535" s="92">
        <f>IF($W$5=0.2,H2535*1.2,H2535)/$W$4</f>
        <v>410</v>
      </c>
      <c r="J2535" s="132">
        <f>IF(AF2535="","",(1-$W$2)*(AF2535/1.2))</f>
        <v>358.33333333333337</v>
      </c>
      <c r="K2535" s="92">
        <f>IF($W$5=0.2,J2535*1.2,J2535)/$W$4</f>
        <v>430.00000000000006</v>
      </c>
      <c r="L2535" s="132">
        <f>IF(AG2535="","",(1-$W$2)*(AG2535/1.2))</f>
        <v>375</v>
      </c>
      <c r="M2535" s="92">
        <f>IF($W$5=0.2,L2535*1.2,L2535)/$W$4</f>
        <v>450</v>
      </c>
      <c r="N2535" s="105"/>
      <c r="O2535" s="106"/>
      <c r="P2535" s="28"/>
      <c r="Q2535" s="106"/>
      <c r="R2535" s="105"/>
      <c r="S2535" s="106"/>
      <c r="T2535" s="105"/>
      <c r="U2535" s="106"/>
      <c r="V2535" s="105"/>
      <c r="W2535" s="106"/>
      <c r="AC2535" s="332">
        <v>320</v>
      </c>
      <c r="AD2535" s="332">
        <v>350</v>
      </c>
      <c r="AE2535" s="332">
        <v>410</v>
      </c>
      <c r="AF2535" s="332">
        <v>430</v>
      </c>
      <c r="AG2535" s="332">
        <v>450</v>
      </c>
      <c r="AH2535" s="289">
        <v>320</v>
      </c>
      <c r="AI2535" s="289">
        <f>AH2535/AC2535-1</f>
        <v>0</v>
      </c>
      <c r="AJ2535" s="289">
        <v>350</v>
      </c>
      <c r="AK2535" s="289">
        <f>AJ2535/AD2535-1</f>
        <v>0</v>
      </c>
      <c r="AL2535" s="289">
        <v>410</v>
      </c>
      <c r="AM2535" s="1">
        <f>AL2535/AE2535-1</f>
        <v>0</v>
      </c>
      <c r="AN2535" s="289">
        <v>430</v>
      </c>
      <c r="AO2535" s="1">
        <f>AN2535/AF2535-1</f>
        <v>0</v>
      </c>
      <c r="AP2535" s="289">
        <v>450</v>
      </c>
      <c r="AQ2535" s="1">
        <f>AP2535/AG2535-1</f>
        <v>0</v>
      </c>
      <c r="AR2535" s="333"/>
      <c r="AS2535" s="333"/>
    </row>
    <row r="2536" spans="2:45" ht="34.5" customHeight="1">
      <c r="B2536" s="337" t="str">
        <f>IF($C$1="ENG","Plinth 80 mm","Плінтус 80 мм")</f>
        <v>Плінтус 80 мм</v>
      </c>
      <c r="C2536" s="535"/>
      <c r="D2536" s="25">
        <f>IF(AC2536="","",(1-$W$2)*(AC2536/1.2))</f>
        <v>300</v>
      </c>
      <c r="E2536" s="94">
        <f>IF($W$5=0.2,D2536*1.2,D2536)/$W$4</f>
        <v>360</v>
      </c>
      <c r="F2536" s="134">
        <f>IF(AD2536="","",(1-$W$2)*(AD2536/1.2))</f>
        <v>358.33333333333337</v>
      </c>
      <c r="G2536" s="94">
        <f>IF($W$5=0.2,F2536*1.2,F2536)/$W$4</f>
        <v>430.00000000000006</v>
      </c>
      <c r="H2536" s="134">
        <f>IF(AE2536="","",(1-$W$2)*(AE2536/1.2))</f>
        <v>375</v>
      </c>
      <c r="I2536" s="94">
        <f>IF($W$5=0.2,H2536*1.2,H2536)/$W$4</f>
        <v>450</v>
      </c>
      <c r="J2536" s="134">
        <f>IF(AF2536="","",(1-$W$2)*(AF2536/1.2))</f>
        <v>425</v>
      </c>
      <c r="K2536" s="94">
        <f>IF($W$5=0.2,J2536*1.2,J2536)/$W$4</f>
        <v>510</v>
      </c>
      <c r="L2536" s="134">
        <f>IF(AG2536="","",(1-$W$2)*(AG2536/1.2))</f>
        <v>475</v>
      </c>
      <c r="M2536" s="94">
        <f>IF($W$5=0.2,L2536*1.2,L2536)/$W$4</f>
        <v>570</v>
      </c>
      <c r="AC2536" s="332">
        <v>360</v>
      </c>
      <c r="AD2536" s="332">
        <v>430</v>
      </c>
      <c r="AE2536" s="332">
        <v>450</v>
      </c>
      <c r="AF2536" s="332">
        <v>510</v>
      </c>
      <c r="AG2536" s="332">
        <v>570</v>
      </c>
      <c r="AH2536" s="289">
        <v>360</v>
      </c>
      <c r="AI2536" s="289">
        <f>AH2536/AC2536-1</f>
        <v>0</v>
      </c>
      <c r="AJ2536" s="289">
        <v>430</v>
      </c>
      <c r="AK2536" s="289">
        <f>AJ2536/AD2536-1</f>
        <v>0</v>
      </c>
      <c r="AL2536" s="289">
        <v>450</v>
      </c>
      <c r="AM2536" s="1">
        <f>AL2536/AE2536-1</f>
        <v>0</v>
      </c>
      <c r="AN2536" s="289">
        <v>510</v>
      </c>
      <c r="AO2536" s="1">
        <f>AN2536/AF2536-1</f>
        <v>0</v>
      </c>
      <c r="AP2536" s="289">
        <v>570</v>
      </c>
      <c r="AQ2536" s="1">
        <f>AP2536/AG2536-1</f>
        <v>0</v>
      </c>
      <c r="AR2536" s="333"/>
      <c r="AS2536" s="333"/>
    </row>
    <row r="2537" spans="2:45" ht="14.25" customHeight="1">
      <c r="C2537" s="245"/>
      <c r="D2537" s="26"/>
      <c r="E2537" s="26"/>
      <c r="F2537" s="26"/>
      <c r="G2537" s="26"/>
      <c r="H2537" s="5"/>
    </row>
    <row r="2538" spans="2:45">
      <c r="B2538" s="212" t="str">
        <f>IF($C$1="ENG","Orders for skirting plinths are accepted in quantities of 8 pcs.","Замовлення на Плінтус приймаються в кількості від 8 шт.")</f>
        <v>Замовлення на Плінтус приймаються в кількості від 8 шт.</v>
      </c>
      <c r="C2538" s="421"/>
      <c r="D2538" s="213"/>
      <c r="E2538" s="214"/>
      <c r="F2538" s="320"/>
      <c r="G2538" s="320"/>
      <c r="H2538" s="10"/>
      <c r="I2538" s="84"/>
      <c r="J2538" s="8"/>
      <c r="K2538" s="8"/>
      <c r="L2538" s="105"/>
      <c r="N2538" s="105"/>
      <c r="P2538" s="105"/>
      <c r="R2538" s="105"/>
      <c r="U2538" s="20"/>
      <c r="W2538" s="20"/>
    </row>
    <row r="2539" spans="2:45" ht="14.25" customHeight="1">
      <c r="B2539" s="1" t="s">
        <v>68</v>
      </c>
      <c r="C2539" s="245"/>
      <c r="D2539" s="26"/>
      <c r="E2539" s="26"/>
      <c r="F2539" s="26"/>
      <c r="G2539" s="26"/>
      <c r="H2539" s="5"/>
      <c r="T2539" s="488" t="str">
        <f>IF($C$1="ENG",CONCATENATE("down to: ",B2589),CONCATENATE("вниз до: ",B2589))</f>
        <v>вниз до: Фрамуги</v>
      </c>
      <c r="U2539" s="488"/>
      <c r="V2539" s="488"/>
      <c r="W2539" s="488"/>
      <c r="X2539" s="316"/>
      <c r="Y2539" s="316"/>
      <c r="Z2539" s="316"/>
      <c r="AA2539" s="316"/>
      <c r="AB2539" s="316"/>
    </row>
    <row r="2540" spans="2:45" ht="14.25" customHeight="1">
      <c r="C2540" s="245"/>
      <c r="D2540" s="26"/>
      <c r="E2540" s="26"/>
      <c r="F2540" s="26"/>
      <c r="G2540" s="26"/>
      <c r="H2540" s="5"/>
      <c r="U2540" s="317"/>
      <c r="V2540" s="317"/>
      <c r="W2540" s="317"/>
      <c r="X2540" s="317"/>
      <c r="Y2540" s="317"/>
      <c r="Z2540" s="317"/>
      <c r="AA2540" s="317"/>
      <c r="AB2540" s="317"/>
    </row>
    <row r="2541" spans="2:45" ht="14.25" customHeight="1">
      <c r="C2541" s="245"/>
      <c r="D2541" s="26"/>
      <c r="E2541" s="26"/>
      <c r="F2541" s="26"/>
      <c r="G2541" s="26"/>
      <c r="H2541" s="5"/>
    </row>
    <row r="2542" spans="2:45" ht="14.25" customHeight="1">
      <c r="C2542" s="245"/>
      <c r="D2542" s="26"/>
      <c r="E2542" s="26"/>
      <c r="F2542" s="26"/>
      <c r="G2542" s="26"/>
      <c r="H2542" s="5"/>
    </row>
    <row r="2543" spans="2:45" ht="14.25" customHeight="1">
      <c r="C2543" s="245"/>
      <c r="D2543" s="26"/>
      <c r="E2543" s="26"/>
      <c r="F2543" s="26"/>
      <c r="G2543" s="26"/>
      <c r="H2543" s="5"/>
    </row>
    <row r="2544" spans="2:45" ht="14.25" customHeight="1">
      <c r="C2544" s="245"/>
      <c r="D2544" s="26"/>
      <c r="E2544" s="26"/>
      <c r="F2544" s="26"/>
      <c r="G2544" s="26"/>
      <c r="H2544" s="5"/>
    </row>
    <row r="2545" spans="3:49" ht="14.25" customHeight="1">
      <c r="C2545" s="245"/>
      <c r="D2545" s="26"/>
      <c r="E2545" s="26"/>
      <c r="F2545" s="26"/>
      <c r="G2545" s="26"/>
      <c r="H2545" s="5"/>
    </row>
    <row r="2546" spans="3:49" ht="14.25" customHeight="1">
      <c r="C2546" s="245"/>
      <c r="D2546" s="26"/>
      <c r="E2546" s="26"/>
      <c r="F2546" s="26"/>
      <c r="G2546" s="26"/>
      <c r="H2546" s="5"/>
    </row>
    <row r="2547" spans="3:49" ht="14.25" customHeight="1">
      <c r="C2547" s="245"/>
      <c r="D2547" s="26"/>
      <c r="E2547" s="26"/>
      <c r="F2547" s="26"/>
      <c r="G2547" s="26"/>
      <c r="H2547" s="5"/>
    </row>
    <row r="2548" spans="3:49" ht="14.25" customHeight="1">
      <c r="C2548" s="245"/>
      <c r="D2548" s="26"/>
      <c r="E2548" s="26"/>
      <c r="F2548" s="26"/>
      <c r="G2548" s="26"/>
      <c r="H2548" s="5"/>
      <c r="AG2548" s="1">
        <f>W2548/100*13+W2548</f>
        <v>0</v>
      </c>
      <c r="AH2548" s="1" t="e">
        <f>AG2548/W2548-1</f>
        <v>#DIV/0!</v>
      </c>
      <c r="AI2548" s="1">
        <f>X2548/100*13+X2548</f>
        <v>0</v>
      </c>
      <c r="AJ2548" s="1" t="e">
        <f>AI2548/X2548-1</f>
        <v>#DIV/0!</v>
      </c>
      <c r="AK2548" s="1">
        <f>Y2548/100*13+Y2548</f>
        <v>0</v>
      </c>
      <c r="AL2548" s="1" t="e">
        <f>AK2548/Y2548-1</f>
        <v>#DIV/0!</v>
      </c>
      <c r="AM2548" s="1">
        <f>Z2548/100*13+Z2548</f>
        <v>0</v>
      </c>
      <c r="AN2548" s="30" t="e">
        <f>AM2548/Z2548-1</f>
        <v>#DIV/0!</v>
      </c>
      <c r="AO2548" s="30">
        <f>AA2548/100*13+AA2548</f>
        <v>0</v>
      </c>
      <c r="AP2548" s="30" t="e">
        <f>AO2548/AA2548-1</f>
        <v>#DIV/0!</v>
      </c>
      <c r="AQ2548" s="30">
        <f>AB2548/100*13+AB2548</f>
        <v>0</v>
      </c>
      <c r="AR2548" s="30" t="e">
        <f>AQ2548/AB2548-1</f>
        <v>#DIV/0!</v>
      </c>
      <c r="AS2548" s="30">
        <f>AC2548/100*13+AC2548</f>
        <v>0</v>
      </c>
      <c r="AT2548" s="30" t="e">
        <f>AS2548/AC2548-1</f>
        <v>#DIV/0!</v>
      </c>
      <c r="AU2548" s="1">
        <f>AD2548/100*13+AD2548</f>
        <v>0</v>
      </c>
      <c r="AV2548" s="1" t="e">
        <f>AU2548/AD2548-1</f>
        <v>#DIV/0!</v>
      </c>
      <c r="AW2548" s="1">
        <f>AE2548/100*13+AE2548</f>
        <v>0</v>
      </c>
    </row>
    <row r="2549" spans="3:49" ht="14.25" customHeight="1">
      <c r="C2549" s="245"/>
      <c r="D2549" s="26"/>
      <c r="E2549" s="26"/>
      <c r="F2549" s="26"/>
      <c r="G2549" s="26"/>
      <c r="H2549" s="5"/>
      <c r="AG2549" s="1">
        <f t="shared" ref="AG2549:AG2557" si="417">W2549/100*13+W2549</f>
        <v>0</v>
      </c>
      <c r="AH2549" s="1" t="e">
        <f t="shared" ref="AH2549:AH2557" si="418">AG2549/W2549-1</f>
        <v>#DIV/0!</v>
      </c>
      <c r="AI2549" s="1">
        <f t="shared" ref="AI2549:AI2557" si="419">X2549/100*13+X2549</f>
        <v>0</v>
      </c>
      <c r="AJ2549" s="1" t="e">
        <f t="shared" ref="AJ2549:AJ2557" si="420">AI2549/X2549-1</f>
        <v>#DIV/0!</v>
      </c>
      <c r="AK2549" s="1">
        <f t="shared" ref="AK2549:AK2557" si="421">Y2549/100*13+Y2549</f>
        <v>0</v>
      </c>
      <c r="AL2549" s="1" t="e">
        <f t="shared" ref="AL2549:AL2557" si="422">AK2549/Y2549-1</f>
        <v>#DIV/0!</v>
      </c>
      <c r="AM2549" s="1">
        <f t="shared" ref="AM2549:AM2557" si="423">Z2549/100*13+Z2549</f>
        <v>0</v>
      </c>
      <c r="AN2549" s="30" t="e">
        <f t="shared" ref="AN2549:AN2557" si="424">AM2549/Z2549-1</f>
        <v>#DIV/0!</v>
      </c>
      <c r="AO2549" s="30">
        <f t="shared" ref="AO2549:AO2557" si="425">AA2549/100*13+AA2549</f>
        <v>0</v>
      </c>
      <c r="AP2549" s="30" t="e">
        <f t="shared" ref="AP2549:AP2557" si="426">AO2549/AA2549-1</f>
        <v>#DIV/0!</v>
      </c>
      <c r="AQ2549" s="30">
        <f t="shared" ref="AQ2549:AQ2557" si="427">AB2549/100*13+AB2549</f>
        <v>0</v>
      </c>
      <c r="AR2549" s="30" t="e">
        <f t="shared" ref="AR2549:AR2557" si="428">AQ2549/AB2549-1</f>
        <v>#DIV/0!</v>
      </c>
      <c r="AS2549" s="30">
        <f t="shared" ref="AS2549:AS2557" si="429">AC2549/100*13+AC2549</f>
        <v>0</v>
      </c>
      <c r="AT2549" s="30" t="e">
        <f t="shared" ref="AT2549:AT2557" si="430">AS2549/AC2549-1</f>
        <v>#DIV/0!</v>
      </c>
      <c r="AU2549" s="1">
        <f t="shared" ref="AU2549:AU2557" si="431">AD2549/100*13+AD2549</f>
        <v>0</v>
      </c>
      <c r="AV2549" s="1" t="e">
        <f t="shared" ref="AV2549:AV2557" si="432">AU2549/AD2549-1</f>
        <v>#DIV/0!</v>
      </c>
      <c r="AW2549" s="1">
        <f t="shared" ref="AW2549:AW2557" si="433">AE2549/100*13+AE2549</f>
        <v>0</v>
      </c>
    </row>
    <row r="2550" spans="3:49" ht="14.25" customHeight="1">
      <c r="C2550" s="245"/>
      <c r="D2550" s="26"/>
      <c r="E2550" s="26"/>
      <c r="F2550" s="26"/>
      <c r="G2550" s="26"/>
      <c r="H2550" s="5"/>
      <c r="AG2550" s="1">
        <f t="shared" si="417"/>
        <v>0</v>
      </c>
      <c r="AH2550" s="1" t="e">
        <f t="shared" si="418"/>
        <v>#DIV/0!</v>
      </c>
      <c r="AI2550" s="1">
        <f t="shared" si="419"/>
        <v>0</v>
      </c>
      <c r="AJ2550" s="1" t="e">
        <f t="shared" si="420"/>
        <v>#DIV/0!</v>
      </c>
      <c r="AK2550" s="1">
        <f t="shared" si="421"/>
        <v>0</v>
      </c>
      <c r="AL2550" s="1" t="e">
        <f t="shared" si="422"/>
        <v>#DIV/0!</v>
      </c>
      <c r="AM2550" s="1">
        <f t="shared" si="423"/>
        <v>0</v>
      </c>
      <c r="AN2550" s="30" t="e">
        <f t="shared" si="424"/>
        <v>#DIV/0!</v>
      </c>
      <c r="AO2550" s="30">
        <f t="shared" si="425"/>
        <v>0</v>
      </c>
      <c r="AP2550" s="30" t="e">
        <f t="shared" si="426"/>
        <v>#DIV/0!</v>
      </c>
      <c r="AQ2550" s="30">
        <f t="shared" si="427"/>
        <v>0</v>
      </c>
      <c r="AR2550" s="30" t="e">
        <f t="shared" si="428"/>
        <v>#DIV/0!</v>
      </c>
      <c r="AS2550" s="30">
        <f t="shared" si="429"/>
        <v>0</v>
      </c>
      <c r="AT2550" s="30" t="e">
        <f t="shared" si="430"/>
        <v>#DIV/0!</v>
      </c>
      <c r="AU2550" s="1">
        <f t="shared" si="431"/>
        <v>0</v>
      </c>
      <c r="AV2550" s="1" t="e">
        <f t="shared" si="432"/>
        <v>#DIV/0!</v>
      </c>
      <c r="AW2550" s="1">
        <f t="shared" si="433"/>
        <v>0</v>
      </c>
    </row>
    <row r="2551" spans="3:49" ht="14.25" customHeight="1">
      <c r="C2551" s="245"/>
      <c r="D2551" s="26"/>
      <c r="E2551" s="26"/>
      <c r="F2551" s="26"/>
      <c r="G2551" s="26"/>
      <c r="H2551" s="5"/>
      <c r="AG2551" s="1">
        <f t="shared" si="417"/>
        <v>0</v>
      </c>
      <c r="AH2551" s="1" t="e">
        <f t="shared" si="418"/>
        <v>#DIV/0!</v>
      </c>
      <c r="AI2551" s="1">
        <f t="shared" si="419"/>
        <v>0</v>
      </c>
      <c r="AJ2551" s="1" t="e">
        <f t="shared" si="420"/>
        <v>#DIV/0!</v>
      </c>
      <c r="AK2551" s="1">
        <f t="shared" si="421"/>
        <v>0</v>
      </c>
      <c r="AL2551" s="1" t="e">
        <f t="shared" si="422"/>
        <v>#DIV/0!</v>
      </c>
      <c r="AM2551" s="1">
        <f t="shared" si="423"/>
        <v>0</v>
      </c>
      <c r="AN2551" s="30" t="e">
        <f t="shared" si="424"/>
        <v>#DIV/0!</v>
      </c>
      <c r="AO2551" s="30">
        <f t="shared" si="425"/>
        <v>0</v>
      </c>
      <c r="AP2551" s="30" t="e">
        <f t="shared" si="426"/>
        <v>#DIV/0!</v>
      </c>
      <c r="AQ2551" s="30">
        <f t="shared" si="427"/>
        <v>0</v>
      </c>
      <c r="AR2551" s="30" t="e">
        <f t="shared" si="428"/>
        <v>#DIV/0!</v>
      </c>
      <c r="AS2551" s="30">
        <f t="shared" si="429"/>
        <v>0</v>
      </c>
      <c r="AT2551" s="30" t="e">
        <f t="shared" si="430"/>
        <v>#DIV/0!</v>
      </c>
      <c r="AU2551" s="1">
        <f t="shared" si="431"/>
        <v>0</v>
      </c>
      <c r="AV2551" s="1" t="e">
        <f t="shared" si="432"/>
        <v>#DIV/0!</v>
      </c>
      <c r="AW2551" s="1">
        <f t="shared" si="433"/>
        <v>0</v>
      </c>
    </row>
    <row r="2552" spans="3:49" ht="14.25" customHeight="1">
      <c r="C2552" s="245"/>
      <c r="D2552" s="26"/>
      <c r="E2552" s="26"/>
      <c r="F2552" s="26"/>
      <c r="G2552" s="26"/>
      <c r="H2552" s="5"/>
      <c r="AG2552" s="1">
        <f t="shared" si="417"/>
        <v>0</v>
      </c>
      <c r="AH2552" s="1" t="e">
        <f t="shared" si="418"/>
        <v>#DIV/0!</v>
      </c>
      <c r="AI2552" s="1">
        <f t="shared" si="419"/>
        <v>0</v>
      </c>
      <c r="AJ2552" s="1" t="e">
        <f t="shared" si="420"/>
        <v>#DIV/0!</v>
      </c>
      <c r="AK2552" s="1">
        <f t="shared" si="421"/>
        <v>0</v>
      </c>
      <c r="AL2552" s="1" t="e">
        <f t="shared" si="422"/>
        <v>#DIV/0!</v>
      </c>
      <c r="AM2552" s="1">
        <f t="shared" si="423"/>
        <v>0</v>
      </c>
      <c r="AN2552" s="30" t="e">
        <f t="shared" si="424"/>
        <v>#DIV/0!</v>
      </c>
      <c r="AO2552" s="30">
        <f t="shared" si="425"/>
        <v>0</v>
      </c>
      <c r="AP2552" s="30" t="e">
        <f t="shared" si="426"/>
        <v>#DIV/0!</v>
      </c>
      <c r="AQ2552" s="30">
        <f t="shared" si="427"/>
        <v>0</v>
      </c>
      <c r="AR2552" s="30" t="e">
        <f t="shared" si="428"/>
        <v>#DIV/0!</v>
      </c>
      <c r="AS2552" s="30">
        <f t="shared" si="429"/>
        <v>0</v>
      </c>
      <c r="AT2552" s="30" t="e">
        <f t="shared" si="430"/>
        <v>#DIV/0!</v>
      </c>
      <c r="AU2552" s="1">
        <f t="shared" si="431"/>
        <v>0</v>
      </c>
      <c r="AV2552" s="1" t="e">
        <f t="shared" si="432"/>
        <v>#DIV/0!</v>
      </c>
      <c r="AW2552" s="1">
        <f t="shared" si="433"/>
        <v>0</v>
      </c>
    </row>
    <row r="2553" spans="3:49" ht="14.25" customHeight="1">
      <c r="C2553" s="245"/>
      <c r="D2553" s="26"/>
      <c r="E2553" s="26"/>
      <c r="F2553" s="26"/>
      <c r="G2553" s="26"/>
      <c r="H2553" s="5"/>
      <c r="AG2553" s="1">
        <f t="shared" si="417"/>
        <v>0</v>
      </c>
      <c r="AH2553" s="1" t="e">
        <f t="shared" si="418"/>
        <v>#DIV/0!</v>
      </c>
      <c r="AI2553" s="1">
        <f t="shared" si="419"/>
        <v>0</v>
      </c>
      <c r="AJ2553" s="1" t="e">
        <f t="shared" si="420"/>
        <v>#DIV/0!</v>
      </c>
      <c r="AK2553" s="1">
        <f t="shared" si="421"/>
        <v>0</v>
      </c>
      <c r="AL2553" s="1" t="e">
        <f t="shared" si="422"/>
        <v>#DIV/0!</v>
      </c>
      <c r="AM2553" s="1">
        <f t="shared" si="423"/>
        <v>0</v>
      </c>
      <c r="AN2553" s="30" t="e">
        <f t="shared" si="424"/>
        <v>#DIV/0!</v>
      </c>
      <c r="AO2553" s="30">
        <f t="shared" si="425"/>
        <v>0</v>
      </c>
      <c r="AP2553" s="30" t="e">
        <f t="shared" si="426"/>
        <v>#DIV/0!</v>
      </c>
      <c r="AQ2553" s="30">
        <f t="shared" si="427"/>
        <v>0</v>
      </c>
      <c r="AR2553" s="30" t="e">
        <f t="shared" si="428"/>
        <v>#DIV/0!</v>
      </c>
      <c r="AS2553" s="30">
        <f t="shared" si="429"/>
        <v>0</v>
      </c>
      <c r="AT2553" s="30" t="e">
        <f t="shared" si="430"/>
        <v>#DIV/0!</v>
      </c>
      <c r="AU2553" s="1">
        <f t="shared" si="431"/>
        <v>0</v>
      </c>
      <c r="AV2553" s="1" t="e">
        <f t="shared" si="432"/>
        <v>#DIV/0!</v>
      </c>
      <c r="AW2553" s="1">
        <f t="shared" si="433"/>
        <v>0</v>
      </c>
    </row>
    <row r="2554" spans="3:49" ht="14.25" customHeight="1">
      <c r="C2554" s="245"/>
      <c r="D2554" s="26"/>
      <c r="E2554" s="26"/>
      <c r="F2554" s="26"/>
      <c r="G2554" s="26"/>
      <c r="H2554" s="5"/>
      <c r="AG2554" s="1">
        <f t="shared" si="417"/>
        <v>0</v>
      </c>
      <c r="AH2554" s="1" t="e">
        <f t="shared" si="418"/>
        <v>#DIV/0!</v>
      </c>
      <c r="AI2554" s="1">
        <f t="shared" si="419"/>
        <v>0</v>
      </c>
      <c r="AJ2554" s="1" t="e">
        <f t="shared" si="420"/>
        <v>#DIV/0!</v>
      </c>
      <c r="AK2554" s="1">
        <f t="shared" si="421"/>
        <v>0</v>
      </c>
      <c r="AL2554" s="1" t="e">
        <f t="shared" si="422"/>
        <v>#DIV/0!</v>
      </c>
      <c r="AM2554" s="1">
        <f t="shared" si="423"/>
        <v>0</v>
      </c>
      <c r="AN2554" s="30" t="e">
        <f t="shared" si="424"/>
        <v>#DIV/0!</v>
      </c>
      <c r="AO2554" s="30">
        <f t="shared" si="425"/>
        <v>0</v>
      </c>
      <c r="AP2554" s="30" t="e">
        <f t="shared" si="426"/>
        <v>#DIV/0!</v>
      </c>
      <c r="AQ2554" s="30">
        <f t="shared" si="427"/>
        <v>0</v>
      </c>
      <c r="AR2554" s="30" t="e">
        <f t="shared" si="428"/>
        <v>#DIV/0!</v>
      </c>
      <c r="AS2554" s="30">
        <f t="shared" si="429"/>
        <v>0</v>
      </c>
      <c r="AT2554" s="30" t="e">
        <f t="shared" si="430"/>
        <v>#DIV/0!</v>
      </c>
      <c r="AU2554" s="1">
        <f t="shared" si="431"/>
        <v>0</v>
      </c>
      <c r="AV2554" s="1" t="e">
        <f t="shared" si="432"/>
        <v>#DIV/0!</v>
      </c>
      <c r="AW2554" s="1">
        <f t="shared" si="433"/>
        <v>0</v>
      </c>
    </row>
    <row r="2555" spans="3:49" ht="14.25" customHeight="1">
      <c r="C2555" s="245"/>
      <c r="D2555" s="26"/>
      <c r="E2555" s="26"/>
      <c r="F2555" s="26"/>
      <c r="G2555" s="26"/>
      <c r="H2555" s="5"/>
      <c r="AG2555" s="1">
        <f t="shared" si="417"/>
        <v>0</v>
      </c>
      <c r="AH2555" s="1" t="e">
        <f t="shared" si="418"/>
        <v>#DIV/0!</v>
      </c>
      <c r="AI2555" s="1">
        <f t="shared" si="419"/>
        <v>0</v>
      </c>
      <c r="AJ2555" s="1" t="e">
        <f t="shared" si="420"/>
        <v>#DIV/0!</v>
      </c>
      <c r="AK2555" s="1">
        <f t="shared" si="421"/>
        <v>0</v>
      </c>
      <c r="AL2555" s="1" t="e">
        <f t="shared" si="422"/>
        <v>#DIV/0!</v>
      </c>
      <c r="AM2555" s="1">
        <f t="shared" si="423"/>
        <v>0</v>
      </c>
      <c r="AN2555" s="30" t="e">
        <f t="shared" si="424"/>
        <v>#DIV/0!</v>
      </c>
      <c r="AO2555" s="30">
        <f t="shared" si="425"/>
        <v>0</v>
      </c>
      <c r="AP2555" s="30" t="e">
        <f t="shared" si="426"/>
        <v>#DIV/0!</v>
      </c>
      <c r="AQ2555" s="30">
        <f t="shared" si="427"/>
        <v>0</v>
      </c>
      <c r="AR2555" s="30" t="e">
        <f t="shared" si="428"/>
        <v>#DIV/0!</v>
      </c>
      <c r="AS2555" s="30">
        <f t="shared" si="429"/>
        <v>0</v>
      </c>
      <c r="AT2555" s="30" t="e">
        <f t="shared" si="430"/>
        <v>#DIV/0!</v>
      </c>
      <c r="AU2555" s="1">
        <f t="shared" si="431"/>
        <v>0</v>
      </c>
      <c r="AV2555" s="1" t="e">
        <f t="shared" si="432"/>
        <v>#DIV/0!</v>
      </c>
      <c r="AW2555" s="1">
        <f t="shared" si="433"/>
        <v>0</v>
      </c>
    </row>
    <row r="2556" spans="3:49" ht="14.25" customHeight="1">
      <c r="C2556" s="245"/>
      <c r="D2556" s="26"/>
      <c r="E2556" s="26"/>
      <c r="F2556" s="26"/>
      <c r="G2556" s="26"/>
      <c r="H2556" s="5"/>
      <c r="AG2556" s="1">
        <f t="shared" si="417"/>
        <v>0</v>
      </c>
      <c r="AH2556" s="1" t="e">
        <f t="shared" si="418"/>
        <v>#DIV/0!</v>
      </c>
      <c r="AI2556" s="1">
        <f t="shared" si="419"/>
        <v>0</v>
      </c>
      <c r="AJ2556" s="1" t="e">
        <f t="shared" si="420"/>
        <v>#DIV/0!</v>
      </c>
      <c r="AK2556" s="1">
        <f t="shared" si="421"/>
        <v>0</v>
      </c>
      <c r="AL2556" s="1" t="e">
        <f t="shared" si="422"/>
        <v>#DIV/0!</v>
      </c>
      <c r="AM2556" s="1">
        <f t="shared" si="423"/>
        <v>0</v>
      </c>
      <c r="AN2556" s="30" t="e">
        <f t="shared" si="424"/>
        <v>#DIV/0!</v>
      </c>
      <c r="AO2556" s="30">
        <f t="shared" si="425"/>
        <v>0</v>
      </c>
      <c r="AP2556" s="30" t="e">
        <f t="shared" si="426"/>
        <v>#DIV/0!</v>
      </c>
      <c r="AQ2556" s="30">
        <f t="shared" si="427"/>
        <v>0</v>
      </c>
      <c r="AR2556" s="30" t="e">
        <f t="shared" si="428"/>
        <v>#DIV/0!</v>
      </c>
      <c r="AS2556" s="30">
        <f t="shared" si="429"/>
        <v>0</v>
      </c>
      <c r="AT2556" s="30" t="e">
        <f t="shared" si="430"/>
        <v>#DIV/0!</v>
      </c>
      <c r="AU2556" s="1">
        <f t="shared" si="431"/>
        <v>0</v>
      </c>
      <c r="AV2556" s="1" t="e">
        <f t="shared" si="432"/>
        <v>#DIV/0!</v>
      </c>
      <c r="AW2556" s="1">
        <f t="shared" si="433"/>
        <v>0</v>
      </c>
    </row>
    <row r="2557" spans="3:49" ht="14.25" customHeight="1">
      <c r="C2557" s="245"/>
      <c r="D2557" s="26"/>
      <c r="E2557" s="26"/>
      <c r="F2557" s="26"/>
      <c r="G2557" s="26"/>
      <c r="H2557" s="5"/>
      <c r="AG2557" s="1">
        <f t="shared" si="417"/>
        <v>0</v>
      </c>
      <c r="AH2557" s="1" t="e">
        <f t="shared" si="418"/>
        <v>#DIV/0!</v>
      </c>
      <c r="AI2557" s="1">
        <f t="shared" si="419"/>
        <v>0</v>
      </c>
      <c r="AJ2557" s="1" t="e">
        <f t="shared" si="420"/>
        <v>#DIV/0!</v>
      </c>
      <c r="AK2557" s="1">
        <f t="shared" si="421"/>
        <v>0</v>
      </c>
      <c r="AL2557" s="1" t="e">
        <f t="shared" si="422"/>
        <v>#DIV/0!</v>
      </c>
      <c r="AM2557" s="1">
        <f t="shared" si="423"/>
        <v>0</v>
      </c>
      <c r="AN2557" s="30" t="e">
        <f t="shared" si="424"/>
        <v>#DIV/0!</v>
      </c>
      <c r="AO2557" s="30">
        <f t="shared" si="425"/>
        <v>0</v>
      </c>
      <c r="AP2557" s="30" t="e">
        <f t="shared" si="426"/>
        <v>#DIV/0!</v>
      </c>
      <c r="AQ2557" s="30">
        <f t="shared" si="427"/>
        <v>0</v>
      </c>
      <c r="AR2557" s="30" t="e">
        <f t="shared" si="428"/>
        <v>#DIV/0!</v>
      </c>
      <c r="AS2557" s="30">
        <f t="shared" si="429"/>
        <v>0</v>
      </c>
      <c r="AT2557" s="30" t="e">
        <f t="shared" si="430"/>
        <v>#DIV/0!</v>
      </c>
      <c r="AU2557" s="1">
        <f t="shared" si="431"/>
        <v>0</v>
      </c>
      <c r="AV2557" s="1" t="e">
        <f t="shared" si="432"/>
        <v>#DIV/0!</v>
      </c>
      <c r="AW2557" s="1">
        <f t="shared" si="433"/>
        <v>0</v>
      </c>
    </row>
    <row r="2558" spans="3:49" ht="14.25" customHeight="1">
      <c r="C2558" s="245"/>
      <c r="D2558" s="26"/>
      <c r="E2558" s="26"/>
      <c r="F2558" s="26"/>
      <c r="G2558" s="26"/>
      <c r="H2558" s="5"/>
    </row>
    <row r="2559" spans="3:49" ht="14.25" customHeight="1">
      <c r="C2559" s="245"/>
      <c r="D2559" s="26"/>
      <c r="E2559" s="26"/>
      <c r="F2559" s="26"/>
      <c r="G2559" s="26"/>
      <c r="H2559" s="5"/>
    </row>
    <row r="2560" spans="3:49" ht="14.25" customHeight="1">
      <c r="C2560" s="245"/>
      <c r="D2560" s="26"/>
      <c r="E2560" s="26"/>
      <c r="F2560" s="26"/>
      <c r="G2560" s="26"/>
      <c r="H2560" s="5"/>
    </row>
    <row r="2561" spans="3:8" ht="14.25" customHeight="1">
      <c r="C2561" s="245"/>
      <c r="D2561" s="26"/>
      <c r="E2561" s="26"/>
      <c r="F2561" s="26"/>
      <c r="G2561" s="26"/>
      <c r="H2561" s="5"/>
    </row>
    <row r="2562" spans="3:8" ht="14.25" customHeight="1">
      <c r="C2562" s="245"/>
      <c r="D2562" s="26"/>
      <c r="E2562" s="26"/>
      <c r="F2562" s="26"/>
      <c r="G2562" s="26"/>
      <c r="H2562" s="5"/>
    </row>
    <row r="2563" spans="3:8" ht="14.25" customHeight="1">
      <c r="C2563" s="245"/>
      <c r="D2563" s="26"/>
      <c r="E2563" s="26"/>
      <c r="F2563" s="26"/>
      <c r="G2563" s="26"/>
      <c r="H2563" s="5"/>
    </row>
    <row r="2564" spans="3:8" ht="14.25" customHeight="1">
      <c r="C2564" s="245"/>
      <c r="D2564" s="26"/>
      <c r="E2564" s="26"/>
      <c r="F2564" s="26"/>
      <c r="G2564" s="26"/>
      <c r="H2564" s="5"/>
    </row>
    <row r="2565" spans="3:8" ht="14.25" customHeight="1">
      <c r="C2565" s="245"/>
      <c r="D2565" s="26"/>
      <c r="E2565" s="26"/>
      <c r="F2565" s="26"/>
      <c r="G2565" s="26"/>
      <c r="H2565" s="5"/>
    </row>
    <row r="2566" spans="3:8" ht="14.25" customHeight="1">
      <c r="C2566" s="245"/>
      <c r="D2566" s="26"/>
      <c r="E2566" s="26"/>
      <c r="F2566" s="26"/>
      <c r="G2566" s="26"/>
      <c r="H2566" s="5"/>
    </row>
    <row r="2567" spans="3:8" ht="14.25" customHeight="1">
      <c r="C2567" s="245"/>
      <c r="D2567" s="26"/>
      <c r="E2567" s="26"/>
      <c r="F2567" s="26"/>
      <c r="G2567" s="26"/>
      <c r="H2567" s="5"/>
    </row>
    <row r="2568" spans="3:8" ht="14.25" customHeight="1">
      <c r="C2568" s="245"/>
      <c r="D2568" s="26"/>
      <c r="E2568" s="26"/>
      <c r="F2568" s="26"/>
      <c r="G2568" s="26"/>
      <c r="H2568" s="5"/>
    </row>
    <row r="2569" spans="3:8" ht="14.25" customHeight="1">
      <c r="C2569" s="245"/>
      <c r="D2569" s="26"/>
      <c r="E2569" s="26"/>
      <c r="F2569" s="26"/>
      <c r="G2569" s="26"/>
      <c r="H2569" s="5"/>
    </row>
    <row r="2570" spans="3:8" ht="14.25" customHeight="1">
      <c r="C2570" s="245"/>
      <c r="D2570" s="26"/>
      <c r="E2570" s="26"/>
      <c r="F2570" s="26"/>
      <c r="G2570" s="26"/>
      <c r="H2570" s="5"/>
    </row>
    <row r="2571" spans="3:8" ht="14.25" customHeight="1">
      <c r="C2571" s="245"/>
      <c r="D2571" s="26"/>
      <c r="E2571" s="26"/>
      <c r="F2571" s="26"/>
      <c r="G2571" s="26"/>
      <c r="H2571" s="5"/>
    </row>
    <row r="2572" spans="3:8" ht="14.25" customHeight="1">
      <c r="C2572" s="245"/>
      <c r="D2572" s="26"/>
      <c r="E2572" s="26"/>
      <c r="F2572" s="26"/>
      <c r="G2572" s="26"/>
      <c r="H2572" s="5"/>
    </row>
    <row r="2573" spans="3:8" ht="14.25" customHeight="1">
      <c r="C2573" s="245"/>
      <c r="D2573" s="26"/>
      <c r="E2573" s="26"/>
      <c r="F2573" s="26"/>
      <c r="G2573" s="26"/>
      <c r="H2573" s="5"/>
    </row>
    <row r="2574" spans="3:8" ht="14.25" customHeight="1">
      <c r="C2574" s="245"/>
      <c r="D2574" s="26"/>
      <c r="E2574" s="26"/>
      <c r="F2574" s="26"/>
      <c r="G2574" s="26"/>
      <c r="H2574" s="5"/>
    </row>
    <row r="2575" spans="3:8" ht="14.25" customHeight="1">
      <c r="C2575" s="245"/>
      <c r="D2575" s="26"/>
      <c r="E2575" s="26"/>
      <c r="F2575" s="26"/>
      <c r="G2575" s="26"/>
      <c r="H2575" s="5"/>
    </row>
    <row r="2576" spans="3:8" ht="14.25" customHeight="1">
      <c r="C2576" s="245"/>
      <c r="D2576" s="26"/>
      <c r="E2576" s="26"/>
      <c r="F2576" s="26"/>
      <c r="G2576" s="26"/>
      <c r="H2576" s="5"/>
    </row>
    <row r="2577" spans="1:46" ht="14.25" customHeight="1">
      <c r="C2577" s="245"/>
      <c r="D2577" s="26"/>
      <c r="E2577" s="26"/>
      <c r="F2577" s="26"/>
      <c r="G2577" s="26"/>
      <c r="H2577" s="5"/>
    </row>
    <row r="2578" spans="1:46" ht="14.25" customHeight="1">
      <c r="C2578" s="245"/>
      <c r="D2578" s="26"/>
      <c r="E2578" s="26"/>
      <c r="F2578" s="26"/>
      <c r="G2578" s="26"/>
      <c r="H2578" s="5"/>
    </row>
    <row r="2579" spans="1:46" ht="14.25" customHeight="1">
      <c r="C2579" s="245"/>
      <c r="D2579" s="26"/>
      <c r="E2579" s="26"/>
      <c r="F2579" s="26"/>
      <c r="G2579" s="26"/>
      <c r="H2579" s="5"/>
    </row>
    <row r="2580" spans="1:46" ht="14.25" customHeight="1">
      <c r="C2580" s="245"/>
      <c r="D2580" s="26"/>
      <c r="E2580" s="26"/>
      <c r="F2580" s="26"/>
      <c r="G2580" s="26"/>
      <c r="H2580" s="5"/>
    </row>
    <row r="2581" spans="1:46" ht="14.25" customHeight="1">
      <c r="C2581" s="245"/>
      <c r="D2581" s="26"/>
      <c r="E2581" s="26"/>
      <c r="F2581" s="26"/>
      <c r="G2581" s="26"/>
      <c r="H2581" s="5"/>
    </row>
    <row r="2582" spans="1:46" ht="14.25" customHeight="1">
      <c r="C2582" s="245"/>
      <c r="D2582" s="26"/>
      <c r="E2582" s="26"/>
      <c r="F2582" s="26"/>
      <c r="G2582" s="26"/>
      <c r="H2582" s="5"/>
    </row>
    <row r="2583" spans="1:46" ht="14.25" customHeight="1">
      <c r="C2583" s="245"/>
      <c r="D2583" s="26"/>
      <c r="E2583" s="26"/>
      <c r="F2583" s="26"/>
      <c r="G2583" s="26"/>
      <c r="H2583" s="5"/>
    </row>
    <row r="2584" spans="1:46" ht="14.25" customHeight="1">
      <c r="C2584" s="245"/>
      <c r="D2584" s="26"/>
      <c r="E2584" s="26"/>
      <c r="F2584" s="26"/>
      <c r="G2584" s="26"/>
      <c r="H2584" s="5"/>
    </row>
    <row r="2585" spans="1:46" ht="14.25" customHeight="1">
      <c r="C2585" s="245"/>
      <c r="D2585" s="26"/>
      <c r="E2585" s="26"/>
      <c r="F2585" s="26"/>
      <c r="G2585" s="26"/>
      <c r="H2585" s="5"/>
      <c r="AO2585" s="1">
        <v>850</v>
      </c>
    </row>
    <row r="2586" spans="1:46" ht="14.25" customHeight="1">
      <c r="C2586" s="245"/>
      <c r="D2586" s="26"/>
      <c r="E2586" s="26"/>
      <c r="F2586" s="26"/>
      <c r="G2586" s="26"/>
      <c r="H2586" s="5"/>
      <c r="T2586" s="294"/>
      <c r="U2586" s="294"/>
      <c r="V2586" s="294"/>
      <c r="W2586" s="294"/>
    </row>
    <row r="2587" spans="1:46" ht="14.25" customHeight="1">
      <c r="C2587" s="245"/>
      <c r="D2587" s="26"/>
      <c r="E2587" s="26"/>
      <c r="F2587" s="26"/>
      <c r="G2587" s="26"/>
      <c r="H2587" s="5"/>
      <c r="I2587" s="26"/>
      <c r="T2587" s="294"/>
      <c r="U2587" s="294"/>
      <c r="V2587" s="294"/>
      <c r="W2587" s="294"/>
    </row>
    <row r="2588" spans="1:46" ht="14.25" customHeight="1">
      <c r="C2588" s="245"/>
      <c r="D2588" s="26"/>
      <c r="E2588" s="26"/>
      <c r="F2588" s="26"/>
      <c r="G2588" s="26"/>
      <c r="H2588" s="5"/>
      <c r="T2588" s="294"/>
      <c r="U2588" s="294"/>
      <c r="V2588" s="294"/>
      <c r="W2588" s="294"/>
    </row>
    <row r="2589" spans="1:46" s="8" customFormat="1">
      <c r="B2589" s="493" t="str">
        <f>TITLE!$C$48</f>
        <v>Фрамуги</v>
      </c>
      <c r="C2589" s="494"/>
      <c r="D2589" s="118"/>
      <c r="E2589" s="118"/>
      <c r="F2589" s="118"/>
      <c r="G2589" s="118"/>
      <c r="H2589" s="496"/>
      <c r="I2589" s="496"/>
      <c r="J2589" s="121"/>
      <c r="K2589" s="121"/>
      <c r="L2589" s="121"/>
      <c r="M2589" s="121"/>
      <c r="N2589" s="121"/>
      <c r="O2589" s="121"/>
      <c r="P2589" s="121"/>
      <c r="Q2589" s="121"/>
      <c r="R2589" s="121"/>
      <c r="S2589" s="121"/>
      <c r="T2589" s="497" t="str">
        <f>IF($C$1="ENG",CONCATENATE("up to: ",B2531),CONCATENATE("вгору до: ",B2531))</f>
        <v>вгору до: Плінтуси</v>
      </c>
      <c r="U2589" s="497"/>
      <c r="V2589" s="497"/>
      <c r="W2589" s="497"/>
      <c r="AC2589" s="1"/>
      <c r="AD2589" s="1"/>
      <c r="AE2589" s="1"/>
      <c r="AF2589" s="1"/>
      <c r="AG2589" s="1"/>
      <c r="AI2589" s="1"/>
      <c r="AK2589" s="1"/>
      <c r="AN2589" s="280"/>
      <c r="AO2589" s="280"/>
      <c r="AP2589" s="280"/>
      <c r="AQ2589" s="280"/>
      <c r="AR2589" s="280"/>
      <c r="AS2589" s="280"/>
      <c r="AT2589" s="280"/>
    </row>
    <row r="2590" spans="1:46" s="8" customFormat="1" ht="5.0999999999999996" customHeight="1">
      <c r="C2590" s="424"/>
      <c r="L2590" s="48"/>
      <c r="M2590" s="48"/>
      <c r="N2590" s="48"/>
      <c r="O2590" s="48"/>
      <c r="P2590" s="48"/>
      <c r="Q2590" s="48"/>
      <c r="R2590" s="48"/>
      <c r="S2590" s="48"/>
      <c r="T2590" s="115"/>
      <c r="U2590" s="115"/>
      <c r="V2590" s="115"/>
      <c r="W2590" s="115"/>
      <c r="AC2590" s="1"/>
      <c r="AE2590" s="1"/>
      <c r="AG2590" s="1"/>
      <c r="AI2590" s="1"/>
      <c r="AK2590" s="1"/>
      <c r="AN2590" s="280"/>
      <c r="AO2590" s="280"/>
      <c r="AP2590" s="280"/>
      <c r="AQ2590" s="280"/>
      <c r="AR2590" s="280"/>
      <c r="AS2590" s="280"/>
      <c r="AT2590" s="280"/>
    </row>
    <row r="2591" spans="1:46" ht="24.75" customHeight="1">
      <c r="A2591" s="8"/>
      <c r="B2591" s="305" t="str">
        <f>IF($C$1="ENG","model","модель")</f>
        <v>модель</v>
      </c>
      <c r="C2591" s="122" t="str">
        <f>IF($C$1="ENG","cover:","покриття:")</f>
        <v>покриття:</v>
      </c>
      <c r="D2591" s="498" t="str">
        <f>IF($C$1="ENG","SIMPL / V-CELL ","SIMPL / V-CELL / V-C Plus")</f>
        <v>SIMPL / V-CELL / V-C Plus</v>
      </c>
      <c r="E2591" s="500"/>
      <c r="F2591" s="498" t="str">
        <f>IF($C$1="ENG","UNI-MAT","UNI-MAT")</f>
        <v>UNI-MAT</v>
      </c>
      <c r="G2591" s="500"/>
      <c r="H2591" s="498" t="str">
        <f>IF($C$1="ENG","RESIST","RESIST")</f>
        <v>RESIST</v>
      </c>
      <c r="I2591" s="500"/>
      <c r="J2591" s="498" t="str">
        <f>IF($C$1="ENG","Verto LINE-3D","Verto LINE-3D")</f>
        <v>Verto LINE-3D</v>
      </c>
      <c r="K2591" s="500"/>
      <c r="L2591" s="498" t="str">
        <f>IF($C$1="ENG","ECO Shpon / LOFT","ЕКО Шпон / LOFT")</f>
        <v>ЕКО Шпон / LOFT</v>
      </c>
      <c r="M2591" s="500"/>
      <c r="N2591" s="47"/>
      <c r="O2591" s="47"/>
      <c r="P2591" s="47"/>
      <c r="Q2591" s="47"/>
      <c r="R2591" s="47"/>
      <c r="S2591" s="47"/>
      <c r="AC2591" s="385">
        <v>0.1</v>
      </c>
    </row>
    <row r="2592" spans="1:46" ht="12.75" customHeight="1">
      <c r="A2592" s="8"/>
      <c r="B2592" s="306"/>
      <c r="C2592" s="124" t="str">
        <f>IF($C$1="ENG","type:","виконання:")</f>
        <v>виконання:</v>
      </c>
      <c r="D2592" s="489" t="str">
        <f>IF($C$1="ENG","for 1 meter","за 1 пг.м")</f>
        <v>за 1 пг.м</v>
      </c>
      <c r="E2592" s="492"/>
      <c r="F2592" s="489" t="str">
        <f>IF($C$1="ENG","for 1 meter","за 1 пг.м")</f>
        <v>за 1 пг.м</v>
      </c>
      <c r="G2592" s="492"/>
      <c r="H2592" s="489" t="str">
        <f>IF($C$1="ENG","for 1 meter","за 1 пг.м")</f>
        <v>за 1 пг.м</v>
      </c>
      <c r="I2592" s="492"/>
      <c r="J2592" s="489" t="str">
        <f>IF($C$1="ENG","for 1 meter","за 1 пг.м")</f>
        <v>за 1 пг.м</v>
      </c>
      <c r="K2592" s="492"/>
      <c r="L2592" s="489" t="str">
        <f>IF($C$1="ENG","for 1 meter","за 1 пг.м")</f>
        <v>за 1 пг.м</v>
      </c>
      <c r="M2592" s="492"/>
      <c r="N2592" s="47"/>
      <c r="O2592" s="47"/>
      <c r="P2592" s="47"/>
      <c r="Q2592" s="47"/>
      <c r="R2592" s="47"/>
      <c r="S2592" s="47"/>
      <c r="AN2592" s="30">
        <v>0.15</v>
      </c>
    </row>
    <row r="2593" spans="1:46" s="48" customFormat="1" ht="24.75" customHeight="1">
      <c r="B2593" s="54" t="str">
        <f>IF($C$1="ENG","TRANSOM STANDART","ФРАМУГА STANDART")</f>
        <v>ФРАМУГА STANDART</v>
      </c>
      <c r="C2593" s="428"/>
      <c r="D2593" s="28"/>
      <c r="E2593" s="29"/>
      <c r="F2593" s="28"/>
      <c r="G2593" s="29"/>
      <c r="H2593" s="29"/>
      <c r="I2593" s="29"/>
      <c r="J2593" s="29"/>
      <c r="K2593" s="29"/>
      <c r="L2593" s="29"/>
      <c r="M2593" s="29"/>
      <c r="N2593" s="29"/>
      <c r="O2593" s="29"/>
      <c r="P2593" s="28"/>
      <c r="Q2593" s="29"/>
      <c r="R2593" s="29"/>
      <c r="S2593" s="29"/>
      <c r="T2593" s="52"/>
      <c r="U2593" s="30"/>
      <c r="W2593" s="30"/>
      <c r="AN2593" s="56"/>
      <c r="AO2593" s="56"/>
      <c r="AP2593" s="56"/>
      <c r="AQ2593" s="56"/>
      <c r="AR2593" s="56"/>
      <c r="AS2593" s="56"/>
      <c r="AT2593" s="56"/>
    </row>
    <row r="2594" spans="1:46" ht="34.5" customHeight="1">
      <c r="A2594" s="8"/>
      <c r="B2594" s="277" t="str">
        <f>IF($C$1="ENG","Transom wood 80 mm","Фрамуга дерево 80 мм")</f>
        <v>Фрамуга дерево 80 мм</v>
      </c>
      <c r="C2594" s="327"/>
      <c r="D2594" s="51">
        <f>IF(AC2594="","",(1-$W$2)*(AC2594/1.2))</f>
        <v>625</v>
      </c>
      <c r="E2594" s="85">
        <f>IF($W$5=0.2,D2594*1.2,D2594)/$W$4</f>
        <v>750</v>
      </c>
      <c r="F2594" s="51">
        <f>IF(AD2594="","",(1-$W$2)*(AD2594/1.2))</f>
        <v>700</v>
      </c>
      <c r="G2594" s="85">
        <f>IF($W$5=0.2,F2594*1.2,F2594)/$W$4</f>
        <v>840</v>
      </c>
      <c r="H2594" s="51">
        <f>IF(AE2594="","",(1-$W$2)*(AE2594/1.2))</f>
        <v>733.33333333333337</v>
      </c>
      <c r="I2594" s="85">
        <f>IF($W$5=0.2,H2594*1.2,H2594)/$W$4</f>
        <v>880</v>
      </c>
      <c r="J2594" s="51">
        <f>IF(AF2594="","",(1-$W$2)*(AF2594/1.2))</f>
        <v>800</v>
      </c>
      <c r="K2594" s="85">
        <f>IF($W$5=0.2,J2594*1.2,J2594)/$W$4</f>
        <v>960</v>
      </c>
      <c r="L2594" s="51">
        <f>IF(AG2594="","",(1-$W$2)*(AG2594/1.2))</f>
        <v>883.33333333333337</v>
      </c>
      <c r="M2594" s="85">
        <f>IF($W$5=0.2,L2594*1.2,L2594)/$W$4</f>
        <v>1060</v>
      </c>
      <c r="N2594" s="105"/>
      <c r="O2594" s="106"/>
      <c r="P2594" s="28"/>
      <c r="Q2594" s="106"/>
      <c r="R2594" s="105"/>
      <c r="S2594" s="106"/>
      <c r="T2594" s="105"/>
      <c r="U2594" s="106"/>
      <c r="V2594" s="105"/>
      <c r="W2594" s="106"/>
      <c r="X2594" s="22"/>
      <c r="Y2594" s="22"/>
      <c r="Z2594" s="22"/>
      <c r="AA2594" s="22"/>
      <c r="AB2594" s="22"/>
      <c r="AC2594" s="332">
        <v>750</v>
      </c>
      <c r="AD2594" s="332">
        <v>840</v>
      </c>
      <c r="AE2594" s="332">
        <v>880</v>
      </c>
      <c r="AF2594" s="332">
        <v>960</v>
      </c>
      <c r="AG2594" s="332">
        <v>1060</v>
      </c>
      <c r="AH2594" s="1">
        <v>750</v>
      </c>
      <c r="AI2594" s="1">
        <f>AH2594/AC2594-1</f>
        <v>0</v>
      </c>
      <c r="AJ2594" s="1">
        <v>840</v>
      </c>
      <c r="AK2594" s="1">
        <f>AJ2594/AD2594-1</f>
        <v>0</v>
      </c>
      <c r="AL2594" s="1">
        <v>880</v>
      </c>
      <c r="AM2594" s="1">
        <f>AL2594/AE2594-1</f>
        <v>0</v>
      </c>
      <c r="AN2594" s="1">
        <v>960</v>
      </c>
      <c r="AO2594" s="1">
        <f>AN2594/AF2594-1</f>
        <v>0</v>
      </c>
      <c r="AP2594" s="1">
        <v>1060</v>
      </c>
      <c r="AQ2594" s="1">
        <f>AP2594/AG2594-1</f>
        <v>0</v>
      </c>
      <c r="AR2594" s="333"/>
      <c r="AS2594" s="333"/>
    </row>
    <row r="2595" spans="1:46" s="48" customFormat="1" ht="24.75" customHeight="1">
      <c r="B2595" s="54" t="str">
        <f>IF($C$1="ENG","TRANSOM VERTO-FIT","ФРАМУГА VERTO-FIT")</f>
        <v>ФРАМУГА VERTO-FIT</v>
      </c>
      <c r="C2595" s="428"/>
      <c r="D2595" s="28"/>
      <c r="E2595" s="59"/>
      <c r="F2595" s="28"/>
      <c r="G2595" s="59"/>
      <c r="H2595" s="28"/>
      <c r="I2595" s="29"/>
      <c r="J2595" s="153"/>
      <c r="K2595" s="154"/>
      <c r="L2595" s="153"/>
      <c r="M2595" s="154"/>
      <c r="N2595" s="28"/>
      <c r="O2595" s="29"/>
      <c r="P2595" s="28"/>
      <c r="Q2595" s="29"/>
      <c r="R2595" s="28"/>
      <c r="S2595" s="29"/>
      <c r="T2595" s="29"/>
      <c r="U2595" s="29"/>
      <c r="W2595" s="29"/>
      <c r="AN2595" s="56"/>
      <c r="AO2595" s="56"/>
      <c r="AP2595" s="56"/>
      <c r="AQ2595" s="56"/>
      <c r="AR2595" s="56"/>
      <c r="AS2595" s="56"/>
      <c r="AT2595" s="56"/>
    </row>
    <row r="2596" spans="1:46">
      <c r="A2596" s="8"/>
      <c r="B2596" s="13" t="str">
        <f>IF($C$1="ENG","A (75 - 95 mm)","A (75 - 95 мм)")</f>
        <v>A (75 - 95 мм)</v>
      </c>
      <c r="C2596" s="426"/>
      <c r="D2596" s="15">
        <f t="shared" ref="D2596:D2605" si="434">IF(AC2596="","",(1-$W$2)*(AC2596/1.2))</f>
        <v>816.66666666666674</v>
      </c>
      <c r="E2596" s="64">
        <f t="shared" ref="E2596:E2605" si="435">IF($W$5=0.2,D2596*1.2,D2596)/$W$4</f>
        <v>980</v>
      </c>
      <c r="F2596" s="15">
        <f t="shared" ref="F2596:F2605" si="436">IF(AD2596="","",(1-$W$2)*(AD2596/1.2))</f>
        <v>941.66666666666674</v>
      </c>
      <c r="G2596" s="64">
        <f t="shared" ref="G2596:G2605" si="437">IF($W$5=0.2,F2596*1.2,F2596)/$W$4</f>
        <v>1130</v>
      </c>
      <c r="H2596" s="15">
        <f t="shared" ref="H2596:H2605" si="438">IF(AE2596="","",(1-$W$2)*(AE2596/1.2))</f>
        <v>991.66666666666674</v>
      </c>
      <c r="I2596" s="64">
        <f t="shared" ref="I2596:I2605" si="439">IF($W$5=0.2,H2596*1.2,H2596)/$W$4</f>
        <v>1190</v>
      </c>
      <c r="J2596" s="15">
        <f t="shared" ref="J2596:J2605" si="440">IF(AF2596="","",(1-$W$2)*(AF2596/1.2))</f>
        <v>1050</v>
      </c>
      <c r="K2596" s="64">
        <f t="shared" ref="K2596:K2605" si="441">IF($W$5=0.2,J2596*1.2,J2596)/$W$4</f>
        <v>1260</v>
      </c>
      <c r="L2596" s="15">
        <f t="shared" ref="L2596:L2605" si="442">IF(AG2596="","",(1-$W$2)*(AG2596/1.2))</f>
        <v>1125</v>
      </c>
      <c r="M2596" s="64">
        <f t="shared" ref="M2596:M2605" si="443">IF($W$5=0.2,L2596*1.2,L2596)/$W$4</f>
        <v>1350</v>
      </c>
      <c r="N2596" s="105"/>
      <c r="O2596" s="106"/>
      <c r="P2596" s="28"/>
      <c r="Q2596" s="105"/>
      <c r="R2596" s="105"/>
      <c r="S2596" s="106"/>
      <c r="T2596" s="105"/>
      <c r="U2596" s="106"/>
      <c r="V2596" s="105"/>
      <c r="W2596" s="106"/>
      <c r="X2596" s="105"/>
      <c r="Y2596" s="105"/>
      <c r="Z2596" s="105"/>
      <c r="AA2596" s="105"/>
      <c r="AB2596" s="105"/>
      <c r="AC2596" s="332">
        <v>980</v>
      </c>
      <c r="AD2596" s="332">
        <v>1130</v>
      </c>
      <c r="AE2596" s="332">
        <v>1190</v>
      </c>
      <c r="AF2596" s="332">
        <v>1260</v>
      </c>
      <c r="AG2596" s="332">
        <v>1350</v>
      </c>
      <c r="AH2596" s="289">
        <v>980</v>
      </c>
      <c r="AI2596" s="289">
        <f>AH2596/AC2596-1</f>
        <v>0</v>
      </c>
      <c r="AJ2596" s="289">
        <v>1130</v>
      </c>
      <c r="AK2596" s="289">
        <f>AJ2596/AD2596-1</f>
        <v>0</v>
      </c>
      <c r="AL2596" s="289">
        <v>1190</v>
      </c>
      <c r="AM2596" s="1">
        <f>AL2596/AE2596-1</f>
        <v>0</v>
      </c>
      <c r="AN2596" s="30">
        <v>1260</v>
      </c>
      <c r="AO2596" s="1">
        <f>AN2596/AF2596-1</f>
        <v>0</v>
      </c>
      <c r="AP2596" s="1">
        <v>1350</v>
      </c>
      <c r="AQ2596" s="1">
        <f>AP2596/AG2596-1</f>
        <v>0</v>
      </c>
      <c r="AR2596" s="333"/>
      <c r="AS2596" s="333"/>
    </row>
    <row r="2597" spans="1:46">
      <c r="A2597" s="8"/>
      <c r="B2597" s="16" t="str">
        <f>IF($C$1="ENG","B (95 - 115 mm)","B (95 - 115 мм)")</f>
        <v>B (95 - 115 мм)</v>
      </c>
      <c r="C2597" s="432"/>
      <c r="D2597" s="18">
        <f t="shared" si="434"/>
        <v>883.33333333333337</v>
      </c>
      <c r="E2597" s="66">
        <f t="shared" si="435"/>
        <v>1060</v>
      </c>
      <c r="F2597" s="18">
        <f t="shared" si="436"/>
        <v>1016.6666666666667</v>
      </c>
      <c r="G2597" s="66">
        <f t="shared" si="437"/>
        <v>1220</v>
      </c>
      <c r="H2597" s="18">
        <f t="shared" si="438"/>
        <v>1091.6666666666667</v>
      </c>
      <c r="I2597" s="66">
        <f t="shared" si="439"/>
        <v>1310</v>
      </c>
      <c r="J2597" s="18">
        <f t="shared" si="440"/>
        <v>1141.6666666666667</v>
      </c>
      <c r="K2597" s="66">
        <f t="shared" si="441"/>
        <v>1370</v>
      </c>
      <c r="L2597" s="18">
        <f t="shared" si="442"/>
        <v>1233.3333333333335</v>
      </c>
      <c r="M2597" s="66">
        <f t="shared" si="443"/>
        <v>1480.0000000000002</v>
      </c>
      <c r="N2597" s="105"/>
      <c r="O2597" s="106"/>
      <c r="P2597" s="28"/>
      <c r="Q2597" s="105"/>
      <c r="R2597" s="105"/>
      <c r="S2597" s="106"/>
      <c r="T2597" s="105"/>
      <c r="U2597" s="106"/>
      <c r="V2597" s="105"/>
      <c r="W2597" s="106"/>
      <c r="X2597" s="105"/>
      <c r="Y2597" s="105"/>
      <c r="Z2597" s="105"/>
      <c r="AA2597" s="105"/>
      <c r="AB2597" s="105"/>
      <c r="AC2597" s="332">
        <v>1060</v>
      </c>
      <c r="AD2597" s="332">
        <v>1220</v>
      </c>
      <c r="AE2597" s="332">
        <v>1310</v>
      </c>
      <c r="AF2597" s="332">
        <v>1370</v>
      </c>
      <c r="AG2597" s="332">
        <v>1480</v>
      </c>
      <c r="AH2597" s="289">
        <v>1060</v>
      </c>
      <c r="AI2597" s="289">
        <f t="shared" ref="AI2597:AI2605" si="444">AH2597/AC2597-1</f>
        <v>0</v>
      </c>
      <c r="AJ2597" s="289">
        <v>1220</v>
      </c>
      <c r="AK2597" s="289">
        <f t="shared" ref="AK2597:AK2605" si="445">AJ2597/AD2597-1</f>
        <v>0</v>
      </c>
      <c r="AL2597" s="289">
        <v>1310</v>
      </c>
      <c r="AM2597" s="1">
        <f t="shared" ref="AM2597:AM2605" si="446">AL2597/AE2597-1</f>
        <v>0</v>
      </c>
      <c r="AN2597" s="30">
        <v>1370</v>
      </c>
      <c r="AO2597" s="1">
        <f t="shared" ref="AO2597:AO2605" si="447">AN2597/AF2597-1</f>
        <v>0</v>
      </c>
      <c r="AP2597" s="1">
        <v>1480</v>
      </c>
      <c r="AQ2597" s="1">
        <f t="shared" ref="AQ2597:AQ2605" si="448">AP2597/AG2597-1</f>
        <v>0</v>
      </c>
      <c r="AR2597" s="333"/>
    </row>
    <row r="2598" spans="1:46">
      <c r="A2598" s="8"/>
      <c r="B2598" s="16" t="str">
        <f>IF($C$1="ENG","B+ 100 - 120 mm)","B+ (100 - 120 мм)")</f>
        <v>B+ (100 - 120 мм)</v>
      </c>
      <c r="C2598" s="432"/>
      <c r="D2598" s="18">
        <f t="shared" si="434"/>
        <v>916.66666666666674</v>
      </c>
      <c r="E2598" s="66">
        <f t="shared" si="435"/>
        <v>1100</v>
      </c>
      <c r="F2598" s="18">
        <f t="shared" si="436"/>
        <v>1058.3333333333335</v>
      </c>
      <c r="G2598" s="66">
        <f t="shared" si="437"/>
        <v>1270.0000000000002</v>
      </c>
      <c r="H2598" s="18">
        <f t="shared" si="438"/>
        <v>1133.3333333333335</v>
      </c>
      <c r="I2598" s="66">
        <f t="shared" si="439"/>
        <v>1360.0000000000002</v>
      </c>
      <c r="J2598" s="18">
        <f t="shared" si="440"/>
        <v>1191.6666666666667</v>
      </c>
      <c r="K2598" s="66">
        <f t="shared" si="441"/>
        <v>1430</v>
      </c>
      <c r="L2598" s="18">
        <f t="shared" si="442"/>
        <v>1291.6666666666667</v>
      </c>
      <c r="M2598" s="66">
        <f t="shared" si="443"/>
        <v>1550</v>
      </c>
      <c r="N2598" s="105"/>
      <c r="O2598" s="106"/>
      <c r="P2598" s="28"/>
      <c r="Q2598" s="105"/>
      <c r="R2598" s="105"/>
      <c r="S2598" s="106"/>
      <c r="T2598" s="105"/>
      <c r="U2598" s="106"/>
      <c r="V2598" s="105"/>
      <c r="W2598" s="106"/>
      <c r="X2598" s="105"/>
      <c r="Y2598" s="105"/>
      <c r="Z2598" s="105"/>
      <c r="AA2598" s="105"/>
      <c r="AB2598" s="105"/>
      <c r="AC2598" s="332">
        <v>1100</v>
      </c>
      <c r="AD2598" s="332">
        <v>1270</v>
      </c>
      <c r="AE2598" s="332">
        <v>1360</v>
      </c>
      <c r="AF2598" s="332">
        <v>1430</v>
      </c>
      <c r="AG2598" s="332">
        <v>1550</v>
      </c>
      <c r="AH2598" s="289">
        <v>1100</v>
      </c>
      <c r="AI2598" s="289">
        <f t="shared" si="444"/>
        <v>0</v>
      </c>
      <c r="AJ2598" s="289">
        <v>1270</v>
      </c>
      <c r="AK2598" s="289">
        <f t="shared" si="445"/>
        <v>0</v>
      </c>
      <c r="AL2598" s="289">
        <v>1360</v>
      </c>
      <c r="AM2598" s="1">
        <f t="shared" si="446"/>
        <v>0</v>
      </c>
      <c r="AN2598" s="30">
        <v>1430</v>
      </c>
      <c r="AO2598" s="1">
        <f t="shared" si="447"/>
        <v>0</v>
      </c>
      <c r="AP2598" s="1">
        <v>1550</v>
      </c>
      <c r="AQ2598" s="1">
        <f t="shared" si="448"/>
        <v>0</v>
      </c>
      <c r="AR2598" s="333"/>
    </row>
    <row r="2599" spans="1:46">
      <c r="A2599" s="8"/>
      <c r="B2599" s="16" t="str">
        <f>IF($C$1="ENG","C (120 - 140 mm)","C (120 - 140 мм)")</f>
        <v>C (120 - 140 мм)</v>
      </c>
      <c r="C2599" s="432"/>
      <c r="D2599" s="18">
        <f t="shared" si="434"/>
        <v>958.33333333333337</v>
      </c>
      <c r="E2599" s="66">
        <f t="shared" si="435"/>
        <v>1150</v>
      </c>
      <c r="F2599" s="18">
        <f t="shared" si="436"/>
        <v>1100</v>
      </c>
      <c r="G2599" s="66">
        <f t="shared" si="437"/>
        <v>1320</v>
      </c>
      <c r="H2599" s="18">
        <f t="shared" si="438"/>
        <v>1175</v>
      </c>
      <c r="I2599" s="66">
        <f t="shared" si="439"/>
        <v>1410</v>
      </c>
      <c r="J2599" s="18">
        <f t="shared" si="440"/>
        <v>1241.6666666666667</v>
      </c>
      <c r="K2599" s="66">
        <f t="shared" si="441"/>
        <v>1490</v>
      </c>
      <c r="L2599" s="18">
        <f t="shared" si="442"/>
        <v>1325</v>
      </c>
      <c r="M2599" s="66">
        <f t="shared" si="443"/>
        <v>1590</v>
      </c>
      <c r="N2599" s="105"/>
      <c r="O2599" s="106"/>
      <c r="P2599" s="28"/>
      <c r="Q2599" s="105"/>
      <c r="R2599" s="105"/>
      <c r="S2599" s="106"/>
      <c r="T2599" s="105"/>
      <c r="U2599" s="106"/>
      <c r="V2599" s="105"/>
      <c r="W2599" s="106"/>
      <c r="X2599" s="105"/>
      <c r="Y2599" s="105"/>
      <c r="Z2599" s="105"/>
      <c r="AA2599" s="105"/>
      <c r="AB2599" s="105"/>
      <c r="AC2599" s="332">
        <v>1150</v>
      </c>
      <c r="AD2599" s="332">
        <v>1320</v>
      </c>
      <c r="AE2599" s="332">
        <v>1410</v>
      </c>
      <c r="AF2599" s="332">
        <v>1490</v>
      </c>
      <c r="AG2599" s="332">
        <v>1590</v>
      </c>
      <c r="AH2599" s="289">
        <v>1150</v>
      </c>
      <c r="AI2599" s="289">
        <f t="shared" si="444"/>
        <v>0</v>
      </c>
      <c r="AJ2599" s="289">
        <v>1320</v>
      </c>
      <c r="AK2599" s="289">
        <f t="shared" si="445"/>
        <v>0</v>
      </c>
      <c r="AL2599" s="289">
        <v>1410</v>
      </c>
      <c r="AM2599" s="1">
        <f t="shared" si="446"/>
        <v>0</v>
      </c>
      <c r="AN2599" s="30">
        <v>1490</v>
      </c>
      <c r="AO2599" s="1">
        <f t="shared" si="447"/>
        <v>0</v>
      </c>
      <c r="AP2599" s="1">
        <v>1590</v>
      </c>
      <c r="AQ2599" s="1">
        <f t="shared" si="448"/>
        <v>0</v>
      </c>
      <c r="AR2599" s="333"/>
    </row>
    <row r="2600" spans="1:46">
      <c r="A2600" s="8"/>
      <c r="B2600" s="16" t="str">
        <f>IF($C$1="ENG","D (140 - 160 mm)","D (140 - 160 мм)")</f>
        <v>D (140 - 160 мм)</v>
      </c>
      <c r="C2600" s="432"/>
      <c r="D2600" s="18">
        <f t="shared" si="434"/>
        <v>1025</v>
      </c>
      <c r="E2600" s="66">
        <f t="shared" si="435"/>
        <v>1230</v>
      </c>
      <c r="F2600" s="18">
        <f t="shared" si="436"/>
        <v>1175</v>
      </c>
      <c r="G2600" s="66">
        <f t="shared" si="437"/>
        <v>1410</v>
      </c>
      <c r="H2600" s="18">
        <f t="shared" si="438"/>
        <v>1275</v>
      </c>
      <c r="I2600" s="66">
        <f t="shared" si="439"/>
        <v>1530</v>
      </c>
      <c r="J2600" s="18">
        <f t="shared" si="440"/>
        <v>1341.6666666666667</v>
      </c>
      <c r="K2600" s="66">
        <f t="shared" si="441"/>
        <v>1610</v>
      </c>
      <c r="L2600" s="18">
        <f t="shared" si="442"/>
        <v>1441.6666666666667</v>
      </c>
      <c r="M2600" s="66">
        <f t="shared" si="443"/>
        <v>1730</v>
      </c>
      <c r="N2600" s="105"/>
      <c r="O2600" s="106"/>
      <c r="P2600" s="28"/>
      <c r="Q2600" s="105"/>
      <c r="R2600" s="105"/>
      <c r="S2600" s="106"/>
      <c r="T2600" s="105"/>
      <c r="U2600" s="106"/>
      <c r="V2600" s="105"/>
      <c r="W2600" s="106"/>
      <c r="X2600" s="105"/>
      <c r="Y2600" s="105"/>
      <c r="Z2600" s="105"/>
      <c r="AA2600" s="105"/>
      <c r="AB2600" s="105"/>
      <c r="AC2600" s="332">
        <v>1230</v>
      </c>
      <c r="AD2600" s="332">
        <v>1410</v>
      </c>
      <c r="AE2600" s="332">
        <v>1530</v>
      </c>
      <c r="AF2600" s="332">
        <v>1610</v>
      </c>
      <c r="AG2600" s="332">
        <v>1730</v>
      </c>
      <c r="AH2600" s="289">
        <v>1230</v>
      </c>
      <c r="AI2600" s="289">
        <f t="shared" si="444"/>
        <v>0</v>
      </c>
      <c r="AJ2600" s="289">
        <v>1410</v>
      </c>
      <c r="AK2600" s="289">
        <f t="shared" si="445"/>
        <v>0</v>
      </c>
      <c r="AL2600" s="289">
        <v>1530</v>
      </c>
      <c r="AM2600" s="1">
        <f t="shared" si="446"/>
        <v>0</v>
      </c>
      <c r="AN2600" s="30">
        <v>1610</v>
      </c>
      <c r="AO2600" s="1">
        <f t="shared" si="447"/>
        <v>0</v>
      </c>
      <c r="AP2600" s="1">
        <v>1730</v>
      </c>
      <c r="AQ2600" s="1">
        <f t="shared" si="448"/>
        <v>0</v>
      </c>
      <c r="AR2600" s="333"/>
    </row>
    <row r="2601" spans="1:46">
      <c r="A2601" s="8"/>
      <c r="B2601" s="16" t="str">
        <f>IF($C$1="ENG","E (160 - 180 mm)","E (160 - 180 мм)")</f>
        <v>E (160 - 180 мм)</v>
      </c>
      <c r="C2601" s="432"/>
      <c r="D2601" s="18">
        <f t="shared" si="434"/>
        <v>1100</v>
      </c>
      <c r="E2601" s="66">
        <f t="shared" si="435"/>
        <v>1320</v>
      </c>
      <c r="F2601" s="18">
        <f t="shared" si="436"/>
        <v>1275</v>
      </c>
      <c r="G2601" s="66">
        <f t="shared" si="437"/>
        <v>1530</v>
      </c>
      <c r="H2601" s="18">
        <f t="shared" si="438"/>
        <v>1375</v>
      </c>
      <c r="I2601" s="66">
        <f t="shared" si="439"/>
        <v>1650</v>
      </c>
      <c r="J2601" s="18">
        <f t="shared" si="440"/>
        <v>1433.3333333333335</v>
      </c>
      <c r="K2601" s="66">
        <f t="shared" si="441"/>
        <v>1720.0000000000002</v>
      </c>
      <c r="L2601" s="18">
        <f t="shared" si="442"/>
        <v>1541.6666666666667</v>
      </c>
      <c r="M2601" s="66">
        <f t="shared" si="443"/>
        <v>1850</v>
      </c>
      <c r="N2601" s="105"/>
      <c r="O2601" s="106"/>
      <c r="P2601" s="28"/>
      <c r="Q2601" s="105"/>
      <c r="R2601" s="105"/>
      <c r="S2601" s="106"/>
      <c r="T2601" s="105"/>
      <c r="U2601" s="106"/>
      <c r="V2601" s="105"/>
      <c r="W2601" s="106"/>
      <c r="X2601" s="105"/>
      <c r="Y2601" s="105"/>
      <c r="Z2601" s="105"/>
      <c r="AA2601" s="105"/>
      <c r="AB2601" s="105"/>
      <c r="AC2601" s="332">
        <v>1320</v>
      </c>
      <c r="AD2601" s="332">
        <v>1530</v>
      </c>
      <c r="AE2601" s="332">
        <v>1650</v>
      </c>
      <c r="AF2601" s="332">
        <v>1720</v>
      </c>
      <c r="AG2601" s="332">
        <v>1850</v>
      </c>
      <c r="AH2601" s="289">
        <v>1322</v>
      </c>
      <c r="AI2601" s="289">
        <f t="shared" si="444"/>
        <v>1.5151515151514694E-3</v>
      </c>
      <c r="AJ2601" s="289">
        <v>1530</v>
      </c>
      <c r="AK2601" s="289">
        <f t="shared" si="445"/>
        <v>0</v>
      </c>
      <c r="AL2601" s="289">
        <v>1650</v>
      </c>
      <c r="AM2601" s="1">
        <f t="shared" si="446"/>
        <v>0</v>
      </c>
      <c r="AN2601" s="30">
        <v>1720</v>
      </c>
      <c r="AO2601" s="1">
        <f t="shared" si="447"/>
        <v>0</v>
      </c>
      <c r="AP2601" s="1">
        <v>1850</v>
      </c>
      <c r="AQ2601" s="1">
        <f t="shared" si="448"/>
        <v>0</v>
      </c>
      <c r="AR2601" s="333"/>
    </row>
    <row r="2602" spans="1:46">
      <c r="A2602" s="8"/>
      <c r="B2602" s="16" t="str">
        <f>IF($C$1="ENG","F (180 - 200 mm)","F (180 - 200 мм)")</f>
        <v>F (180 - 200 мм)</v>
      </c>
      <c r="C2602" s="432"/>
      <c r="D2602" s="18">
        <f t="shared" si="434"/>
        <v>1166.6666666666667</v>
      </c>
      <c r="E2602" s="66">
        <f t="shared" si="435"/>
        <v>1400</v>
      </c>
      <c r="F2602" s="18">
        <f t="shared" si="436"/>
        <v>1358.3333333333335</v>
      </c>
      <c r="G2602" s="66">
        <f t="shared" si="437"/>
        <v>1630.0000000000002</v>
      </c>
      <c r="H2602" s="18">
        <f t="shared" si="438"/>
        <v>1458.3333333333335</v>
      </c>
      <c r="I2602" s="66">
        <f t="shared" si="439"/>
        <v>1750.0000000000002</v>
      </c>
      <c r="J2602" s="18">
        <f t="shared" si="440"/>
        <v>1525</v>
      </c>
      <c r="K2602" s="66">
        <f t="shared" si="441"/>
        <v>1830</v>
      </c>
      <c r="L2602" s="18">
        <f t="shared" si="442"/>
        <v>1650</v>
      </c>
      <c r="M2602" s="66">
        <f t="shared" si="443"/>
        <v>1980</v>
      </c>
      <c r="N2602" s="105"/>
      <c r="O2602" s="106"/>
      <c r="P2602" s="28"/>
      <c r="Q2602" s="105"/>
      <c r="R2602" s="105"/>
      <c r="S2602" s="106"/>
      <c r="T2602" s="105"/>
      <c r="U2602" s="106"/>
      <c r="V2602" s="105"/>
      <c r="W2602" s="106"/>
      <c r="X2602" s="105"/>
      <c r="Y2602" s="105"/>
      <c r="Z2602" s="105"/>
      <c r="AA2602" s="105"/>
      <c r="AB2602" s="105"/>
      <c r="AC2602" s="332">
        <v>1400</v>
      </c>
      <c r="AD2602" s="332">
        <v>1630</v>
      </c>
      <c r="AE2602" s="332">
        <v>1750</v>
      </c>
      <c r="AF2602" s="332">
        <v>1830</v>
      </c>
      <c r="AG2602" s="332">
        <v>1980</v>
      </c>
      <c r="AH2602" s="289">
        <v>1400</v>
      </c>
      <c r="AI2602" s="289">
        <f t="shared" si="444"/>
        <v>0</v>
      </c>
      <c r="AJ2602" s="289">
        <v>1630</v>
      </c>
      <c r="AK2602" s="289">
        <f t="shared" si="445"/>
        <v>0</v>
      </c>
      <c r="AL2602" s="289">
        <v>1750</v>
      </c>
      <c r="AM2602" s="1">
        <f t="shared" si="446"/>
        <v>0</v>
      </c>
      <c r="AN2602" s="30">
        <v>1830</v>
      </c>
      <c r="AO2602" s="1">
        <f t="shared" si="447"/>
        <v>0</v>
      </c>
      <c r="AP2602" s="1">
        <v>1980</v>
      </c>
      <c r="AQ2602" s="1">
        <f t="shared" si="448"/>
        <v>0</v>
      </c>
      <c r="AR2602" s="333"/>
    </row>
    <row r="2603" spans="1:46">
      <c r="A2603" s="8"/>
      <c r="B2603" s="16" t="str">
        <f>IF($C$1="ENG","G (200 - 220 mm)","G (200 - 220 мм)")</f>
        <v>G (200 - 220 мм)</v>
      </c>
      <c r="C2603" s="432"/>
      <c r="D2603" s="18">
        <f t="shared" si="434"/>
        <v>1241.6666666666667</v>
      </c>
      <c r="E2603" s="66">
        <f t="shared" si="435"/>
        <v>1490</v>
      </c>
      <c r="F2603" s="18">
        <f t="shared" si="436"/>
        <v>1433.3333333333335</v>
      </c>
      <c r="G2603" s="66">
        <f t="shared" si="437"/>
        <v>1720.0000000000002</v>
      </c>
      <c r="H2603" s="18">
        <f t="shared" si="438"/>
        <v>1566.6666666666667</v>
      </c>
      <c r="I2603" s="66">
        <f t="shared" si="439"/>
        <v>1880</v>
      </c>
      <c r="J2603" s="18">
        <f t="shared" si="440"/>
        <v>1616.6666666666667</v>
      </c>
      <c r="K2603" s="66">
        <f t="shared" si="441"/>
        <v>1940</v>
      </c>
      <c r="L2603" s="18">
        <f t="shared" si="442"/>
        <v>1750</v>
      </c>
      <c r="M2603" s="66">
        <f t="shared" si="443"/>
        <v>2100</v>
      </c>
      <c r="N2603" s="105"/>
      <c r="O2603" s="106"/>
      <c r="P2603" s="28"/>
      <c r="Q2603" s="105"/>
      <c r="R2603" s="105"/>
      <c r="S2603" s="106"/>
      <c r="T2603" s="105"/>
      <c r="U2603" s="106"/>
      <c r="V2603" s="105"/>
      <c r="W2603" s="106"/>
      <c r="X2603" s="105"/>
      <c r="Y2603" s="105"/>
      <c r="Z2603" s="105"/>
      <c r="AA2603" s="105"/>
      <c r="AB2603" s="105"/>
      <c r="AC2603" s="332">
        <v>1490</v>
      </c>
      <c r="AD2603" s="332">
        <v>1720</v>
      </c>
      <c r="AE2603" s="332">
        <v>1880</v>
      </c>
      <c r="AF2603" s="332">
        <v>1940</v>
      </c>
      <c r="AG2603" s="332">
        <v>2100</v>
      </c>
      <c r="AH2603" s="289">
        <v>1490</v>
      </c>
      <c r="AI2603" s="289">
        <f t="shared" si="444"/>
        <v>0</v>
      </c>
      <c r="AJ2603" s="289">
        <v>1720</v>
      </c>
      <c r="AK2603" s="289">
        <f t="shared" si="445"/>
        <v>0</v>
      </c>
      <c r="AL2603" s="289">
        <v>1880</v>
      </c>
      <c r="AM2603" s="1">
        <f t="shared" si="446"/>
        <v>0</v>
      </c>
      <c r="AN2603" s="30">
        <v>1940</v>
      </c>
      <c r="AO2603" s="1">
        <f t="shared" si="447"/>
        <v>0</v>
      </c>
      <c r="AP2603" s="1">
        <v>2100</v>
      </c>
      <c r="AQ2603" s="1">
        <f t="shared" si="448"/>
        <v>0</v>
      </c>
      <c r="AR2603" s="333"/>
    </row>
    <row r="2604" spans="1:46">
      <c r="A2604" s="8"/>
      <c r="B2604" s="16" t="str">
        <f>IF($C$1="ENG","H (220 - 240 mm)","H (220 - 240 мм)")</f>
        <v>H (220 - 240 мм)</v>
      </c>
      <c r="C2604" s="432"/>
      <c r="D2604" s="18">
        <f t="shared" si="434"/>
        <v>1308.3333333333335</v>
      </c>
      <c r="E2604" s="66">
        <f t="shared" si="435"/>
        <v>1570.0000000000002</v>
      </c>
      <c r="F2604" s="18">
        <f t="shared" si="436"/>
        <v>1508.3333333333335</v>
      </c>
      <c r="G2604" s="66">
        <f t="shared" si="437"/>
        <v>1810.0000000000002</v>
      </c>
      <c r="H2604" s="18">
        <f t="shared" si="438"/>
        <v>1650</v>
      </c>
      <c r="I2604" s="66">
        <f t="shared" si="439"/>
        <v>1980</v>
      </c>
      <c r="J2604" s="18">
        <f t="shared" si="440"/>
        <v>1716.6666666666667</v>
      </c>
      <c r="K2604" s="66">
        <f t="shared" si="441"/>
        <v>2060</v>
      </c>
      <c r="L2604" s="18">
        <f t="shared" si="442"/>
        <v>1866.6666666666667</v>
      </c>
      <c r="M2604" s="66">
        <f t="shared" si="443"/>
        <v>2240</v>
      </c>
      <c r="N2604" s="105"/>
      <c r="O2604" s="106"/>
      <c r="P2604" s="28"/>
      <c r="Q2604" s="105"/>
      <c r="R2604" s="105"/>
      <c r="S2604" s="106"/>
      <c r="T2604" s="105"/>
      <c r="U2604" s="106"/>
      <c r="V2604" s="105"/>
      <c r="W2604" s="106"/>
      <c r="X2604" s="105"/>
      <c r="Y2604" s="105"/>
      <c r="Z2604" s="105"/>
      <c r="AA2604" s="105"/>
      <c r="AB2604" s="105"/>
      <c r="AC2604" s="332">
        <v>1570</v>
      </c>
      <c r="AD2604" s="332">
        <v>1810</v>
      </c>
      <c r="AE2604" s="332">
        <v>1980</v>
      </c>
      <c r="AF2604" s="332">
        <v>2060</v>
      </c>
      <c r="AG2604" s="332">
        <v>2240</v>
      </c>
      <c r="AH2604" s="289">
        <v>1570</v>
      </c>
      <c r="AI2604" s="289">
        <f t="shared" si="444"/>
        <v>0</v>
      </c>
      <c r="AJ2604" s="289">
        <v>1810</v>
      </c>
      <c r="AK2604" s="289">
        <f t="shared" si="445"/>
        <v>0</v>
      </c>
      <c r="AL2604" s="289">
        <v>1980</v>
      </c>
      <c r="AM2604" s="1">
        <f t="shared" si="446"/>
        <v>0</v>
      </c>
      <c r="AN2604" s="30">
        <v>2060</v>
      </c>
      <c r="AO2604" s="1">
        <f t="shared" si="447"/>
        <v>0</v>
      </c>
      <c r="AP2604" s="1">
        <v>2240</v>
      </c>
      <c r="AQ2604" s="1">
        <f t="shared" si="448"/>
        <v>0</v>
      </c>
      <c r="AR2604" s="333"/>
    </row>
    <row r="2605" spans="1:46">
      <c r="A2605" s="8"/>
      <c r="B2605" s="23" t="str">
        <f>IF($C$1="ENG","I (240 - 260 mm)","I (240 - 260 мм)")</f>
        <v>I (240 - 260 мм)</v>
      </c>
      <c r="C2605" s="433"/>
      <c r="D2605" s="25">
        <f t="shared" si="434"/>
        <v>1383.3333333333335</v>
      </c>
      <c r="E2605" s="69">
        <f t="shared" si="435"/>
        <v>1660.0000000000002</v>
      </c>
      <c r="F2605" s="25">
        <f t="shared" si="436"/>
        <v>1591.6666666666667</v>
      </c>
      <c r="G2605" s="69">
        <f t="shared" si="437"/>
        <v>1910</v>
      </c>
      <c r="H2605" s="25">
        <f t="shared" si="438"/>
        <v>1741.6666666666667</v>
      </c>
      <c r="I2605" s="69">
        <f t="shared" si="439"/>
        <v>2090</v>
      </c>
      <c r="J2605" s="25">
        <f t="shared" si="440"/>
        <v>1808.3333333333335</v>
      </c>
      <c r="K2605" s="69">
        <f t="shared" si="441"/>
        <v>2170</v>
      </c>
      <c r="L2605" s="25">
        <f t="shared" si="442"/>
        <v>1967.5</v>
      </c>
      <c r="M2605" s="69">
        <f t="shared" si="443"/>
        <v>2361</v>
      </c>
      <c r="N2605" s="105"/>
      <c r="O2605" s="106"/>
      <c r="P2605" s="28"/>
      <c r="Q2605" s="105"/>
      <c r="R2605" s="105"/>
      <c r="S2605" s="106"/>
      <c r="T2605" s="105"/>
      <c r="U2605" s="106"/>
      <c r="V2605" s="105"/>
      <c r="W2605" s="106"/>
      <c r="X2605" s="105"/>
      <c r="Y2605" s="105"/>
      <c r="Z2605" s="105"/>
      <c r="AA2605" s="105"/>
      <c r="AB2605" s="105"/>
      <c r="AC2605" s="332">
        <v>1660</v>
      </c>
      <c r="AD2605" s="332">
        <v>1910</v>
      </c>
      <c r="AE2605" s="332">
        <v>2090</v>
      </c>
      <c r="AF2605" s="332">
        <v>2170</v>
      </c>
      <c r="AG2605" s="332">
        <v>2361</v>
      </c>
      <c r="AH2605" s="289">
        <v>1660</v>
      </c>
      <c r="AI2605" s="289">
        <f t="shared" si="444"/>
        <v>0</v>
      </c>
      <c r="AJ2605" s="289">
        <v>1910</v>
      </c>
      <c r="AK2605" s="289">
        <f t="shared" si="445"/>
        <v>0</v>
      </c>
      <c r="AL2605" s="289">
        <v>2090</v>
      </c>
      <c r="AM2605" s="1">
        <f t="shared" si="446"/>
        <v>0</v>
      </c>
      <c r="AN2605" s="30">
        <v>2170</v>
      </c>
      <c r="AO2605" s="1">
        <f t="shared" si="447"/>
        <v>0</v>
      </c>
      <c r="AP2605" s="1">
        <v>2361</v>
      </c>
      <c r="AQ2605" s="1">
        <f t="shared" si="448"/>
        <v>0</v>
      </c>
      <c r="AR2605" s="333"/>
    </row>
    <row r="2606" spans="1:46">
      <c r="C2606" s="245"/>
      <c r="D2606" s="26"/>
      <c r="E2606" s="57"/>
      <c r="F2606" s="26"/>
      <c r="G2606" s="57"/>
      <c r="H2606" s="60"/>
      <c r="I2606" s="48"/>
      <c r="J2606" s="48"/>
      <c r="K2606" s="48"/>
      <c r="L2606" s="48"/>
      <c r="M2606" s="48"/>
      <c r="N2606" s="48"/>
      <c r="O2606" s="48"/>
      <c r="P2606" s="48"/>
      <c r="Q2606" s="48"/>
      <c r="R2606" s="48"/>
      <c r="S2606" s="48"/>
    </row>
    <row r="2607" spans="1:46">
      <c r="B2607" s="212" t="str">
        <f>IF($C$1="ENG","For additonal charge:","Послуги за додаткову плату:")</f>
        <v>Послуги за додаткову плату:</v>
      </c>
      <c r="C2607" s="421"/>
      <c r="D2607" s="213"/>
      <c r="E2607" s="214"/>
      <c r="F2607" s="26"/>
      <c r="G2607" s="57"/>
      <c r="H2607" s="5"/>
      <c r="J2607" s="48"/>
      <c r="K2607" s="48"/>
      <c r="L2607" s="48"/>
      <c r="M2607" s="48"/>
      <c r="N2607" s="48"/>
      <c r="O2607" s="48"/>
      <c r="P2607" s="48"/>
      <c r="Q2607" s="48"/>
      <c r="R2607" s="48"/>
      <c r="S2607" s="48"/>
    </row>
    <row r="2608" spans="1:46" ht="5.0999999999999996" customHeight="1">
      <c r="B2608" s="27"/>
      <c r="C2608" s="245"/>
      <c r="D2608" s="26"/>
      <c r="E2608" s="57"/>
      <c r="F2608" s="26"/>
      <c r="G2608" s="57"/>
      <c r="H2608" s="5"/>
    </row>
    <row r="2609" spans="2:38">
      <c r="B2609" s="275" t="str">
        <f>IF($C$1="ENG","Glazing types:","Вид скління:")</f>
        <v>Вид скління:</v>
      </c>
      <c r="C2609" s="413" t="str">
        <f>IF($C$1="ENG","MDF","Фільонка")</f>
        <v>Фільонка</v>
      </c>
      <c r="D2609" s="101">
        <f t="shared" ref="D2609:D2615" si="449">IF(AC2609="","",(1-$W$2)*(AC2609/1.2))</f>
        <v>1016.6666666666667</v>
      </c>
      <c r="E2609" s="64">
        <f>IF($W$5=0.2,D2609*1.2,D2609)/$W$4</f>
        <v>1220</v>
      </c>
      <c r="F2609" s="26"/>
      <c r="G2609" s="57"/>
      <c r="H2609" s="253"/>
      <c r="L2609" s="105"/>
      <c r="M2609" s="106"/>
      <c r="N2609" s="105"/>
      <c r="O2609" s="106"/>
      <c r="P2609" s="105"/>
      <c r="Q2609" s="106"/>
      <c r="R2609" s="105"/>
      <c r="S2609" s="106"/>
      <c r="T2609" s="105"/>
      <c r="U2609" s="106"/>
      <c r="V2609" s="105"/>
      <c r="W2609" s="106"/>
      <c r="AC2609" s="289">
        <v>1220</v>
      </c>
      <c r="AD2609" s="289">
        <v>1220</v>
      </c>
      <c r="AE2609" s="289">
        <f>AD2609/AC2609-1</f>
        <v>0</v>
      </c>
      <c r="AF2609" s="289"/>
      <c r="AG2609" s="289"/>
      <c r="AH2609" s="289"/>
      <c r="AI2609" s="289"/>
      <c r="AJ2609" s="289"/>
      <c r="AK2609" s="289"/>
      <c r="AL2609" s="289"/>
    </row>
    <row r="2610" spans="2:38">
      <c r="B2610" s="273" t="str">
        <f>IF($C$1="ENG","price per 1 sq.m","Ціна за 1 кв.м")</f>
        <v>Ціна за 1 кв.м</v>
      </c>
      <c r="C2610" s="412" t="str">
        <f>IF($C$1="ENG","Krizet","Кризет")</f>
        <v>Кризет</v>
      </c>
      <c r="D2610" s="102">
        <f t="shared" si="449"/>
        <v>758.33333333333337</v>
      </c>
      <c r="E2610" s="66">
        <f t="shared" ref="E2610:E2616" si="450">IF($W$5=0.2,D2610*1.2,D2610)/$W$4</f>
        <v>910</v>
      </c>
      <c r="F2610" s="26"/>
      <c r="G2610" s="57"/>
      <c r="H2610" s="253"/>
      <c r="L2610" s="105"/>
      <c r="M2610" s="106"/>
      <c r="P2610" s="105"/>
      <c r="Q2610" s="106"/>
      <c r="AC2610" s="289">
        <v>910</v>
      </c>
      <c r="AD2610" s="289">
        <v>910</v>
      </c>
      <c r="AE2610" s="289">
        <f t="shared" ref="AE2610:AE2616" si="451">AD2610/AC2610-1</f>
        <v>0</v>
      </c>
      <c r="AF2610" s="289"/>
      <c r="AG2610" s="289"/>
      <c r="AH2610" s="289"/>
      <c r="AI2610" s="289"/>
      <c r="AJ2610" s="289"/>
      <c r="AK2610" s="289"/>
      <c r="AL2610" s="289"/>
    </row>
    <row r="2611" spans="2:38">
      <c r="B2611" s="276"/>
      <c r="C2611" s="412" t="str">
        <f>IF($C$1="ENG","Satin","Сатин")</f>
        <v>Сатин</v>
      </c>
      <c r="D2611" s="102">
        <f t="shared" si="449"/>
        <v>933.33333333333337</v>
      </c>
      <c r="E2611" s="66">
        <f t="shared" si="450"/>
        <v>1120</v>
      </c>
      <c r="F2611" s="26"/>
      <c r="G2611" s="26"/>
      <c r="H2611" s="253"/>
      <c r="L2611" s="105"/>
      <c r="M2611" s="106"/>
      <c r="P2611" s="105"/>
      <c r="Q2611" s="106"/>
      <c r="AC2611" s="289">
        <v>1120</v>
      </c>
      <c r="AD2611" s="289">
        <v>1120</v>
      </c>
      <c r="AE2611" s="289">
        <f t="shared" si="451"/>
        <v>0</v>
      </c>
      <c r="AF2611" s="289"/>
      <c r="AG2611" s="289"/>
      <c r="AH2611" s="289"/>
      <c r="AI2611" s="289"/>
      <c r="AJ2611" s="289"/>
      <c r="AK2611" s="289"/>
      <c r="AL2611" s="289"/>
    </row>
    <row r="2612" spans="2:38">
      <c r="B2612" s="273"/>
      <c r="C2612" s="412" t="str">
        <f>IF($C$1="ENG","Wave","Жалюзі")</f>
        <v>Жалюзі</v>
      </c>
      <c r="D2612" s="102">
        <f t="shared" si="449"/>
        <v>758.33333333333337</v>
      </c>
      <c r="E2612" s="66">
        <f t="shared" si="450"/>
        <v>910</v>
      </c>
      <c r="F2612" s="26"/>
      <c r="G2612" s="26"/>
      <c r="H2612" s="253"/>
      <c r="L2612" s="105"/>
      <c r="M2612" s="106"/>
      <c r="P2612" s="105"/>
      <c r="Q2612" s="106"/>
      <c r="AC2612" s="289">
        <v>910</v>
      </c>
      <c r="AD2612" s="289">
        <v>910</v>
      </c>
      <c r="AE2612" s="289">
        <f t="shared" si="451"/>
        <v>0</v>
      </c>
      <c r="AF2612" s="289"/>
      <c r="AG2612" s="289"/>
      <c r="AH2612" s="289"/>
      <c r="AI2612" s="289"/>
      <c r="AJ2612" s="289"/>
      <c r="AK2612" s="289"/>
      <c r="AL2612" s="289"/>
    </row>
    <row r="2613" spans="2:38">
      <c r="B2613" s="273"/>
      <c r="C2613" s="412" t="str">
        <f>IF($C$1="ENG","Graphite","Графіт")</f>
        <v>Графіт</v>
      </c>
      <c r="D2613" s="102">
        <f t="shared" si="449"/>
        <v>1275</v>
      </c>
      <c r="E2613" s="66">
        <f t="shared" si="450"/>
        <v>1530</v>
      </c>
      <c r="F2613" s="26"/>
      <c r="G2613" s="26"/>
      <c r="H2613" s="253"/>
      <c r="L2613" s="105"/>
      <c r="M2613" s="106"/>
      <c r="P2613" s="105"/>
      <c r="Q2613" s="106"/>
      <c r="AC2613" s="289">
        <v>1530</v>
      </c>
      <c r="AD2613" s="289">
        <v>1530</v>
      </c>
      <c r="AE2613" s="289">
        <f t="shared" si="451"/>
        <v>0</v>
      </c>
      <c r="AF2613" s="289"/>
      <c r="AG2613" s="289"/>
      <c r="AH2613" s="289"/>
      <c r="AI2613" s="289"/>
      <c r="AJ2613" s="289"/>
      <c r="AK2613" s="289"/>
      <c r="AL2613" s="289"/>
    </row>
    <row r="2614" spans="2:38">
      <c r="B2614" s="273"/>
      <c r="C2614" s="412" t="str">
        <f>IF($C$1="ENG","Bronze","Бронза")</f>
        <v>Бронза</v>
      </c>
      <c r="D2614" s="102">
        <f t="shared" si="449"/>
        <v>1275</v>
      </c>
      <c r="E2614" s="66">
        <f t="shared" si="450"/>
        <v>1530</v>
      </c>
      <c r="F2614" s="26"/>
      <c r="G2614" s="26"/>
      <c r="H2614" s="253"/>
      <c r="L2614" s="105"/>
      <c r="M2614" s="106"/>
      <c r="P2614" s="105"/>
      <c r="Q2614" s="106"/>
      <c r="AC2614" s="289">
        <v>1530</v>
      </c>
      <c r="AD2614" s="289">
        <v>1530</v>
      </c>
      <c r="AE2614" s="289">
        <f t="shared" si="451"/>
        <v>0</v>
      </c>
      <c r="AF2614" s="289"/>
      <c r="AG2614" s="289"/>
      <c r="AH2614" s="289"/>
      <c r="AI2614" s="289"/>
      <c r="AJ2614" s="289"/>
      <c r="AK2614" s="289"/>
      <c r="AL2614" s="289"/>
    </row>
    <row r="2615" spans="2:38">
      <c r="B2615" s="273"/>
      <c r="C2615" s="412" t="str">
        <f>IF($C$1="ENG","Drawing","Малюнок")</f>
        <v>Малюнок</v>
      </c>
      <c r="D2615" s="102">
        <f t="shared" si="449"/>
        <v>1133.3333333333335</v>
      </c>
      <c r="E2615" s="66">
        <f t="shared" si="450"/>
        <v>1360.0000000000002</v>
      </c>
      <c r="F2615" s="26"/>
      <c r="G2615" s="26"/>
      <c r="H2615" s="253"/>
      <c r="L2615" s="105"/>
      <c r="M2615" s="106"/>
      <c r="P2615" s="105"/>
      <c r="Q2615" s="106"/>
      <c r="AC2615" s="289">
        <v>1360</v>
      </c>
      <c r="AD2615" s="289">
        <v>1360</v>
      </c>
      <c r="AE2615" s="289">
        <f t="shared" si="451"/>
        <v>0</v>
      </c>
      <c r="AF2615" s="289"/>
      <c r="AG2615" s="289"/>
      <c r="AH2615" s="289"/>
      <c r="AI2615" s="289"/>
      <c r="AJ2615" s="289"/>
      <c r="AK2615" s="289"/>
      <c r="AL2615" s="289"/>
    </row>
    <row r="2616" spans="2:38">
      <c r="B2616" s="273"/>
      <c r="C2616" s="412" t="str">
        <f>IF($C$1="ENG","Mirror","Дзеркало")</f>
        <v>Дзеркало</v>
      </c>
      <c r="D2616" s="103">
        <f>IF(AC2616="","",(1-$W$2)*(AC2616/1.2))</f>
        <v>1366.6666666666667</v>
      </c>
      <c r="E2616" s="69">
        <f t="shared" si="450"/>
        <v>1640</v>
      </c>
      <c r="F2616" s="26"/>
      <c r="G2616" s="26"/>
      <c r="H2616" s="253"/>
      <c r="L2616" s="105"/>
      <c r="M2616" s="106"/>
      <c r="P2616" s="105"/>
      <c r="Q2616" s="106"/>
      <c r="AC2616" s="289">
        <v>1640</v>
      </c>
      <c r="AD2616" s="289">
        <v>1640</v>
      </c>
      <c r="AE2616" s="289">
        <f t="shared" si="451"/>
        <v>0</v>
      </c>
      <c r="AF2616" s="289"/>
      <c r="AG2616" s="289"/>
      <c r="AH2616" s="289"/>
      <c r="AI2616" s="289"/>
      <c r="AJ2616" s="289"/>
      <c r="AK2616" s="289"/>
      <c r="AL2616" s="289"/>
    </row>
    <row r="2617" spans="2:38" ht="14.25" customHeight="1">
      <c r="T2617" s="522" t="str">
        <f>IF($C$1="ENG",CONCATENATE("down to: ",B2667),CONCATENATE("вниз до: ",B2667))</f>
        <v>вниз до: Дверні Ручки</v>
      </c>
      <c r="U2617" s="522"/>
      <c r="V2617" s="522"/>
      <c r="W2617" s="522"/>
      <c r="AD2617" s="289" t="e">
        <f t="shared" ref="AD2617:AD2618" si="452">T2617/100*13+T2617</f>
        <v>#VALUE!</v>
      </c>
      <c r="AE2617" s="289" t="e">
        <f t="shared" ref="AE2617:AE2618" si="453">AD2617/T2617-1</f>
        <v>#VALUE!</v>
      </c>
    </row>
    <row r="2618" spans="2:38" ht="14.25" customHeight="1">
      <c r="C2618" s="245"/>
      <c r="D2618" s="26"/>
      <c r="E2618" s="57"/>
      <c r="F2618" s="26"/>
      <c r="G2618" s="26"/>
      <c r="H2618" s="5"/>
      <c r="AD2618" s="289">
        <f t="shared" si="452"/>
        <v>0</v>
      </c>
      <c r="AE2618" s="289" t="e">
        <f t="shared" si="453"/>
        <v>#DIV/0!</v>
      </c>
    </row>
    <row r="2619" spans="2:38" ht="14.25" customHeight="1">
      <c r="C2619" s="245"/>
      <c r="D2619" s="26"/>
      <c r="E2619" s="26"/>
      <c r="F2619" s="26"/>
      <c r="G2619" s="26"/>
      <c r="H2619" s="5"/>
    </row>
    <row r="2620" spans="2:38" ht="14.25" customHeight="1">
      <c r="C2620" s="245"/>
      <c r="D2620" s="26"/>
      <c r="E2620" s="26"/>
      <c r="F2620" s="26"/>
      <c r="G2620" s="26"/>
      <c r="H2620" s="5"/>
    </row>
    <row r="2621" spans="2:38" ht="14.25" customHeight="1">
      <c r="C2621" s="245"/>
      <c r="D2621" s="26"/>
      <c r="E2621" s="26"/>
      <c r="F2621" s="26"/>
      <c r="G2621" s="26"/>
      <c r="H2621" s="5"/>
    </row>
    <row r="2622" spans="2:38" ht="14.25" customHeight="1">
      <c r="C2622" s="245"/>
      <c r="D2622" s="26"/>
      <c r="E2622" s="26"/>
      <c r="F2622" s="26"/>
      <c r="G2622" s="26"/>
      <c r="H2622" s="5"/>
    </row>
    <row r="2623" spans="2:38" ht="14.25" customHeight="1">
      <c r="C2623" s="245"/>
      <c r="D2623" s="26"/>
      <c r="E2623" s="26"/>
      <c r="F2623" s="26"/>
      <c r="G2623" s="26"/>
      <c r="H2623" s="5"/>
    </row>
    <row r="2624" spans="2:38" ht="14.25" customHeight="1">
      <c r="C2624" s="245"/>
      <c r="D2624" s="26"/>
      <c r="E2624" s="26"/>
      <c r="F2624" s="26"/>
      <c r="G2624" s="26"/>
      <c r="H2624" s="5"/>
    </row>
    <row r="2625" spans="3:8" ht="14.25" customHeight="1">
      <c r="C2625" s="245"/>
      <c r="D2625" s="26"/>
      <c r="E2625" s="26"/>
      <c r="F2625" s="26"/>
      <c r="G2625" s="26"/>
      <c r="H2625" s="5"/>
    </row>
    <row r="2626" spans="3:8" ht="14.25" customHeight="1">
      <c r="C2626" s="245"/>
      <c r="D2626" s="26"/>
      <c r="E2626" s="26"/>
      <c r="F2626" s="26"/>
      <c r="G2626" s="26"/>
      <c r="H2626" s="5"/>
    </row>
    <row r="2627" spans="3:8" ht="14.25" customHeight="1">
      <c r="C2627" s="245"/>
      <c r="D2627" s="26"/>
      <c r="E2627" s="26"/>
      <c r="F2627" s="26"/>
      <c r="G2627" s="26"/>
      <c r="H2627" s="5"/>
    </row>
    <row r="2628" spans="3:8" ht="14.25" customHeight="1">
      <c r="C2628" s="245"/>
      <c r="D2628" s="26"/>
      <c r="E2628" s="26"/>
      <c r="F2628" s="26"/>
      <c r="G2628" s="26"/>
      <c r="H2628" s="5"/>
    </row>
    <row r="2629" spans="3:8" ht="14.25" customHeight="1">
      <c r="C2629" s="245"/>
      <c r="D2629" s="26"/>
      <c r="E2629" s="26"/>
      <c r="F2629" s="26"/>
      <c r="G2629" s="26"/>
      <c r="H2629" s="5"/>
    </row>
    <row r="2630" spans="3:8" ht="14.25" customHeight="1">
      <c r="C2630" s="245"/>
      <c r="D2630" s="26"/>
      <c r="E2630" s="26"/>
      <c r="F2630" s="26"/>
      <c r="G2630" s="26"/>
      <c r="H2630" s="5"/>
    </row>
    <row r="2631" spans="3:8" ht="14.25" customHeight="1">
      <c r="C2631" s="245"/>
      <c r="D2631" s="26"/>
      <c r="E2631" s="26"/>
      <c r="F2631" s="26"/>
      <c r="G2631" s="26"/>
      <c r="H2631" s="5"/>
    </row>
    <row r="2632" spans="3:8" ht="14.25" customHeight="1">
      <c r="C2632" s="245"/>
      <c r="D2632" s="26"/>
      <c r="E2632" s="26"/>
      <c r="F2632" s="26"/>
      <c r="G2632" s="26"/>
      <c r="H2632" s="5"/>
    </row>
    <row r="2633" spans="3:8" ht="14.25" customHeight="1">
      <c r="C2633" s="245"/>
      <c r="D2633" s="26"/>
      <c r="E2633" s="26"/>
      <c r="F2633" s="26"/>
      <c r="G2633" s="26"/>
      <c r="H2633" s="5"/>
    </row>
    <row r="2634" spans="3:8" ht="14.25" customHeight="1">
      <c r="C2634" s="245"/>
      <c r="D2634" s="26"/>
      <c r="E2634" s="26"/>
      <c r="F2634" s="26"/>
      <c r="G2634" s="26"/>
      <c r="H2634" s="5"/>
    </row>
    <row r="2635" spans="3:8" ht="14.25" customHeight="1">
      <c r="C2635" s="245"/>
      <c r="D2635" s="26"/>
      <c r="E2635" s="26"/>
      <c r="F2635" s="26"/>
      <c r="G2635" s="26"/>
      <c r="H2635" s="5"/>
    </row>
    <row r="2636" spans="3:8" ht="14.25" customHeight="1">
      <c r="C2636" s="245"/>
      <c r="D2636" s="26"/>
      <c r="E2636" s="26"/>
      <c r="F2636" s="26"/>
      <c r="G2636" s="26"/>
      <c r="H2636" s="5"/>
    </row>
    <row r="2637" spans="3:8" ht="14.25" customHeight="1">
      <c r="C2637" s="245"/>
      <c r="D2637" s="26"/>
      <c r="E2637" s="26"/>
      <c r="F2637" s="26"/>
      <c r="G2637" s="26"/>
      <c r="H2637" s="5"/>
    </row>
    <row r="2638" spans="3:8" ht="14.25" customHeight="1">
      <c r="C2638" s="245"/>
      <c r="D2638" s="26"/>
      <c r="E2638" s="26"/>
      <c r="F2638" s="26"/>
      <c r="G2638" s="26"/>
      <c r="H2638" s="5"/>
    </row>
    <row r="2639" spans="3:8" ht="14.25" customHeight="1">
      <c r="C2639" s="245"/>
      <c r="D2639" s="26"/>
      <c r="E2639" s="26"/>
      <c r="F2639" s="26"/>
      <c r="G2639" s="26"/>
      <c r="H2639" s="5"/>
    </row>
    <row r="2640" spans="3:8" ht="14.25" customHeight="1">
      <c r="C2640" s="245"/>
      <c r="D2640" s="26"/>
      <c r="E2640" s="26"/>
      <c r="F2640" s="26"/>
      <c r="G2640" s="26"/>
      <c r="H2640" s="5"/>
    </row>
    <row r="2641" spans="3:8" ht="14.25" customHeight="1">
      <c r="C2641" s="245"/>
      <c r="D2641" s="26"/>
      <c r="E2641" s="26"/>
      <c r="F2641" s="26"/>
      <c r="G2641" s="26"/>
      <c r="H2641" s="5"/>
    </row>
    <row r="2642" spans="3:8" ht="14.25" customHeight="1">
      <c r="C2642" s="245"/>
      <c r="D2642" s="26"/>
      <c r="E2642" s="26"/>
      <c r="F2642" s="26"/>
      <c r="G2642" s="26"/>
      <c r="H2642" s="5"/>
    </row>
    <row r="2643" spans="3:8" ht="14.25" customHeight="1">
      <c r="C2643" s="245"/>
      <c r="D2643" s="26"/>
      <c r="E2643" s="26"/>
      <c r="F2643" s="26"/>
      <c r="G2643" s="26"/>
      <c r="H2643" s="5"/>
    </row>
    <row r="2644" spans="3:8" ht="14.25" customHeight="1">
      <c r="C2644" s="245"/>
      <c r="D2644" s="26"/>
      <c r="E2644" s="26"/>
      <c r="F2644" s="26"/>
      <c r="G2644" s="26"/>
      <c r="H2644" s="5"/>
    </row>
    <row r="2645" spans="3:8" ht="14.25" customHeight="1">
      <c r="C2645" s="245"/>
      <c r="D2645" s="26"/>
      <c r="E2645" s="26"/>
      <c r="F2645" s="26"/>
      <c r="G2645" s="26"/>
      <c r="H2645" s="5"/>
    </row>
    <row r="2646" spans="3:8" ht="14.25" customHeight="1">
      <c r="C2646" s="245"/>
      <c r="D2646" s="26"/>
      <c r="E2646" s="26"/>
      <c r="F2646" s="26"/>
      <c r="G2646" s="26"/>
      <c r="H2646" s="5"/>
    </row>
    <row r="2647" spans="3:8" ht="14.25" customHeight="1">
      <c r="C2647" s="245"/>
      <c r="D2647" s="26"/>
      <c r="E2647" s="26"/>
      <c r="F2647" s="26"/>
      <c r="G2647" s="26"/>
      <c r="H2647" s="5"/>
    </row>
    <row r="2648" spans="3:8" ht="14.25" customHeight="1">
      <c r="C2648" s="245"/>
      <c r="D2648" s="26"/>
      <c r="E2648" s="26"/>
      <c r="F2648" s="26"/>
      <c r="G2648" s="26"/>
      <c r="H2648" s="5"/>
    </row>
    <row r="2649" spans="3:8" ht="14.25" customHeight="1">
      <c r="C2649" s="245"/>
      <c r="D2649" s="26"/>
      <c r="E2649" s="26"/>
      <c r="F2649" s="26"/>
      <c r="G2649" s="26"/>
      <c r="H2649" s="5"/>
    </row>
    <row r="2650" spans="3:8" ht="14.25" customHeight="1">
      <c r="C2650" s="245"/>
      <c r="D2650" s="26"/>
      <c r="E2650" s="26"/>
      <c r="F2650" s="26"/>
      <c r="G2650" s="26"/>
      <c r="H2650" s="5"/>
    </row>
    <row r="2651" spans="3:8" ht="14.25" customHeight="1">
      <c r="C2651" s="245"/>
      <c r="D2651" s="26"/>
      <c r="E2651" s="26"/>
      <c r="F2651" s="26"/>
      <c r="G2651" s="26"/>
      <c r="H2651" s="5"/>
    </row>
    <row r="2652" spans="3:8" ht="14.25" customHeight="1">
      <c r="C2652" s="245"/>
      <c r="D2652" s="26"/>
      <c r="E2652" s="26"/>
      <c r="F2652" s="26"/>
      <c r="G2652" s="26"/>
      <c r="H2652" s="5"/>
    </row>
    <row r="2653" spans="3:8" ht="14.25" customHeight="1">
      <c r="C2653" s="245"/>
      <c r="D2653" s="26"/>
      <c r="E2653" s="26"/>
      <c r="F2653" s="26"/>
      <c r="G2653" s="26"/>
      <c r="H2653" s="5"/>
    </row>
    <row r="2654" spans="3:8" ht="14.25" customHeight="1">
      <c r="C2654" s="245"/>
      <c r="D2654" s="26"/>
      <c r="E2654" s="26"/>
      <c r="F2654" s="26"/>
      <c r="G2654" s="26"/>
      <c r="H2654" s="5"/>
    </row>
    <row r="2655" spans="3:8" ht="14.25" customHeight="1">
      <c r="C2655" s="245"/>
      <c r="D2655" s="26"/>
      <c r="E2655" s="26"/>
      <c r="F2655" s="26"/>
      <c r="G2655" s="26"/>
      <c r="H2655" s="5"/>
    </row>
    <row r="2656" spans="3:8" ht="14.25" customHeight="1">
      <c r="C2656" s="245"/>
      <c r="D2656" s="26"/>
      <c r="E2656" s="26"/>
      <c r="F2656" s="26"/>
      <c r="G2656" s="26"/>
      <c r="H2656" s="5"/>
    </row>
    <row r="2657" spans="1:46" ht="14.25" customHeight="1">
      <c r="C2657" s="245"/>
      <c r="D2657" s="26"/>
      <c r="E2657" s="26"/>
      <c r="F2657" s="26"/>
      <c r="G2657" s="26"/>
      <c r="H2657" s="5"/>
    </row>
    <row r="2658" spans="1:46" ht="14.25" customHeight="1">
      <c r="C2658" s="245"/>
      <c r="D2658" s="26"/>
      <c r="E2658" s="26"/>
      <c r="F2658" s="26"/>
      <c r="G2658" s="26"/>
      <c r="H2658" s="5"/>
    </row>
    <row r="2659" spans="1:46" ht="14.25" customHeight="1">
      <c r="C2659" s="245"/>
      <c r="D2659" s="26"/>
      <c r="E2659" s="26"/>
      <c r="F2659" s="26"/>
      <c r="G2659" s="26"/>
      <c r="H2659" s="5"/>
    </row>
    <row r="2660" spans="1:46" ht="14.25" customHeight="1">
      <c r="C2660" s="245"/>
      <c r="D2660" s="26"/>
      <c r="E2660" s="26"/>
      <c r="F2660" s="26"/>
      <c r="G2660" s="26"/>
      <c r="H2660" s="5"/>
    </row>
    <row r="2661" spans="1:46" ht="14.25" customHeight="1">
      <c r="C2661" s="245"/>
      <c r="D2661" s="26"/>
      <c r="E2661" s="26"/>
      <c r="F2661" s="26"/>
      <c r="G2661" s="26"/>
      <c r="H2661" s="5"/>
    </row>
    <row r="2662" spans="1:46" ht="14.25" customHeight="1">
      <c r="C2662" s="245"/>
      <c r="D2662" s="26"/>
      <c r="E2662" s="26"/>
      <c r="F2662" s="26"/>
      <c r="G2662" s="26"/>
      <c r="H2662" s="5"/>
    </row>
    <row r="2663" spans="1:46" ht="14.25" customHeight="1">
      <c r="C2663" s="245"/>
      <c r="D2663" s="26"/>
      <c r="E2663" s="26"/>
      <c r="F2663" s="26"/>
      <c r="G2663" s="26"/>
      <c r="H2663" s="5"/>
    </row>
    <row r="2664" spans="1:46" ht="14.25" customHeight="1">
      <c r="C2664" s="245"/>
      <c r="D2664" s="26"/>
      <c r="E2664" s="26"/>
      <c r="F2664" s="26"/>
      <c r="G2664" s="26"/>
      <c r="H2664" s="5"/>
    </row>
    <row r="2665" spans="1:46" ht="14.25" customHeight="1">
      <c r="C2665" s="245"/>
      <c r="D2665" s="26"/>
      <c r="E2665" s="26"/>
      <c r="F2665" s="26"/>
      <c r="G2665" s="26"/>
      <c r="H2665" s="5"/>
    </row>
    <row r="2666" spans="1:46" ht="14.25" customHeight="1">
      <c r="C2666" s="245"/>
      <c r="D2666" s="26"/>
      <c r="E2666" s="26"/>
      <c r="F2666" s="26"/>
      <c r="G2666" s="26"/>
      <c r="H2666" s="5"/>
    </row>
    <row r="2667" spans="1:46" s="8" customFormat="1" ht="14.25" customHeight="1">
      <c r="B2667" s="493" t="str">
        <f>TITLE!C51</f>
        <v>Дверні Ручки</v>
      </c>
      <c r="C2667" s="494"/>
      <c r="D2667" s="118"/>
      <c r="E2667" s="118"/>
      <c r="F2667" s="118"/>
      <c r="G2667" s="118"/>
      <c r="H2667" s="118"/>
      <c r="I2667" s="121"/>
      <c r="J2667" s="121"/>
      <c r="K2667" s="121"/>
      <c r="L2667" s="121"/>
      <c r="M2667" s="121"/>
      <c r="N2667" s="121"/>
      <c r="O2667" s="121"/>
      <c r="P2667" s="121"/>
      <c r="Q2667" s="121"/>
      <c r="R2667" s="121"/>
      <c r="S2667" s="121"/>
      <c r="T2667" s="497" t="str">
        <f>IF($C$1="ENG",CONCATENATE("up to: ",B2589),CONCATENATE("вгору до: ",B2589))</f>
        <v>вгору до: Фрамуги</v>
      </c>
      <c r="U2667" s="497"/>
      <c r="V2667" s="497"/>
      <c r="W2667" s="497"/>
      <c r="AC2667" s="1"/>
      <c r="AN2667" s="280"/>
      <c r="AO2667" s="280"/>
      <c r="AP2667" s="280"/>
      <c r="AQ2667" s="280"/>
      <c r="AR2667" s="280"/>
      <c r="AS2667" s="280"/>
      <c r="AT2667" s="280"/>
    </row>
    <row r="2668" spans="1:46" s="8" customFormat="1" ht="5.0999999999999996" customHeight="1">
      <c r="C2668" s="424"/>
      <c r="L2668" s="48"/>
      <c r="M2668" s="48"/>
      <c r="N2668" s="48"/>
      <c r="O2668" s="48"/>
      <c r="P2668" s="48"/>
      <c r="Q2668" s="48"/>
      <c r="R2668" s="48"/>
      <c r="S2668" s="48"/>
      <c r="T2668" s="115"/>
      <c r="U2668" s="115"/>
      <c r="V2668" s="115"/>
      <c r="W2668" s="115"/>
      <c r="AN2668" s="280"/>
      <c r="AO2668" s="280"/>
      <c r="AP2668" s="280"/>
      <c r="AQ2668" s="280"/>
      <c r="AR2668" s="280"/>
      <c r="AS2668" s="280"/>
      <c r="AT2668" s="280"/>
    </row>
    <row r="2669" spans="1:46" ht="33.75" customHeight="1">
      <c r="A2669" s="8"/>
      <c r="B2669" s="61" t="str">
        <f>IF($C$1="ENG","model","модель")</f>
        <v>модель</v>
      </c>
      <c r="C2669" s="435"/>
      <c r="D2669" s="532" t="str">
        <f>IF($C$1="ENG","cat. options","див. каталог")</f>
        <v>див. каталог</v>
      </c>
      <c r="E2669" s="533"/>
      <c r="J2669" s="48"/>
      <c r="K2669" s="48"/>
      <c r="L2669" s="47"/>
      <c r="M2669" s="47"/>
      <c r="N2669" s="47"/>
      <c r="O2669" s="47"/>
      <c r="P2669" s="47"/>
      <c r="Q2669" s="47"/>
      <c r="R2669" s="47"/>
      <c r="S2669" s="47"/>
    </row>
    <row r="2670" spans="1:46" ht="34.5" customHeight="1">
      <c r="A2670" s="8"/>
      <c r="B2670" s="13" t="str">
        <f>IF($C$1="ENG","Door handle VERONA","Ручка VERONA")</f>
        <v>Ручка VERONA</v>
      </c>
      <c r="C2670" s="436"/>
      <c r="D2670" s="15">
        <f>IF(AC2670="","",(1-$W$2)*(AC2670/1.2))</f>
        <v>2666.666666666667</v>
      </c>
      <c r="E2670" s="64">
        <f>IF($W$5=0.2,D2670*1.2,D2670)/$W$4</f>
        <v>3200.0000000000005</v>
      </c>
      <c r="L2670" s="28"/>
      <c r="M2670" s="59"/>
      <c r="N2670" s="28"/>
      <c r="O2670" s="29"/>
      <c r="P2670" s="28"/>
      <c r="Q2670" s="59"/>
      <c r="R2670" s="28"/>
      <c r="S2670" s="29"/>
      <c r="T2670" s="42"/>
      <c r="U2670" s="30"/>
      <c r="W2670" s="20"/>
      <c r="X2670" s="22"/>
      <c r="Y2670" s="22"/>
      <c r="Z2670" s="22"/>
      <c r="AA2670" s="22"/>
      <c r="AB2670" s="22"/>
      <c r="AC2670" s="298">
        <v>3200</v>
      </c>
      <c r="AD2670" s="1">
        <v>3260</v>
      </c>
      <c r="AE2670" s="1">
        <f>AD2670/AC2670-1</f>
        <v>1.8750000000000044E-2</v>
      </c>
      <c r="AF2670" s="289"/>
      <c r="AG2670" s="289"/>
      <c r="AH2670" s="289"/>
      <c r="AI2670" s="289"/>
      <c r="AJ2670" s="289"/>
      <c r="AK2670" s="289"/>
      <c r="AL2670" s="289"/>
    </row>
    <row r="2671" spans="1:46" ht="34.5" customHeight="1">
      <c r="A2671" s="8"/>
      <c r="B2671" s="16" t="str">
        <f>IF($C$1="ENG","Door handle MILANO","Ручка MILANO")</f>
        <v>Ручка MILANO</v>
      </c>
      <c r="C2671" s="437"/>
      <c r="D2671" s="18">
        <f>IF(AC2671="","",(1-$W$2)*(AC2671/1.2))</f>
        <v>2666.666666666667</v>
      </c>
      <c r="E2671" s="66">
        <f>IF($W$5=0.2,D2671*1.2,D2671)/$W$4</f>
        <v>3200.0000000000005</v>
      </c>
      <c r="L2671" s="28"/>
      <c r="M2671" s="59"/>
      <c r="N2671" s="28"/>
      <c r="O2671" s="29"/>
      <c r="P2671" s="28"/>
      <c r="Q2671" s="59"/>
      <c r="R2671" s="28"/>
      <c r="S2671" s="29"/>
      <c r="T2671" s="42"/>
      <c r="U2671" s="30"/>
      <c r="W2671" s="30"/>
      <c r="AC2671" s="298">
        <v>3200</v>
      </c>
      <c r="AD2671" s="1">
        <v>3260</v>
      </c>
      <c r="AE2671" s="1">
        <f t="shared" ref="AE2671:AE2674" si="454">AD2671/AC2671-1</f>
        <v>1.8750000000000044E-2</v>
      </c>
      <c r="AF2671" s="289"/>
      <c r="AG2671" s="289"/>
      <c r="AH2671" s="289"/>
      <c r="AI2671" s="289"/>
      <c r="AJ2671" s="289"/>
      <c r="AK2671" s="289"/>
      <c r="AL2671" s="289"/>
    </row>
    <row r="2672" spans="1:46" ht="34.5" customHeight="1">
      <c r="B2672" s="16" t="str">
        <f>IF($C$1="ENG","Door handle HANDY","Ручка HANDY")</f>
        <v>Ручка HANDY</v>
      </c>
      <c r="C2672" s="437"/>
      <c r="D2672" s="109">
        <f>IF(AC2672="","",(1-$W$2)*(AC2672/1.2))</f>
        <v>1300</v>
      </c>
      <c r="E2672" s="66">
        <f>IF($W$5=0.2,D2672*1.2,D2672)/$W$4</f>
        <v>1560</v>
      </c>
      <c r="L2672" s="28"/>
      <c r="N2672" s="28"/>
      <c r="P2672" s="28"/>
      <c r="R2672" s="28"/>
      <c r="AC2672" s="298">
        <v>1560</v>
      </c>
      <c r="AD2672" s="1">
        <v>1560</v>
      </c>
      <c r="AE2672" s="1">
        <f t="shared" si="454"/>
        <v>0</v>
      </c>
      <c r="AF2672" s="289"/>
      <c r="AG2672" s="289"/>
      <c r="AH2672" s="289"/>
      <c r="AI2672" s="289"/>
      <c r="AJ2672" s="289"/>
      <c r="AK2672" s="289"/>
      <c r="AL2672" s="289"/>
    </row>
    <row r="2673" spans="1:38" ht="34.5" customHeight="1">
      <c r="A2673" s="8"/>
      <c r="B2673" s="16" t="str">
        <f>IF($C$1="ENG","Door handle PRIUS","Ручка PRIUS")</f>
        <v>Ручка PRIUS</v>
      </c>
      <c r="C2673" s="437"/>
      <c r="D2673" s="18">
        <f>IF(AC2673="","",(1-$W$2)*(AC2673/1.2))</f>
        <v>1300</v>
      </c>
      <c r="E2673" s="66">
        <f>IF($W$5=0.2,D2673*1.2,D2673)/$W$4</f>
        <v>1560</v>
      </c>
      <c r="L2673" s="28"/>
      <c r="N2673" s="28"/>
      <c r="O2673" s="29"/>
      <c r="P2673" s="28"/>
      <c r="R2673" s="28"/>
      <c r="S2673" s="29"/>
      <c r="T2673" s="42"/>
      <c r="U2673" s="30"/>
      <c r="W2673" s="30"/>
      <c r="AC2673" s="298">
        <v>1560</v>
      </c>
      <c r="AD2673" s="1">
        <v>1560</v>
      </c>
      <c r="AE2673" s="1">
        <f t="shared" si="454"/>
        <v>0</v>
      </c>
      <c r="AF2673" s="289"/>
      <c r="AG2673" s="289"/>
      <c r="AH2673" s="289"/>
      <c r="AI2673" s="289"/>
      <c r="AJ2673" s="289"/>
      <c r="AK2673" s="289"/>
      <c r="AL2673" s="289"/>
    </row>
    <row r="2674" spans="1:38" ht="34.5" customHeight="1">
      <c r="B2674" s="23" t="str">
        <f>IF($C$1="ENG","Door handle OFFICE","Ручка OFFICE")</f>
        <v>Ручка OFFICE</v>
      </c>
      <c r="C2674" s="438"/>
      <c r="D2674" s="25">
        <f>IF(AC2674="","",(1-$W$2)*(AC2674/1.2))</f>
        <v>625</v>
      </c>
      <c r="E2674" s="69">
        <f>IF($W$5=0.2,D2674*1.2,D2674)/$W$4</f>
        <v>750</v>
      </c>
      <c r="L2674" s="28"/>
      <c r="P2674" s="28"/>
      <c r="AC2674" s="298">
        <v>750</v>
      </c>
      <c r="AD2674" s="1">
        <v>750</v>
      </c>
      <c r="AE2674" s="1">
        <f t="shared" si="454"/>
        <v>0</v>
      </c>
      <c r="AF2674" s="289"/>
      <c r="AG2674" s="289"/>
      <c r="AH2674" s="289"/>
      <c r="AI2674" s="289"/>
      <c r="AJ2674" s="289"/>
      <c r="AK2674" s="289"/>
      <c r="AL2674" s="289"/>
    </row>
    <row r="2675" spans="1:38" ht="14.25" customHeight="1">
      <c r="T2675" s="488" t="str">
        <f>IF($C$1="ENG",CONCATENATE("down to: ",B2725),CONCATENATE("вниз до: ",B2725))</f>
        <v>вниз до: Інші Аксесуари</v>
      </c>
      <c r="U2675" s="488"/>
      <c r="V2675" s="488"/>
      <c r="W2675" s="488"/>
    </row>
    <row r="2676" spans="1:38" ht="14.25" customHeight="1">
      <c r="C2676" s="245"/>
      <c r="D2676" s="26"/>
      <c r="E2676" s="26"/>
      <c r="F2676" s="26"/>
      <c r="G2676" s="26"/>
      <c r="H2676" s="5"/>
    </row>
    <row r="2677" spans="1:38" ht="14.25" customHeight="1">
      <c r="C2677" s="245"/>
      <c r="D2677" s="26"/>
      <c r="E2677" s="26"/>
      <c r="F2677" s="26"/>
      <c r="G2677" s="26"/>
      <c r="H2677" s="5"/>
    </row>
    <row r="2678" spans="1:38" ht="14.25" customHeight="1">
      <c r="C2678" s="245"/>
      <c r="D2678" s="26"/>
      <c r="E2678" s="26"/>
      <c r="F2678" s="26"/>
      <c r="G2678" s="26"/>
      <c r="H2678" s="5"/>
    </row>
    <row r="2679" spans="1:38" ht="14.25" customHeight="1">
      <c r="C2679" s="245"/>
      <c r="D2679" s="26"/>
      <c r="E2679" s="26"/>
      <c r="F2679" s="26"/>
      <c r="G2679" s="26"/>
      <c r="H2679" s="5"/>
    </row>
    <row r="2680" spans="1:38" ht="14.25" customHeight="1">
      <c r="C2680" s="245"/>
      <c r="D2680" s="26"/>
      <c r="E2680" s="26"/>
      <c r="F2680" s="26"/>
      <c r="G2680" s="26"/>
      <c r="H2680" s="5"/>
    </row>
    <row r="2681" spans="1:38" ht="14.25" customHeight="1">
      <c r="C2681" s="245"/>
      <c r="D2681" s="26"/>
      <c r="E2681" s="26"/>
      <c r="F2681" s="26"/>
      <c r="G2681" s="26"/>
      <c r="H2681" s="5"/>
    </row>
    <row r="2682" spans="1:38" ht="14.25" customHeight="1">
      <c r="C2682" s="245"/>
      <c r="D2682" s="26"/>
      <c r="E2682" s="26"/>
      <c r="F2682" s="26"/>
      <c r="G2682" s="26"/>
      <c r="H2682" s="5"/>
    </row>
    <row r="2683" spans="1:38" ht="14.25" customHeight="1">
      <c r="C2683" s="245"/>
      <c r="D2683" s="26"/>
      <c r="E2683" s="26"/>
      <c r="F2683" s="26"/>
      <c r="G2683" s="26"/>
      <c r="H2683" s="5"/>
    </row>
    <row r="2684" spans="1:38" ht="14.25" customHeight="1">
      <c r="C2684" s="245"/>
      <c r="D2684" s="26"/>
      <c r="E2684" s="26"/>
      <c r="F2684" s="26"/>
      <c r="G2684" s="26"/>
      <c r="H2684" s="5"/>
    </row>
    <row r="2685" spans="1:38" ht="14.25" customHeight="1">
      <c r="C2685" s="245"/>
      <c r="D2685" s="26"/>
      <c r="E2685" s="26"/>
      <c r="F2685" s="26"/>
      <c r="G2685" s="26"/>
      <c r="H2685" s="5"/>
    </row>
    <row r="2686" spans="1:38" ht="14.25" customHeight="1">
      <c r="C2686" s="245"/>
      <c r="D2686" s="26"/>
      <c r="E2686" s="26"/>
      <c r="F2686" s="26"/>
      <c r="G2686" s="26"/>
      <c r="H2686" s="5"/>
    </row>
    <row r="2687" spans="1:38" ht="14.25" customHeight="1">
      <c r="C2687" s="245"/>
      <c r="D2687" s="26"/>
      <c r="E2687" s="26"/>
      <c r="F2687" s="26"/>
      <c r="G2687" s="26"/>
      <c r="H2687" s="5"/>
    </row>
    <row r="2688" spans="1:38" ht="14.25" customHeight="1">
      <c r="C2688" s="245"/>
      <c r="D2688" s="26"/>
      <c r="E2688" s="26"/>
      <c r="F2688" s="26"/>
      <c r="G2688" s="26"/>
      <c r="H2688" s="5"/>
    </row>
    <row r="2689" spans="3:8" ht="14.25" customHeight="1">
      <c r="C2689" s="245"/>
      <c r="D2689" s="26"/>
      <c r="E2689" s="26"/>
      <c r="F2689" s="26"/>
      <c r="G2689" s="26"/>
      <c r="H2689" s="5"/>
    </row>
    <row r="2690" spans="3:8" ht="14.25" customHeight="1">
      <c r="C2690" s="245"/>
      <c r="D2690" s="26"/>
      <c r="E2690" s="26"/>
      <c r="F2690" s="26"/>
      <c r="G2690" s="26"/>
      <c r="H2690" s="5"/>
    </row>
    <row r="2691" spans="3:8" ht="14.25" customHeight="1">
      <c r="C2691" s="245"/>
      <c r="D2691" s="26"/>
      <c r="E2691" s="26"/>
      <c r="F2691" s="26"/>
      <c r="G2691" s="26"/>
      <c r="H2691" s="5"/>
    </row>
    <row r="2692" spans="3:8" ht="14.25" customHeight="1">
      <c r="C2692" s="245"/>
      <c r="D2692" s="26"/>
      <c r="E2692" s="26"/>
      <c r="F2692" s="26"/>
      <c r="G2692" s="26"/>
      <c r="H2692" s="5"/>
    </row>
    <row r="2693" spans="3:8" ht="14.25" customHeight="1">
      <c r="C2693" s="245"/>
      <c r="D2693" s="26"/>
      <c r="E2693" s="26"/>
      <c r="F2693" s="26"/>
      <c r="G2693" s="26"/>
      <c r="H2693" s="5"/>
    </row>
    <row r="2694" spans="3:8" ht="14.25" customHeight="1">
      <c r="C2694" s="245"/>
      <c r="D2694" s="26"/>
      <c r="E2694" s="26"/>
      <c r="F2694" s="26"/>
      <c r="G2694" s="26"/>
      <c r="H2694" s="5"/>
    </row>
    <row r="2695" spans="3:8" ht="14.25" customHeight="1">
      <c r="C2695" s="245"/>
      <c r="D2695" s="26"/>
      <c r="E2695" s="26"/>
      <c r="F2695" s="26"/>
      <c r="G2695" s="26"/>
      <c r="H2695" s="5"/>
    </row>
    <row r="2696" spans="3:8" ht="14.25" customHeight="1">
      <c r="C2696" s="245"/>
      <c r="D2696" s="26"/>
      <c r="E2696" s="26"/>
      <c r="F2696" s="26"/>
      <c r="G2696" s="26"/>
      <c r="H2696" s="5"/>
    </row>
    <row r="2697" spans="3:8" ht="14.25" customHeight="1">
      <c r="C2697" s="245"/>
      <c r="D2697" s="26"/>
      <c r="E2697" s="26"/>
      <c r="F2697" s="26"/>
      <c r="G2697" s="26"/>
      <c r="H2697" s="5"/>
    </row>
    <row r="2698" spans="3:8" ht="14.25" customHeight="1">
      <c r="C2698" s="245"/>
      <c r="D2698" s="26"/>
      <c r="E2698" s="26"/>
      <c r="F2698" s="26"/>
      <c r="G2698" s="26"/>
      <c r="H2698" s="5"/>
    </row>
    <row r="2699" spans="3:8" ht="14.25" customHeight="1">
      <c r="C2699" s="245"/>
      <c r="D2699" s="26"/>
      <c r="E2699" s="26"/>
      <c r="F2699" s="26"/>
      <c r="G2699" s="26"/>
      <c r="H2699" s="5"/>
    </row>
    <row r="2700" spans="3:8" ht="14.25" customHeight="1">
      <c r="C2700" s="245"/>
      <c r="D2700" s="26"/>
      <c r="E2700" s="26"/>
      <c r="F2700" s="26"/>
      <c r="G2700" s="26"/>
      <c r="H2700" s="5"/>
    </row>
    <row r="2701" spans="3:8" ht="14.25" customHeight="1">
      <c r="C2701" s="245"/>
      <c r="D2701" s="26"/>
      <c r="E2701" s="26"/>
      <c r="F2701" s="26"/>
      <c r="G2701" s="26"/>
      <c r="H2701" s="5"/>
    </row>
    <row r="2702" spans="3:8" ht="14.25" customHeight="1">
      <c r="C2702" s="245"/>
      <c r="D2702" s="26"/>
      <c r="E2702" s="26"/>
      <c r="F2702" s="26"/>
      <c r="G2702" s="26"/>
      <c r="H2702" s="5"/>
    </row>
    <row r="2703" spans="3:8" ht="14.25" customHeight="1">
      <c r="C2703" s="245"/>
      <c r="D2703" s="26"/>
      <c r="E2703" s="26"/>
      <c r="F2703" s="26"/>
      <c r="G2703" s="26"/>
      <c r="H2703" s="5"/>
    </row>
    <row r="2704" spans="3:8" ht="14.25" customHeight="1">
      <c r="C2704" s="245"/>
      <c r="D2704" s="26"/>
      <c r="E2704" s="26"/>
      <c r="F2704" s="26"/>
      <c r="G2704" s="26"/>
      <c r="H2704" s="5"/>
    </row>
    <row r="2705" spans="3:8" ht="14.25" customHeight="1">
      <c r="C2705" s="245"/>
      <c r="D2705" s="26"/>
      <c r="E2705" s="26"/>
      <c r="F2705" s="26"/>
      <c r="G2705" s="26"/>
      <c r="H2705" s="5"/>
    </row>
    <row r="2706" spans="3:8" ht="14.25" customHeight="1">
      <c r="C2706" s="245"/>
      <c r="D2706" s="26"/>
      <c r="E2706" s="26"/>
      <c r="F2706" s="26"/>
      <c r="G2706" s="26"/>
      <c r="H2706" s="5"/>
    </row>
    <row r="2707" spans="3:8" ht="14.25" customHeight="1">
      <c r="C2707" s="245"/>
      <c r="D2707" s="26"/>
      <c r="E2707" s="26"/>
      <c r="F2707" s="26"/>
      <c r="G2707" s="26"/>
      <c r="H2707" s="5"/>
    </row>
    <row r="2708" spans="3:8" ht="14.25" customHeight="1">
      <c r="C2708" s="245"/>
      <c r="D2708" s="26"/>
      <c r="E2708" s="26"/>
      <c r="F2708" s="26"/>
      <c r="G2708" s="26"/>
      <c r="H2708" s="5"/>
    </row>
    <row r="2709" spans="3:8" ht="14.25" customHeight="1">
      <c r="C2709" s="245"/>
      <c r="D2709" s="26"/>
      <c r="E2709" s="26"/>
      <c r="F2709" s="26"/>
      <c r="G2709" s="26"/>
      <c r="H2709" s="5"/>
    </row>
    <row r="2710" spans="3:8" ht="14.25" customHeight="1">
      <c r="C2710" s="245"/>
      <c r="D2710" s="26"/>
      <c r="E2710" s="26"/>
      <c r="F2710" s="26"/>
      <c r="G2710" s="26"/>
      <c r="H2710" s="5"/>
    </row>
    <row r="2711" spans="3:8" ht="14.25" customHeight="1">
      <c r="C2711" s="245"/>
      <c r="D2711" s="26"/>
      <c r="E2711" s="26"/>
      <c r="F2711" s="26"/>
      <c r="G2711" s="26"/>
      <c r="H2711" s="5"/>
    </row>
    <row r="2712" spans="3:8" ht="14.25" customHeight="1">
      <c r="C2712" s="245"/>
      <c r="D2712" s="26"/>
      <c r="E2712" s="26"/>
      <c r="F2712" s="26"/>
      <c r="G2712" s="26"/>
      <c r="H2712" s="5"/>
    </row>
    <row r="2713" spans="3:8" ht="14.25" customHeight="1">
      <c r="C2713" s="245"/>
      <c r="D2713" s="26"/>
      <c r="E2713" s="26"/>
      <c r="F2713" s="26"/>
      <c r="G2713" s="26"/>
      <c r="H2713" s="5"/>
    </row>
    <row r="2714" spans="3:8" ht="14.25" customHeight="1">
      <c r="C2714" s="245"/>
      <c r="D2714" s="26"/>
      <c r="E2714" s="26"/>
      <c r="F2714" s="26"/>
      <c r="G2714" s="26"/>
      <c r="H2714" s="5"/>
    </row>
    <row r="2715" spans="3:8" ht="14.25" customHeight="1">
      <c r="C2715" s="245"/>
      <c r="D2715" s="26"/>
      <c r="E2715" s="26"/>
      <c r="F2715" s="26"/>
      <c r="G2715" s="26"/>
      <c r="H2715" s="5"/>
    </row>
    <row r="2716" spans="3:8" ht="14.25" customHeight="1">
      <c r="C2716" s="245"/>
      <c r="D2716" s="26"/>
      <c r="E2716" s="26"/>
      <c r="F2716" s="26"/>
      <c r="G2716" s="26"/>
      <c r="H2716" s="5"/>
    </row>
    <row r="2717" spans="3:8" ht="14.25" customHeight="1">
      <c r="C2717" s="245"/>
      <c r="D2717" s="26"/>
      <c r="E2717" s="26"/>
      <c r="F2717" s="26"/>
      <c r="G2717" s="26"/>
      <c r="H2717" s="5"/>
    </row>
    <row r="2718" spans="3:8" ht="14.25" customHeight="1">
      <c r="C2718" s="245"/>
      <c r="D2718" s="26"/>
      <c r="E2718" s="26"/>
      <c r="F2718" s="26"/>
      <c r="G2718" s="26"/>
      <c r="H2718" s="5"/>
    </row>
    <row r="2719" spans="3:8" ht="14.25" customHeight="1">
      <c r="C2719" s="245"/>
      <c r="D2719" s="26"/>
      <c r="E2719" s="26"/>
      <c r="F2719" s="26"/>
      <c r="G2719" s="26"/>
      <c r="H2719" s="5"/>
    </row>
    <row r="2720" spans="3:8" ht="14.25" customHeight="1">
      <c r="C2720" s="245"/>
      <c r="D2720" s="26"/>
      <c r="E2720" s="26"/>
      <c r="F2720" s="26"/>
      <c r="G2720" s="26"/>
      <c r="H2720" s="5"/>
    </row>
    <row r="2721" spans="1:46" ht="14.25" customHeight="1">
      <c r="C2721" s="245"/>
      <c r="D2721" s="26"/>
      <c r="E2721" s="26"/>
      <c r="F2721" s="26"/>
      <c r="G2721" s="26"/>
      <c r="H2721" s="5"/>
    </row>
    <row r="2722" spans="1:46" ht="14.25" customHeight="1">
      <c r="C2722" s="245"/>
      <c r="D2722" s="26"/>
      <c r="E2722" s="26"/>
      <c r="F2722" s="26"/>
      <c r="G2722" s="26"/>
      <c r="H2722" s="5"/>
    </row>
    <row r="2723" spans="1:46" ht="14.25" customHeight="1">
      <c r="C2723" s="245"/>
      <c r="D2723" s="26"/>
      <c r="E2723" s="26"/>
      <c r="F2723" s="26"/>
      <c r="G2723" s="26"/>
      <c r="H2723" s="5"/>
    </row>
    <row r="2724" spans="1:46" ht="14.25" customHeight="1">
      <c r="C2724" s="245"/>
      <c r="D2724" s="26"/>
      <c r="E2724" s="26"/>
      <c r="F2724" s="26"/>
      <c r="G2724" s="26"/>
      <c r="H2724" s="5"/>
    </row>
    <row r="2725" spans="1:46" s="8" customFormat="1">
      <c r="B2725" s="493" t="str">
        <f>TITLE!$C$52</f>
        <v>Інші Аксесуари</v>
      </c>
      <c r="C2725" s="494"/>
      <c r="D2725" s="118"/>
      <c r="E2725" s="118"/>
      <c r="F2725" s="118"/>
      <c r="G2725" s="118"/>
      <c r="H2725" s="118"/>
      <c r="I2725" s="121"/>
      <c r="J2725" s="121"/>
      <c r="K2725" s="121"/>
      <c r="L2725" s="121"/>
      <c r="M2725" s="121"/>
      <c r="N2725" s="121"/>
      <c r="O2725" s="121"/>
      <c r="P2725" s="121"/>
      <c r="Q2725" s="121"/>
      <c r="R2725" s="121"/>
      <c r="S2725" s="121"/>
      <c r="T2725" s="497" t="str">
        <f>IF($C$1="ENG",CONCATENATE("up to: ",B2667),CONCATENATE("вгору до: ",B2667))</f>
        <v>вгору до: Дверні Ручки</v>
      </c>
      <c r="U2725" s="497"/>
      <c r="V2725" s="497"/>
      <c r="W2725" s="497"/>
      <c r="AN2725" s="280"/>
      <c r="AO2725" s="280"/>
      <c r="AP2725" s="280"/>
      <c r="AQ2725" s="280"/>
      <c r="AR2725" s="280"/>
      <c r="AS2725" s="280"/>
      <c r="AT2725" s="280"/>
    </row>
    <row r="2726" spans="1:46" s="8" customFormat="1" ht="5.0999999999999996" customHeight="1">
      <c r="C2726" s="424"/>
      <c r="L2726" s="48"/>
      <c r="M2726" s="48"/>
      <c r="N2726" s="48"/>
      <c r="O2726" s="48"/>
      <c r="P2726" s="48"/>
      <c r="Q2726" s="48"/>
      <c r="R2726" s="48"/>
      <c r="S2726" s="48"/>
      <c r="T2726" s="115"/>
      <c r="U2726" s="115"/>
      <c r="V2726" s="115"/>
      <c r="W2726" s="115"/>
      <c r="AN2726" s="280"/>
      <c r="AO2726" s="280"/>
      <c r="AP2726" s="280"/>
      <c r="AQ2726" s="280"/>
      <c r="AR2726" s="280"/>
      <c r="AS2726" s="280"/>
      <c r="AT2726" s="280"/>
    </row>
    <row r="2727" spans="1:46" ht="24" customHeight="1">
      <c r="A2727" s="8"/>
      <c r="B2727" s="61" t="str">
        <f>IF($C$1="ENG","model","модель")</f>
        <v>модель</v>
      </c>
      <c r="C2727" s="435"/>
      <c r="D2727" s="532" t="str">
        <f>IF($C$1="ENG","price","Ціна")</f>
        <v>Ціна</v>
      </c>
      <c r="E2727" s="533"/>
      <c r="F2727" s="10"/>
      <c r="G2727" s="10"/>
      <c r="H2727" s="10"/>
      <c r="I2727" s="48"/>
      <c r="J2727" s="48"/>
      <c r="K2727" s="48"/>
      <c r="L2727" s="47"/>
      <c r="M2727" s="47"/>
      <c r="N2727" s="47"/>
      <c r="O2727" s="47"/>
      <c r="P2727" s="47"/>
      <c r="Q2727" s="47"/>
      <c r="R2727" s="47"/>
      <c r="S2727" s="47"/>
    </row>
    <row r="2728" spans="1:46" ht="34.5" customHeight="1">
      <c r="A2728" s="8"/>
      <c r="B2728" s="13" t="str">
        <f>IF($C$1="ENG","Door Lock STANDARD","Замок STANDARD")</f>
        <v>Замок STANDARD</v>
      </c>
      <c r="C2728" s="436"/>
      <c r="D2728" s="15">
        <f t="shared" ref="D2728:D2731" si="455">IF(AC2728="","",(1-$W$2)*(AC2728/1.2))</f>
        <v>333.33333333333337</v>
      </c>
      <c r="E2728" s="64">
        <f t="shared" ref="E2728:E2731" si="456">IF($W$5=0.2,D2728*1.2,D2728)/$W$4</f>
        <v>400.00000000000006</v>
      </c>
      <c r="F2728" s="62"/>
      <c r="G2728" s="47"/>
      <c r="H2728" s="47"/>
      <c r="I2728" s="47"/>
      <c r="J2728" s="47"/>
      <c r="K2728" s="47"/>
      <c r="L2728" s="28"/>
      <c r="M2728" s="59"/>
      <c r="N2728" s="28"/>
      <c r="O2728" s="29"/>
      <c r="P2728" s="28"/>
      <c r="Q2728" s="59"/>
      <c r="R2728" s="28"/>
      <c r="S2728" s="29"/>
      <c r="T2728" s="42"/>
      <c r="U2728" s="30"/>
      <c r="W2728" s="20"/>
      <c r="X2728" s="22"/>
      <c r="Y2728" s="22"/>
      <c r="Z2728" s="22"/>
      <c r="AA2728" s="22"/>
      <c r="AB2728" s="22"/>
      <c r="AC2728" s="332">
        <v>400.00000000000006</v>
      </c>
      <c r="AD2728" s="289"/>
      <c r="AE2728" s="289"/>
      <c r="AF2728" s="289"/>
      <c r="AG2728" s="289"/>
      <c r="AH2728" s="289"/>
      <c r="AI2728" s="289"/>
      <c r="AJ2728" s="289"/>
      <c r="AK2728" s="289"/>
      <c r="AL2728" s="289"/>
    </row>
    <row r="2729" spans="1:46" ht="34.5" customHeight="1">
      <c r="A2729" s="8"/>
      <c r="B2729" s="16" t="str">
        <f>IF($C$1="ENG","Door hinge for rabbit door","завіса штирьова")</f>
        <v>завіса штирьова</v>
      </c>
      <c r="C2729" s="437"/>
      <c r="D2729" s="18">
        <f t="shared" si="455"/>
        <v>100</v>
      </c>
      <c r="E2729" s="66">
        <f t="shared" si="456"/>
        <v>120</v>
      </c>
      <c r="F2729" s="65"/>
      <c r="G2729" s="59"/>
      <c r="H2729" s="105"/>
      <c r="I2729" s="106"/>
      <c r="J2729" s="28"/>
      <c r="K2729" s="29"/>
      <c r="L2729" s="28"/>
      <c r="M2729" s="59"/>
      <c r="N2729" s="28"/>
      <c r="O2729" s="29"/>
      <c r="P2729" s="28"/>
      <c r="Q2729" s="59"/>
      <c r="R2729" s="28"/>
      <c r="S2729" s="29"/>
      <c r="T2729" s="42"/>
      <c r="U2729" s="30"/>
      <c r="W2729" s="30"/>
      <c r="AC2729" s="332">
        <v>120</v>
      </c>
      <c r="AD2729" s="289"/>
      <c r="AE2729" s="289"/>
      <c r="AF2729" s="289"/>
      <c r="AG2729" s="289"/>
      <c r="AH2729" s="289"/>
      <c r="AI2729" s="289"/>
      <c r="AJ2729" s="289"/>
      <c r="AK2729" s="289"/>
      <c r="AL2729" s="289"/>
    </row>
    <row r="2730" spans="1:46" ht="34.5" customHeight="1">
      <c r="A2730" s="8"/>
      <c r="B2730" s="16" t="str">
        <f>IF($C$1="ENG","Door lock hatch","відповідна планка")</f>
        <v>відповідна планка</v>
      </c>
      <c r="C2730" s="437"/>
      <c r="D2730" s="18">
        <f t="shared" si="455"/>
        <v>100</v>
      </c>
      <c r="E2730" s="66">
        <f t="shared" si="456"/>
        <v>120</v>
      </c>
      <c r="F2730" s="65"/>
      <c r="G2730" s="59"/>
      <c r="H2730" s="105"/>
      <c r="I2730" s="106"/>
      <c r="J2730" s="28"/>
      <c r="K2730" s="29"/>
      <c r="L2730" s="28"/>
      <c r="M2730" s="59"/>
      <c r="N2730" s="28"/>
      <c r="O2730" s="29"/>
      <c r="P2730" s="28"/>
      <c r="Q2730" s="59"/>
      <c r="R2730" s="28"/>
      <c r="S2730" s="29"/>
      <c r="T2730" s="42"/>
      <c r="U2730" s="30"/>
      <c r="W2730" s="30"/>
      <c r="AC2730" s="332">
        <v>120</v>
      </c>
      <c r="AD2730" s="289"/>
      <c r="AE2730" s="289"/>
      <c r="AF2730" s="289"/>
      <c r="AG2730" s="289"/>
      <c r="AH2730" s="289"/>
      <c r="AI2730" s="289"/>
      <c r="AJ2730" s="289"/>
      <c r="AK2730" s="289"/>
      <c r="AL2730" s="289"/>
    </row>
    <row r="2731" spans="1:46" ht="34.5" customHeight="1">
      <c r="B2731" s="23" t="str">
        <f>IF($C$1="ENG","Door lock latch","Шпінгалет")</f>
        <v>Шпінгалет</v>
      </c>
      <c r="C2731" s="438"/>
      <c r="D2731" s="68">
        <f t="shared" si="455"/>
        <v>166.66666666666669</v>
      </c>
      <c r="E2731" s="69">
        <f t="shared" si="456"/>
        <v>200.00000000000003</v>
      </c>
      <c r="F2731" s="65"/>
      <c r="G2731" s="59"/>
      <c r="H2731" s="105"/>
      <c r="I2731" s="106"/>
      <c r="J2731" s="28"/>
      <c r="K2731" s="29"/>
      <c r="AC2731" s="332">
        <v>200.00000000000003</v>
      </c>
      <c r="AD2731" s="289"/>
      <c r="AE2731" s="289"/>
      <c r="AF2731" s="289"/>
      <c r="AG2731" s="289"/>
      <c r="AH2731" s="289"/>
      <c r="AI2731" s="289"/>
      <c r="AJ2731" s="289"/>
      <c r="AK2731" s="289"/>
      <c r="AL2731" s="289"/>
    </row>
    <row r="2732" spans="1:46" ht="14.25" customHeight="1">
      <c r="F2732" s="26"/>
      <c r="G2732" s="59"/>
      <c r="H2732" s="105"/>
      <c r="I2732" s="106"/>
    </row>
    <row r="2733" spans="1:46" ht="14.25" customHeight="1">
      <c r="C2733" s="245"/>
      <c r="D2733" s="26"/>
      <c r="E2733" s="26"/>
      <c r="F2733" s="26"/>
      <c r="G2733" s="26"/>
      <c r="H2733" s="5"/>
    </row>
    <row r="2734" spans="1:46" ht="14.25" customHeight="1">
      <c r="C2734" s="245"/>
      <c r="D2734" s="26"/>
      <c r="E2734" s="26"/>
      <c r="F2734" s="26"/>
      <c r="G2734" s="26"/>
      <c r="H2734" s="5"/>
    </row>
    <row r="2735" spans="1:46">
      <c r="C2735" s="245"/>
      <c r="D2735" s="26"/>
      <c r="E2735" s="26"/>
      <c r="F2735" s="26"/>
      <c r="G2735" s="26"/>
      <c r="H2735" s="5"/>
    </row>
    <row r="2736" spans="1:46">
      <c r="C2736" s="245"/>
      <c r="D2736" s="26"/>
      <c r="E2736" s="26"/>
    </row>
    <row r="2737" spans="3:5">
      <c r="C2737" s="245"/>
      <c r="D2737" s="26"/>
      <c r="E2737" s="26"/>
    </row>
  </sheetData>
  <sheetProtection algorithmName="SHA-512" hashValue="edLM9Cu/OUrae7ViQYUMer6kRS4JxLDQyrHvTy2mfCkQCvZKsEftY/mv7ipMpmTh8Stct23rat6HMpjMKWDcFQ==" saltValue="GFz+e/a3HPDYXarZYv1v+A==" spinCount="100000" sheet="1" insertColumns="0" insertRows="0" deleteColumns="0"/>
  <mergeCells count="995">
    <mergeCell ref="B473:C473"/>
    <mergeCell ref="B474:C474"/>
    <mergeCell ref="B475:C475"/>
    <mergeCell ref="T476:W476"/>
    <mergeCell ref="B464:C464"/>
    <mergeCell ref="B465:C465"/>
    <mergeCell ref="B466:C466"/>
    <mergeCell ref="B467:C467"/>
    <mergeCell ref="B468:C468"/>
    <mergeCell ref="B469:C469"/>
    <mergeCell ref="B470:C470"/>
    <mergeCell ref="B471:C471"/>
    <mergeCell ref="B472:C472"/>
    <mergeCell ref="B452:C452"/>
    <mergeCell ref="H452:I452"/>
    <mergeCell ref="S452:W452"/>
    <mergeCell ref="B454:B456"/>
    <mergeCell ref="D454:E454"/>
    <mergeCell ref="F454:G454"/>
    <mergeCell ref="D455:E455"/>
    <mergeCell ref="F455:G455"/>
    <mergeCell ref="D456:E456"/>
    <mergeCell ref="F456:G456"/>
    <mergeCell ref="B309:C309"/>
    <mergeCell ref="B381:C381"/>
    <mergeCell ref="B419:C419"/>
    <mergeCell ref="B517:C517"/>
    <mergeCell ref="B591:C591"/>
    <mergeCell ref="B663:C663"/>
    <mergeCell ref="B736:C736"/>
    <mergeCell ref="B809:C809"/>
    <mergeCell ref="B882:C882"/>
    <mergeCell ref="B661:C661"/>
    <mergeCell ref="B810:C810"/>
    <mergeCell ref="B812:C812"/>
    <mergeCell ref="B807:C807"/>
    <mergeCell ref="B877:C877"/>
    <mergeCell ref="B878:C878"/>
    <mergeCell ref="B662:C662"/>
    <mergeCell ref="B664:C664"/>
    <mergeCell ref="B383:C383"/>
    <mergeCell ref="B421:C421"/>
    <mergeCell ref="B519:C519"/>
    <mergeCell ref="B593:C593"/>
    <mergeCell ref="B665:C665"/>
    <mergeCell ref="B502:C502"/>
    <mergeCell ref="B513:C513"/>
    <mergeCell ref="D871:E871"/>
    <mergeCell ref="B1112:C1112"/>
    <mergeCell ref="B1186:C1186"/>
    <mergeCell ref="B1182:C1182"/>
    <mergeCell ref="B960:C960"/>
    <mergeCell ref="B1335:C1335"/>
    <mergeCell ref="B1409:C1409"/>
    <mergeCell ref="B1483:C1483"/>
    <mergeCell ref="B1557:C1557"/>
    <mergeCell ref="B1330:C1330"/>
    <mergeCell ref="B1539:C1539"/>
    <mergeCell ref="B1118:C1118"/>
    <mergeCell ref="B1045:C1045"/>
    <mergeCell ref="B1171:B1173"/>
    <mergeCell ref="B1042:C1042"/>
    <mergeCell ref="B1194:C1194"/>
    <mergeCell ref="D1467:E1467"/>
    <mergeCell ref="D1469:E1469"/>
    <mergeCell ref="B1485:C1485"/>
    <mergeCell ref="B1476:C1476"/>
    <mergeCell ref="B1477:C1477"/>
    <mergeCell ref="B1414:C1414"/>
    <mergeCell ref="B1404:C1404"/>
    <mergeCell ref="D1394:E1394"/>
    <mergeCell ref="H402:I402"/>
    <mergeCell ref="S402:W402"/>
    <mergeCell ref="B404:B406"/>
    <mergeCell ref="D404:E404"/>
    <mergeCell ref="F404:G404"/>
    <mergeCell ref="D405:E405"/>
    <mergeCell ref="F405:G405"/>
    <mergeCell ref="D406:E406"/>
    <mergeCell ref="F406:G406"/>
    <mergeCell ref="S164:W164"/>
    <mergeCell ref="S291:W291"/>
    <mergeCell ref="B368:E368"/>
    <mergeCell ref="S502:W502"/>
    <mergeCell ref="F168:G168"/>
    <mergeCell ref="F1322:G1322"/>
    <mergeCell ref="F1393:G1393"/>
    <mergeCell ref="B516:C516"/>
    <mergeCell ref="B522:C522"/>
    <mergeCell ref="B961:C961"/>
    <mergeCell ref="B504:B506"/>
    <mergeCell ref="B521:C521"/>
    <mergeCell ref="B523:C523"/>
    <mergeCell ref="F944:G944"/>
    <mergeCell ref="F505:G505"/>
    <mergeCell ref="B515:C515"/>
    <mergeCell ref="B739:C739"/>
    <mergeCell ref="B740:C740"/>
    <mergeCell ref="D724:E724"/>
    <mergeCell ref="D504:E504"/>
    <mergeCell ref="F943:G943"/>
    <mergeCell ref="F1020:G1020"/>
    <mergeCell ref="T427:W427"/>
    <mergeCell ref="F1250:G1250"/>
    <mergeCell ref="D2727:E2727"/>
    <mergeCell ref="D2384:E2384"/>
    <mergeCell ref="F2591:G2591"/>
    <mergeCell ref="F2592:G2592"/>
    <mergeCell ref="B1556:C1556"/>
    <mergeCell ref="B1558:C1558"/>
    <mergeCell ref="B1559:C1559"/>
    <mergeCell ref="B1560:C1560"/>
    <mergeCell ref="B1854:C1854"/>
    <mergeCell ref="B1761:C1761"/>
    <mergeCell ref="B1781:C1781"/>
    <mergeCell ref="B1709:C1709"/>
    <mergeCell ref="B1707:C1707"/>
    <mergeCell ref="B1700:C1700"/>
    <mergeCell ref="B1708:C1708"/>
    <mergeCell ref="B1561:C1561"/>
    <mergeCell ref="B1562:C1562"/>
    <mergeCell ref="B1702:C1702"/>
    <mergeCell ref="C2535:C2536"/>
    <mergeCell ref="B2531:C2531"/>
    <mergeCell ref="E2255:K2255"/>
    <mergeCell ref="E2438:K2438"/>
    <mergeCell ref="H2243:K2243"/>
    <mergeCell ref="H2315:K2315"/>
    <mergeCell ref="D2669:E2669"/>
    <mergeCell ref="H2533:I2533"/>
    <mergeCell ref="D1543:E1543"/>
    <mergeCell ref="F1543:G1543"/>
    <mergeCell ref="H1543:I1543"/>
    <mergeCell ref="H2244:I2244"/>
    <mergeCell ref="D1764:E1764"/>
    <mergeCell ref="D1765:E1765"/>
    <mergeCell ref="F1842:G1842"/>
    <mergeCell ref="H2176:I2176"/>
    <mergeCell ref="F2050:G2050"/>
    <mergeCell ref="F2052:G2052"/>
    <mergeCell ref="D2116:E2116"/>
    <mergeCell ref="D2592:E2592"/>
    <mergeCell ref="H2531:I2531"/>
    <mergeCell ref="F1983:G1983"/>
    <mergeCell ref="D1984:E1984"/>
    <mergeCell ref="F1984:G1984"/>
    <mergeCell ref="D1915:E1915"/>
    <mergeCell ref="F1616:G1616"/>
    <mergeCell ref="E2381:K2381"/>
    <mergeCell ref="H2384:I2384"/>
    <mergeCell ref="D2383:G2383"/>
    <mergeCell ref="H2383:K2383"/>
    <mergeCell ref="D725:E725"/>
    <mergeCell ref="F725:G725"/>
    <mergeCell ref="B669:C669"/>
    <mergeCell ref="B734:C734"/>
    <mergeCell ref="D869:E869"/>
    <mergeCell ref="B743:C743"/>
    <mergeCell ref="B742:C742"/>
    <mergeCell ref="B815:C815"/>
    <mergeCell ref="B816:C816"/>
    <mergeCell ref="B813:C813"/>
    <mergeCell ref="F724:G724"/>
    <mergeCell ref="B811:C811"/>
    <mergeCell ref="B814:C814"/>
    <mergeCell ref="E1:K1"/>
    <mergeCell ref="E2:K2"/>
    <mergeCell ref="D94:E94"/>
    <mergeCell ref="J504:K504"/>
    <mergeCell ref="J505:K505"/>
    <mergeCell ref="H725:I725"/>
    <mergeCell ref="H724:I724"/>
    <mergeCell ref="J723:K723"/>
    <mergeCell ref="J725:K725"/>
    <mergeCell ref="F295:G295"/>
    <mergeCell ref="D295:E295"/>
    <mergeCell ref="H168:I168"/>
    <mergeCell ref="F166:G166"/>
    <mergeCell ref="F167:G167"/>
    <mergeCell ref="F294:G294"/>
    <mergeCell ref="D166:E166"/>
    <mergeCell ref="D653:E653"/>
    <mergeCell ref="F653:G653"/>
    <mergeCell ref="D651:E651"/>
    <mergeCell ref="D12:E12"/>
    <mergeCell ref="F12:G12"/>
    <mergeCell ref="J651:K651"/>
    <mergeCell ref="H652:I652"/>
    <mergeCell ref="J652:K652"/>
    <mergeCell ref="H1020:I1020"/>
    <mergeCell ref="J1248:K1248"/>
    <mergeCell ref="J1249:K1249"/>
    <mergeCell ref="J1394:K1394"/>
    <mergeCell ref="J1322:K1322"/>
    <mergeCell ref="J1171:K1171"/>
    <mergeCell ref="H1322:I1322"/>
    <mergeCell ref="H1468:I1468"/>
    <mergeCell ref="J1468:K1468"/>
    <mergeCell ref="H1467:I1467"/>
    <mergeCell ref="H1249:I1249"/>
    <mergeCell ref="H1318:I1318"/>
    <mergeCell ref="H1391:I1391"/>
    <mergeCell ref="H1393:I1393"/>
    <mergeCell ref="H1246:I1246"/>
    <mergeCell ref="H1172:I1172"/>
    <mergeCell ref="J1321:K1321"/>
    <mergeCell ref="H1250:I1250"/>
    <mergeCell ref="H1248:I1248"/>
    <mergeCell ref="H1171:I1171"/>
    <mergeCell ref="B106:C106"/>
    <mergeCell ref="B109:C109"/>
    <mergeCell ref="E4:I4"/>
    <mergeCell ref="F7:G7"/>
    <mergeCell ref="B34:C34"/>
    <mergeCell ref="B108:C108"/>
    <mergeCell ref="B102:C102"/>
    <mergeCell ref="B104:C104"/>
    <mergeCell ref="H7:I7"/>
    <mergeCell ref="D14:E14"/>
    <mergeCell ref="B12:B14"/>
    <mergeCell ref="B25:C25"/>
    <mergeCell ref="B101:C101"/>
    <mergeCell ref="B37:C37"/>
    <mergeCell ref="B31:C31"/>
    <mergeCell ref="B105:C105"/>
    <mergeCell ref="B33:C33"/>
    <mergeCell ref="V7:W7"/>
    <mergeCell ref="B90:C90"/>
    <mergeCell ref="B8:C8"/>
    <mergeCell ref="B7:C7"/>
    <mergeCell ref="B26:C26"/>
    <mergeCell ref="T7:U7"/>
    <mergeCell ref="J7:K7"/>
    <mergeCell ref="P7:Q7"/>
    <mergeCell ref="R7:S7"/>
    <mergeCell ref="B10:E10"/>
    <mergeCell ref="S90:W90"/>
    <mergeCell ref="S40:W40"/>
    <mergeCell ref="D7:E7"/>
    <mergeCell ref="B24:C24"/>
    <mergeCell ref="B27:C27"/>
    <mergeCell ref="B35:C35"/>
    <mergeCell ref="B36:C36"/>
    <mergeCell ref="B39:C39"/>
    <mergeCell ref="B2725:C2725"/>
    <mergeCell ref="B2667:C2667"/>
    <mergeCell ref="B2122:C2122"/>
    <mergeCell ref="F2117:G2117"/>
    <mergeCell ref="B2114:C2114"/>
    <mergeCell ref="B2173:C2173"/>
    <mergeCell ref="D2117:E2117"/>
    <mergeCell ref="E2173:K2173"/>
    <mergeCell ref="B2589:C2589"/>
    <mergeCell ref="B2330:C2330"/>
    <mergeCell ref="B2241:C2241"/>
    <mergeCell ref="B2190:C2190"/>
    <mergeCell ref="E2241:K2241"/>
    <mergeCell ref="D2175:G2175"/>
    <mergeCell ref="B2381:C2381"/>
    <mergeCell ref="D2315:G2315"/>
    <mergeCell ref="F2316:G2316"/>
    <mergeCell ref="D2316:E2316"/>
    <mergeCell ref="B2262:C2262"/>
    <mergeCell ref="H2534:I2534"/>
    <mergeCell ref="H2175:K2175"/>
    <mergeCell ref="J2176:K2176"/>
    <mergeCell ref="H2591:I2591"/>
    <mergeCell ref="H2592:I2592"/>
    <mergeCell ref="T192:W192"/>
    <mergeCell ref="L506:M506"/>
    <mergeCell ref="L942:M942"/>
    <mergeCell ref="L943:M943"/>
    <mergeCell ref="L944:M944"/>
    <mergeCell ref="H505:I505"/>
    <mergeCell ref="F504:G504"/>
    <mergeCell ref="D505:E505"/>
    <mergeCell ref="B666:C666"/>
    <mergeCell ref="B667:C667"/>
    <mergeCell ref="B668:C668"/>
    <mergeCell ref="B721:C721"/>
    <mergeCell ref="B731:C731"/>
    <mergeCell ref="B388:C388"/>
    <mergeCell ref="B659:C659"/>
    <mergeCell ref="B660:C660"/>
    <mergeCell ref="B594:C594"/>
    <mergeCell ref="B595:C595"/>
    <mergeCell ref="D293:E293"/>
    <mergeCell ref="H504:I504"/>
    <mergeCell ref="B589:C589"/>
    <mergeCell ref="B649:C649"/>
    <mergeCell ref="B587:C587"/>
    <mergeCell ref="F506:G506"/>
    <mergeCell ref="H1018:I1018"/>
    <mergeCell ref="J944:K944"/>
    <mergeCell ref="D796:E796"/>
    <mergeCell ref="H869:I869"/>
    <mergeCell ref="H870:I870"/>
    <mergeCell ref="B2058:C2058"/>
    <mergeCell ref="H1169:I1169"/>
    <mergeCell ref="H1173:I1173"/>
    <mergeCell ref="H1021:I1021"/>
    <mergeCell ref="B2050:B2052"/>
    <mergeCell ref="B958:C958"/>
    <mergeCell ref="D870:E870"/>
    <mergeCell ref="B1263:C1263"/>
    <mergeCell ref="B1264:C1264"/>
    <mergeCell ref="J1099:K1099"/>
    <mergeCell ref="J1100:K1100"/>
    <mergeCell ref="D1468:E1468"/>
    <mergeCell ref="D1321:E1321"/>
    <mergeCell ref="J1020:K1020"/>
    <mergeCell ref="J1320:K1320"/>
    <mergeCell ref="D1395:E1395"/>
    <mergeCell ref="D1250:E1250"/>
    <mergeCell ref="J1022:K1022"/>
    <mergeCell ref="D1249:E1249"/>
    <mergeCell ref="D1840:E1840"/>
    <mergeCell ref="B1857:C1857"/>
    <mergeCell ref="B1862:C1862"/>
    <mergeCell ref="B1704:C1704"/>
    <mergeCell ref="B1699:C1699"/>
    <mergeCell ref="B1703:C1703"/>
    <mergeCell ref="B2189:C2189"/>
    <mergeCell ref="F2116:G2116"/>
    <mergeCell ref="J2592:K2592"/>
    <mergeCell ref="D2533:E2533"/>
    <mergeCell ref="F2533:G2533"/>
    <mergeCell ref="H2589:I2589"/>
    <mergeCell ref="D2534:E2534"/>
    <mergeCell ref="D2591:E2591"/>
    <mergeCell ref="F2534:G2534"/>
    <mergeCell ref="J2534:K2534"/>
    <mergeCell ref="B2445:C2445"/>
    <mergeCell ref="J2533:K2533"/>
    <mergeCell ref="B2313:C2313"/>
    <mergeCell ref="E2313:K2313"/>
    <mergeCell ref="B1782:C1782"/>
    <mergeCell ref="B1858:C1858"/>
    <mergeCell ref="B1779:C1779"/>
    <mergeCell ref="B1786:C1786"/>
    <mergeCell ref="B1787:C1787"/>
    <mergeCell ref="B1777:C1777"/>
    <mergeCell ref="B1778:C1778"/>
    <mergeCell ref="B1636:C1636"/>
    <mergeCell ref="B1763:B1765"/>
    <mergeCell ref="B1783:C1783"/>
    <mergeCell ref="B1706:C1706"/>
    <mergeCell ref="B1701:C1701"/>
    <mergeCell ref="B1838:C1838"/>
    <mergeCell ref="B1776:C1776"/>
    <mergeCell ref="B1637:C1637"/>
    <mergeCell ref="B1780:C1780"/>
    <mergeCell ref="D506:E506"/>
    <mergeCell ref="J724:K724"/>
    <mergeCell ref="T721:W721"/>
    <mergeCell ref="T368:W368"/>
    <mergeCell ref="H502:I502"/>
    <mergeCell ref="L504:M504"/>
    <mergeCell ref="L505:M505"/>
    <mergeCell ref="T575:W575"/>
    <mergeCell ref="D577:E577"/>
    <mergeCell ref="F577:G577"/>
    <mergeCell ref="H577:I577"/>
    <mergeCell ref="J577:K577"/>
    <mergeCell ref="D578:E578"/>
    <mergeCell ref="F578:G578"/>
    <mergeCell ref="L577:M577"/>
    <mergeCell ref="D579:E579"/>
    <mergeCell ref="F579:G579"/>
    <mergeCell ref="H579:I579"/>
    <mergeCell ref="J579:K579"/>
    <mergeCell ref="T599:W599"/>
    <mergeCell ref="H653:I653"/>
    <mergeCell ref="T525:W525"/>
    <mergeCell ref="H578:I578"/>
    <mergeCell ref="F723:G723"/>
    <mergeCell ref="J653:K653"/>
    <mergeCell ref="F651:G651"/>
    <mergeCell ref="D652:E652"/>
    <mergeCell ref="H649:I649"/>
    <mergeCell ref="T649:W649"/>
    <mergeCell ref="D723:E723"/>
    <mergeCell ref="H723:I723"/>
    <mergeCell ref="T940:W940"/>
    <mergeCell ref="T968:W968"/>
    <mergeCell ref="T817:W817"/>
    <mergeCell ref="H943:I943"/>
    <mergeCell ref="F942:G942"/>
    <mergeCell ref="H940:I940"/>
    <mergeCell ref="J943:K943"/>
    <mergeCell ref="H944:I944"/>
    <mergeCell ref="H867:I867"/>
    <mergeCell ref="H794:I794"/>
    <mergeCell ref="J797:K797"/>
    <mergeCell ref="D942:E942"/>
    <mergeCell ref="D798:E798"/>
    <mergeCell ref="D797:E797"/>
    <mergeCell ref="H651:I651"/>
    <mergeCell ref="F797:G797"/>
    <mergeCell ref="F798:G798"/>
    <mergeCell ref="T318:W318"/>
    <mergeCell ref="T390:W390"/>
    <mergeCell ref="J870:K870"/>
    <mergeCell ref="J796:K796"/>
    <mergeCell ref="H575:I575"/>
    <mergeCell ref="F652:G652"/>
    <mergeCell ref="J942:K942"/>
    <mergeCell ref="T671:W671"/>
    <mergeCell ref="H798:I798"/>
    <mergeCell ref="J798:K798"/>
    <mergeCell ref="H796:I796"/>
    <mergeCell ref="F796:G796"/>
    <mergeCell ref="F869:G869"/>
    <mergeCell ref="H797:I797"/>
    <mergeCell ref="L723:M723"/>
    <mergeCell ref="L724:M724"/>
    <mergeCell ref="L725:M725"/>
    <mergeCell ref="T794:W794"/>
    <mergeCell ref="T890:W890"/>
    <mergeCell ref="F871:G871"/>
    <mergeCell ref="H871:I871"/>
    <mergeCell ref="J871:K871"/>
    <mergeCell ref="F870:G870"/>
    <mergeCell ref="T744:W744"/>
    <mergeCell ref="T2725:W2725"/>
    <mergeCell ref="T2191:W2191"/>
    <mergeCell ref="T2241:W2241"/>
    <mergeCell ref="T2263:W2263"/>
    <mergeCell ref="T2589:W2589"/>
    <mergeCell ref="T2667:W2667"/>
    <mergeCell ref="T2243:W2243"/>
    <mergeCell ref="T2617:W2617"/>
    <mergeCell ref="T2446:W2446"/>
    <mergeCell ref="T2531:W2531"/>
    <mergeCell ref="T2539:W2539"/>
    <mergeCell ref="T2675:W2675"/>
    <mergeCell ref="V2316:W2316"/>
    <mergeCell ref="V2384:W2384"/>
    <mergeCell ref="V2244:W2244"/>
    <mergeCell ref="T2244:U2244"/>
    <mergeCell ref="T2316:U2316"/>
    <mergeCell ref="F1021:G1021"/>
    <mergeCell ref="P2244:Q2244"/>
    <mergeCell ref="R2244:S2244"/>
    <mergeCell ref="P2313:S2313"/>
    <mergeCell ref="T2313:W2313"/>
    <mergeCell ref="T1096:W1096"/>
    <mergeCell ref="U1268:W1268"/>
    <mergeCell ref="F1098:G1098"/>
    <mergeCell ref="F1099:G1099"/>
    <mergeCell ref="H1099:I1099"/>
    <mergeCell ref="J1393:K1393"/>
    <mergeCell ref="J1021:K1021"/>
    <mergeCell ref="T1788:W1788"/>
    <mergeCell ref="J1250:K1250"/>
    <mergeCell ref="T1318:W1318"/>
    <mergeCell ref="T1391:W1391"/>
    <mergeCell ref="U1415:W1415"/>
    <mergeCell ref="T1465:W1465"/>
    <mergeCell ref="U1196:W1196"/>
    <mergeCell ref="T1539:W1539"/>
    <mergeCell ref="U1563:W1563"/>
    <mergeCell ref="U1341:W1341"/>
    <mergeCell ref="T2173:W2173"/>
    <mergeCell ref="J1098:K1098"/>
    <mergeCell ref="P2384:Q2384"/>
    <mergeCell ref="R2384:S2384"/>
    <mergeCell ref="P2381:S2381"/>
    <mergeCell ref="T2381:W2381"/>
    <mergeCell ref="T2384:U2384"/>
    <mergeCell ref="T2175:W2175"/>
    <mergeCell ref="T2176:U2176"/>
    <mergeCell ref="V2176:W2176"/>
    <mergeCell ref="B2048:C2048"/>
    <mergeCell ref="D2050:E2050"/>
    <mergeCell ref="D2052:E2052"/>
    <mergeCell ref="D2051:E2051"/>
    <mergeCell ref="D2244:E2244"/>
    <mergeCell ref="D2243:G2243"/>
    <mergeCell ref="D2176:E2176"/>
    <mergeCell ref="F2051:G2051"/>
    <mergeCell ref="P2241:S2241"/>
    <mergeCell ref="P2383:S2383"/>
    <mergeCell ref="T2383:W2383"/>
    <mergeCell ref="T2315:W2315"/>
    <mergeCell ref="P2316:Q2316"/>
    <mergeCell ref="T2331:W2331"/>
    <mergeCell ref="H2117:I2117"/>
    <mergeCell ref="S2048:W2048"/>
    <mergeCell ref="F2176:G2176"/>
    <mergeCell ref="F2244:G2244"/>
    <mergeCell ref="H2316:I2316"/>
    <mergeCell ref="J2244:K2244"/>
    <mergeCell ref="R2176:S2176"/>
    <mergeCell ref="P2176:Q2176"/>
    <mergeCell ref="B1930:C1930"/>
    <mergeCell ref="B1931:C1931"/>
    <mergeCell ref="B1997:C1997"/>
    <mergeCell ref="B2062:C2062"/>
    <mergeCell ref="D1983:E1983"/>
    <mergeCell ref="T1931:W1931"/>
    <mergeCell ref="L1983:M1983"/>
    <mergeCell ref="J2316:K2316"/>
    <mergeCell ref="P2243:S2243"/>
    <mergeCell ref="T2114:W2114"/>
    <mergeCell ref="P2173:S2173"/>
    <mergeCell ref="H2116:I2116"/>
    <mergeCell ref="H2114:I2114"/>
    <mergeCell ref="J2116:K2116"/>
    <mergeCell ref="J2117:K2117"/>
    <mergeCell ref="P2175:S2175"/>
    <mergeCell ref="T2123:W2123"/>
    <mergeCell ref="T2064:W2064"/>
    <mergeCell ref="B1928:C1928"/>
    <mergeCell ref="B2116:B2117"/>
    <mergeCell ref="B2061:C2061"/>
    <mergeCell ref="B1927:C1927"/>
    <mergeCell ref="P2315:S2315"/>
    <mergeCell ref="N2316:O2316"/>
    <mergeCell ref="R2316:S2316"/>
    <mergeCell ref="B1929:C1929"/>
    <mergeCell ref="F1841:G1841"/>
    <mergeCell ref="J1842:K1842"/>
    <mergeCell ref="S1981:W1981"/>
    <mergeCell ref="T1998:W1998"/>
    <mergeCell ref="B1994:C1994"/>
    <mergeCell ref="H1983:I1983"/>
    <mergeCell ref="J1983:K1983"/>
    <mergeCell ref="H1984:I1984"/>
    <mergeCell ref="J1984:K1984"/>
    <mergeCell ref="H1985:I1985"/>
    <mergeCell ref="J1985:K1985"/>
    <mergeCell ref="B1983:B1985"/>
    <mergeCell ref="B1996:C1996"/>
    <mergeCell ref="B1995:C1995"/>
    <mergeCell ref="D1985:E1985"/>
    <mergeCell ref="F1985:G1985"/>
    <mergeCell ref="T1838:W1838"/>
    <mergeCell ref="B1915:B1917"/>
    <mergeCell ref="D1916:E1916"/>
    <mergeCell ref="D1917:E1917"/>
    <mergeCell ref="B1631:C1631"/>
    <mergeCell ref="B1855:C1855"/>
    <mergeCell ref="B1840:B1842"/>
    <mergeCell ref="J1765:K1765"/>
    <mergeCell ref="J1543:K1543"/>
    <mergeCell ref="T1761:W1761"/>
    <mergeCell ref="B1551:C1551"/>
    <mergeCell ref="U1711:W1711"/>
    <mergeCell ref="B1785:C1785"/>
    <mergeCell ref="B1629:C1629"/>
    <mergeCell ref="D1617:E1617"/>
    <mergeCell ref="B1710:C1710"/>
    <mergeCell ref="B1784:C1784"/>
    <mergeCell ref="D1763:E1763"/>
    <mergeCell ref="F1763:G1763"/>
    <mergeCell ref="B1615:B1617"/>
    <mergeCell ref="D1615:E1615"/>
    <mergeCell ref="D1616:E1616"/>
    <mergeCell ref="D1690:I1690"/>
    <mergeCell ref="B1635:C1635"/>
    <mergeCell ref="J1542:K1542"/>
    <mergeCell ref="J1763:K1763"/>
    <mergeCell ref="J1764:K1764"/>
    <mergeCell ref="F1764:G1764"/>
    <mergeCell ref="B1407:C1407"/>
    <mergeCell ref="B1169:C1169"/>
    <mergeCell ref="B1336:C1336"/>
    <mergeCell ref="B1337:C1337"/>
    <mergeCell ref="B1338:C1338"/>
    <mergeCell ref="B1402:C1402"/>
    <mergeCell ref="B1339:C1339"/>
    <mergeCell ref="B1340:C1340"/>
    <mergeCell ref="B1391:C1391"/>
    <mergeCell ref="B1393:B1395"/>
    <mergeCell ref="B1328:C1328"/>
    <mergeCell ref="B1259:C1259"/>
    <mergeCell ref="B1261:C1261"/>
    <mergeCell ref="B1185:C1185"/>
    <mergeCell ref="B1187:C1187"/>
    <mergeCell ref="B1262:C1262"/>
    <mergeCell ref="B1246:C1246"/>
    <mergeCell ref="B1248:B1250"/>
    <mergeCell ref="B1626:C1626"/>
    <mergeCell ref="B1405:C1405"/>
    <mergeCell ref="F1542:G1542"/>
    <mergeCell ref="B1634:C1634"/>
    <mergeCell ref="H1539:I1539"/>
    <mergeCell ref="B1632:C1632"/>
    <mergeCell ref="B1467:B1469"/>
    <mergeCell ref="B1627:C1627"/>
    <mergeCell ref="B1193:C1193"/>
    <mergeCell ref="B1329:C1329"/>
    <mergeCell ref="B1318:C1318"/>
    <mergeCell ref="B1408:C1408"/>
    <mergeCell ref="B1465:C1465"/>
    <mergeCell ref="B1266:C1266"/>
    <mergeCell ref="B1265:C1265"/>
    <mergeCell ref="B1267:C1267"/>
    <mergeCell ref="B1257:C1257"/>
    <mergeCell ref="B1403:C1403"/>
    <mergeCell ref="B1332:C1332"/>
    <mergeCell ref="B1334:C1334"/>
    <mergeCell ref="B1258:C1258"/>
    <mergeCell ref="B1406:C1406"/>
    <mergeCell ref="B1410:C1410"/>
    <mergeCell ref="B1411:C1411"/>
    <mergeCell ref="B1412:C1412"/>
    <mergeCell ref="B1413:C1413"/>
    <mergeCell ref="F1022:G1022"/>
    <mergeCell ref="B1035:C1035"/>
    <mergeCell ref="D1100:E1100"/>
    <mergeCell ref="F1100:G1100"/>
    <mergeCell ref="H1100:I1100"/>
    <mergeCell ref="B1115:C1115"/>
    <mergeCell ref="F1320:G1320"/>
    <mergeCell ref="H1320:I1320"/>
    <mergeCell ref="F1321:G1321"/>
    <mergeCell ref="H1321:I1321"/>
    <mergeCell ref="B1183:C1183"/>
    <mergeCell ref="B1189:C1189"/>
    <mergeCell ref="B1191:C1191"/>
    <mergeCell ref="H1022:I1022"/>
    <mergeCell ref="D1320:E1320"/>
    <mergeCell ref="B1320:B1322"/>
    <mergeCell ref="B1195:C1195"/>
    <mergeCell ref="B1190:C1190"/>
    <mergeCell ref="B1256:C1256"/>
    <mergeCell ref="B1192:C1192"/>
    <mergeCell ref="B1260:C1260"/>
    <mergeCell ref="F1394:G1394"/>
    <mergeCell ref="H1394:I1394"/>
    <mergeCell ref="B1331:C1331"/>
    <mergeCell ref="B1109:C1109"/>
    <mergeCell ref="B1184:C1184"/>
    <mergeCell ref="F1249:G1249"/>
    <mergeCell ref="F1172:G1172"/>
    <mergeCell ref="B1188:C1188"/>
    <mergeCell ref="B1333:C1333"/>
    <mergeCell ref="D1322:E1322"/>
    <mergeCell ref="D1393:E1393"/>
    <mergeCell ref="T1119:W1119"/>
    <mergeCell ref="T1246:W1246"/>
    <mergeCell ref="D1248:E1248"/>
    <mergeCell ref="L1098:M1098"/>
    <mergeCell ref="L1099:M1099"/>
    <mergeCell ref="L1100:M1100"/>
    <mergeCell ref="B1096:C1096"/>
    <mergeCell ref="H1096:I1096"/>
    <mergeCell ref="B1098:B1100"/>
    <mergeCell ref="D1098:E1098"/>
    <mergeCell ref="J1172:K1172"/>
    <mergeCell ref="J1173:K1173"/>
    <mergeCell ref="D1171:E1171"/>
    <mergeCell ref="T1169:W1169"/>
    <mergeCell ref="F1173:G1173"/>
    <mergeCell ref="D1172:E1172"/>
    <mergeCell ref="D1173:E1173"/>
    <mergeCell ref="D1099:E1099"/>
    <mergeCell ref="F1171:G1171"/>
    <mergeCell ref="B1117:C1117"/>
    <mergeCell ref="T1489:W1489"/>
    <mergeCell ref="T1613:W1613"/>
    <mergeCell ref="F1615:G1615"/>
    <mergeCell ref="H1615:I1615"/>
    <mergeCell ref="J1615:K1615"/>
    <mergeCell ref="T1688:W1688"/>
    <mergeCell ref="L1171:M1171"/>
    <mergeCell ref="L1172:M1172"/>
    <mergeCell ref="L1173:M1173"/>
    <mergeCell ref="H1616:I1616"/>
    <mergeCell ref="L1541:M1541"/>
    <mergeCell ref="L1542:M1542"/>
    <mergeCell ref="L1543:M1543"/>
    <mergeCell ref="L1615:M1615"/>
    <mergeCell ref="L1616:M1616"/>
    <mergeCell ref="J1541:K1541"/>
    <mergeCell ref="H1541:I1541"/>
    <mergeCell ref="H1542:I1542"/>
    <mergeCell ref="J1616:K1616"/>
    <mergeCell ref="H1613:I1613"/>
    <mergeCell ref="F1469:G1469"/>
    <mergeCell ref="F1468:G1468"/>
    <mergeCell ref="L1322:M1322"/>
    <mergeCell ref="F1541:G1541"/>
    <mergeCell ref="T1018:W1018"/>
    <mergeCell ref="T867:W867"/>
    <mergeCell ref="F1840:G1840"/>
    <mergeCell ref="H1692:I1692"/>
    <mergeCell ref="L1250:M1250"/>
    <mergeCell ref="L1320:M1320"/>
    <mergeCell ref="L1321:M1321"/>
    <mergeCell ref="L1020:M1020"/>
    <mergeCell ref="T1046:W1046"/>
    <mergeCell ref="T1638:W1638"/>
    <mergeCell ref="F1395:G1395"/>
    <mergeCell ref="F1248:G1248"/>
    <mergeCell ref="J1692:K1692"/>
    <mergeCell ref="F1467:G1467"/>
    <mergeCell ref="J1467:K1467"/>
    <mergeCell ref="H1469:I1469"/>
    <mergeCell ref="J1469:K1469"/>
    <mergeCell ref="H1395:I1395"/>
    <mergeCell ref="H1840:I1840"/>
    <mergeCell ref="H1765:I1765"/>
    <mergeCell ref="F1765:G1765"/>
    <mergeCell ref="D1691:I1691"/>
    <mergeCell ref="H1617:I1617"/>
    <mergeCell ref="F1692:G1692"/>
    <mergeCell ref="B1926:C1926"/>
    <mergeCell ref="H1841:I1841"/>
    <mergeCell ref="H1842:I1842"/>
    <mergeCell ref="T1913:W1913"/>
    <mergeCell ref="B1913:C1913"/>
    <mergeCell ref="D1842:E1842"/>
    <mergeCell ref="B1859:C1859"/>
    <mergeCell ref="B1860:C1860"/>
    <mergeCell ref="B1861:C1861"/>
    <mergeCell ref="B1853:C1853"/>
    <mergeCell ref="T1863:W1863"/>
    <mergeCell ref="D1841:E1841"/>
    <mergeCell ref="B1856:C1856"/>
    <mergeCell ref="B1633:C1633"/>
    <mergeCell ref="B1625:C1625"/>
    <mergeCell ref="B1690:B1692"/>
    <mergeCell ref="H1764:I1764"/>
    <mergeCell ref="B794:C794"/>
    <mergeCell ref="B1479:C1479"/>
    <mergeCell ref="B1688:C1688"/>
    <mergeCell ref="D1542:E1542"/>
    <mergeCell ref="D1692:E1692"/>
    <mergeCell ref="B1552:C1552"/>
    <mergeCell ref="B1553:C1553"/>
    <mergeCell ref="B1486:C1486"/>
    <mergeCell ref="B1482:C1482"/>
    <mergeCell ref="B1480:C1480"/>
    <mergeCell ref="B1484:C1484"/>
    <mergeCell ref="B1487:C1487"/>
    <mergeCell ref="B1488:C1488"/>
    <mergeCell ref="B1628:C1628"/>
    <mergeCell ref="B1481:C1481"/>
    <mergeCell ref="B1555:C1555"/>
    <mergeCell ref="B1630:C1630"/>
    <mergeCell ref="B1541:B1543"/>
    <mergeCell ref="D1541:E1541"/>
    <mergeCell ref="B1554:C1554"/>
    <mergeCell ref="B1613:C1613"/>
    <mergeCell ref="B1550:C1550"/>
    <mergeCell ref="B1032:C1032"/>
    <mergeCell ref="B1034:C1034"/>
    <mergeCell ref="B867:C867"/>
    <mergeCell ref="B796:B798"/>
    <mergeCell ref="B1478:C1478"/>
    <mergeCell ref="F1617:G1617"/>
    <mergeCell ref="B805:C805"/>
    <mergeCell ref="B806:C806"/>
    <mergeCell ref="B808:C808"/>
    <mergeCell ref="B804:C804"/>
    <mergeCell ref="B889:C889"/>
    <mergeCell ref="B881:C881"/>
    <mergeCell ref="B883:C883"/>
    <mergeCell ref="B885:C885"/>
    <mergeCell ref="B886:C886"/>
    <mergeCell ref="B887:C887"/>
    <mergeCell ref="B888:C888"/>
    <mergeCell ref="B879:C879"/>
    <mergeCell ref="B869:B871"/>
    <mergeCell ref="B880:C880"/>
    <mergeCell ref="B884:C884"/>
    <mergeCell ref="B942:B944"/>
    <mergeCell ref="B514:C514"/>
    <mergeCell ref="B586:C586"/>
    <mergeCell ref="B596:C596"/>
    <mergeCell ref="B597:C597"/>
    <mergeCell ref="B598:C598"/>
    <mergeCell ref="B651:B653"/>
    <mergeCell ref="B670:C670"/>
    <mergeCell ref="B737:C737"/>
    <mergeCell ref="B741:C741"/>
    <mergeCell ref="B732:C732"/>
    <mergeCell ref="B592:C592"/>
    <mergeCell ref="B735:C735"/>
    <mergeCell ref="B733:C733"/>
    <mergeCell ref="B723:B725"/>
    <mergeCell ref="B940:C940"/>
    <mergeCell ref="B1018:C1018"/>
    <mergeCell ref="B1033:C1033"/>
    <mergeCell ref="B963:C963"/>
    <mergeCell ref="B964:C964"/>
    <mergeCell ref="D943:E943"/>
    <mergeCell ref="B1116:C1116"/>
    <mergeCell ref="B1114:C1114"/>
    <mergeCell ref="B1107:C1107"/>
    <mergeCell ref="B1108:C1108"/>
    <mergeCell ref="B1106:C1106"/>
    <mergeCell ref="B1043:C1043"/>
    <mergeCell ref="B1038:C1038"/>
    <mergeCell ref="B1111:C1111"/>
    <mergeCell ref="B959:C959"/>
    <mergeCell ref="B962:C962"/>
    <mergeCell ref="D1022:E1022"/>
    <mergeCell ref="D944:E944"/>
    <mergeCell ref="D1021:E1021"/>
    <mergeCell ref="D1020:E1020"/>
    <mergeCell ref="B967:C967"/>
    <mergeCell ref="B956:C956"/>
    <mergeCell ref="B954:C954"/>
    <mergeCell ref="B965:C965"/>
    <mergeCell ref="B966:C966"/>
    <mergeCell ref="B955:C955"/>
    <mergeCell ref="B1020:B1022"/>
    <mergeCell ref="B1044:C1044"/>
    <mergeCell ref="B1110:C1110"/>
    <mergeCell ref="B1039:C1039"/>
    <mergeCell ref="B1036:C1036"/>
    <mergeCell ref="B1041:C1041"/>
    <mergeCell ref="B1037:C1037"/>
    <mergeCell ref="B957:C957"/>
    <mergeCell ref="B380:C380"/>
    <mergeCell ref="B379:C379"/>
    <mergeCell ref="B524:C524"/>
    <mergeCell ref="B312:C312"/>
    <mergeCell ref="B588:C588"/>
    <mergeCell ref="B590:C590"/>
    <mergeCell ref="B310:C310"/>
    <mergeCell ref="B518:C518"/>
    <mergeCell ref="B520:C520"/>
    <mergeCell ref="B577:B579"/>
    <mergeCell ref="B575:C575"/>
    <mergeCell ref="B389:C389"/>
    <mergeCell ref="B377:C377"/>
    <mergeCell ref="B402:C402"/>
    <mergeCell ref="B415:C415"/>
    <mergeCell ref="B416:C416"/>
    <mergeCell ref="B417:C417"/>
    <mergeCell ref="B418:C418"/>
    <mergeCell ref="B420:C420"/>
    <mergeCell ref="B422:C422"/>
    <mergeCell ref="B423:C423"/>
    <mergeCell ref="B424:C424"/>
    <mergeCell ref="B425:C425"/>
    <mergeCell ref="B426:C426"/>
    <mergeCell ref="B113:C113"/>
    <mergeCell ref="B187:C187"/>
    <mergeCell ref="B178:C178"/>
    <mergeCell ref="B378:C378"/>
    <mergeCell ref="B164:E164"/>
    <mergeCell ref="B112:C112"/>
    <mergeCell ref="B182:C182"/>
    <mergeCell ref="B184:C184"/>
    <mergeCell ref="B166:B168"/>
    <mergeCell ref="B191:C191"/>
    <mergeCell ref="D168:E168"/>
    <mergeCell ref="D167:E167"/>
    <mergeCell ref="B291:C291"/>
    <mergeCell ref="B181:C181"/>
    <mergeCell ref="B186:C186"/>
    <mergeCell ref="B180:C180"/>
    <mergeCell ref="B188:C188"/>
    <mergeCell ref="B189:C189"/>
    <mergeCell ref="B305:C305"/>
    <mergeCell ref="B304:C304"/>
    <mergeCell ref="B306:C306"/>
    <mergeCell ref="B308:C308"/>
    <mergeCell ref="B307:C307"/>
    <mergeCell ref="B311:C311"/>
    <mergeCell ref="F293:G293"/>
    <mergeCell ref="D294:E294"/>
    <mergeCell ref="F13:G13"/>
    <mergeCell ref="F14:G14"/>
    <mergeCell ref="F92:G92"/>
    <mergeCell ref="F93:G93"/>
    <mergeCell ref="F94:G94"/>
    <mergeCell ref="B103:C103"/>
    <mergeCell ref="D93:E93"/>
    <mergeCell ref="D92:E92"/>
    <mergeCell ref="B92:B94"/>
    <mergeCell ref="B100:C100"/>
    <mergeCell ref="B110:C110"/>
    <mergeCell ref="B28:C28"/>
    <mergeCell ref="B29:C29"/>
    <mergeCell ref="D13:E13"/>
    <mergeCell ref="B38:C38"/>
    <mergeCell ref="B32:C32"/>
    <mergeCell ref="B30:C30"/>
    <mergeCell ref="B111:C111"/>
    <mergeCell ref="B177:C177"/>
    <mergeCell ref="B190:C190"/>
    <mergeCell ref="B179:C179"/>
    <mergeCell ref="B293:B295"/>
    <mergeCell ref="L2592:M2592"/>
    <mergeCell ref="H293:I293"/>
    <mergeCell ref="H294:I294"/>
    <mergeCell ref="H295:I295"/>
    <mergeCell ref="H1465:I1465"/>
    <mergeCell ref="J1395:K1395"/>
    <mergeCell ref="J869:K869"/>
    <mergeCell ref="L578:M578"/>
    <mergeCell ref="H1763:I1763"/>
    <mergeCell ref="J1617:K1617"/>
    <mergeCell ref="J578:K578"/>
    <mergeCell ref="H721:I721"/>
    <mergeCell ref="J2591:K2591"/>
    <mergeCell ref="J1840:K1840"/>
    <mergeCell ref="J1841:K1841"/>
    <mergeCell ref="J506:K506"/>
    <mergeCell ref="H506:I506"/>
    <mergeCell ref="L2533:M2533"/>
    <mergeCell ref="L579:M579"/>
    <mergeCell ref="L651:M651"/>
    <mergeCell ref="L652:M652"/>
    <mergeCell ref="L653:M653"/>
    <mergeCell ref="H942:I942"/>
    <mergeCell ref="H1098:I1098"/>
    <mergeCell ref="L2534:M2534"/>
    <mergeCell ref="L2591:M2591"/>
    <mergeCell ref="L2384:M2384"/>
    <mergeCell ref="N7:O7"/>
    <mergeCell ref="L1617:M1617"/>
    <mergeCell ref="B387:C387"/>
    <mergeCell ref="B370:B372"/>
    <mergeCell ref="D370:E370"/>
    <mergeCell ref="D371:E371"/>
    <mergeCell ref="D372:E372"/>
    <mergeCell ref="B1981:C1981"/>
    <mergeCell ref="B313:C313"/>
    <mergeCell ref="B314:C314"/>
    <mergeCell ref="B316:C316"/>
    <mergeCell ref="B317:C317"/>
    <mergeCell ref="B315:C315"/>
    <mergeCell ref="B382:C382"/>
    <mergeCell ref="B384:C384"/>
    <mergeCell ref="B385:C385"/>
    <mergeCell ref="B386:C386"/>
    <mergeCell ref="L7:M7"/>
    <mergeCell ref="L1021:M1021"/>
    <mergeCell ref="L1022:M1022"/>
    <mergeCell ref="L1249:M1249"/>
    <mergeCell ref="N2384:O2384"/>
    <mergeCell ref="L1984:M1984"/>
    <mergeCell ref="L1985:M1985"/>
    <mergeCell ref="L2116:M2116"/>
    <mergeCell ref="L2313:O2313"/>
    <mergeCell ref="L2315:O2315"/>
    <mergeCell ref="L2316:M2316"/>
    <mergeCell ref="L2117:M2117"/>
    <mergeCell ref="L2173:O2173"/>
    <mergeCell ref="L2175:O2175"/>
    <mergeCell ref="L2243:O2243"/>
    <mergeCell ref="L2244:M2244"/>
    <mergeCell ref="N2244:O2244"/>
    <mergeCell ref="L2176:M2176"/>
    <mergeCell ref="N2176:O2176"/>
    <mergeCell ref="L2241:O2241"/>
    <mergeCell ref="L2381:O2381"/>
    <mergeCell ref="L2383:O2383"/>
    <mergeCell ref="B183:C183"/>
    <mergeCell ref="B1040:C1040"/>
    <mergeCell ref="B1113:C1113"/>
    <mergeCell ref="B1705:C1705"/>
    <mergeCell ref="B738:C738"/>
    <mergeCell ref="S114:W114"/>
    <mergeCell ref="H2050:I2050"/>
    <mergeCell ref="H2051:I2051"/>
    <mergeCell ref="H2052:I2052"/>
    <mergeCell ref="L1393:M1393"/>
    <mergeCell ref="L1394:M1394"/>
    <mergeCell ref="L1395:M1395"/>
    <mergeCell ref="L1467:M1467"/>
    <mergeCell ref="L1468:M1468"/>
    <mergeCell ref="L1469:M1469"/>
    <mergeCell ref="L1248:M1248"/>
    <mergeCell ref="L796:M796"/>
    <mergeCell ref="L797:M797"/>
    <mergeCell ref="L798:M798"/>
    <mergeCell ref="L869:M869"/>
    <mergeCell ref="L870:M870"/>
    <mergeCell ref="L871:M871"/>
    <mergeCell ref="H166:I166"/>
    <mergeCell ref="H167:I167"/>
    <mergeCell ref="E2397:K2397"/>
    <mergeCell ref="B2404:C2404"/>
    <mergeCell ref="T2405:W2405"/>
    <mergeCell ref="D2426:E2426"/>
    <mergeCell ref="H2426:I2426"/>
    <mergeCell ref="L2426:M2426"/>
    <mergeCell ref="N2426:O2426"/>
    <mergeCell ref="B2423:C2423"/>
    <mergeCell ref="E2423:K2423"/>
    <mergeCell ref="L2423:O2423"/>
    <mergeCell ref="P2423:S2423"/>
    <mergeCell ref="T2423:W2423"/>
    <mergeCell ref="D2425:G2425"/>
    <mergeCell ref="H2425:K2425"/>
    <mergeCell ref="L2425:O2425"/>
  </mergeCells>
  <phoneticPr fontId="5" type="noConversion"/>
  <dataValidations count="1">
    <dataValidation type="list" allowBlank="1" showInputMessage="1" showErrorMessage="1" sqref="W5" xr:uid="{00000000-0002-0000-0100-000000000000}">
      <formula1>vat</formula1>
    </dataValidation>
  </dataValidations>
  <hyperlinks>
    <hyperlink ref="B7:C7" location="MENU" display="НА ГЛАВНУЮ" xr:uid="{00000000-0004-0000-0100-000000000000}"/>
    <hyperlink ref="T2241" location="Frame_Premi" display="Frame_Premi" xr:uid="{00000000-0004-0000-0100-000001000000}"/>
    <hyperlink ref="T2263" location="Framugi" display="Framugi" xr:uid="{00000000-0004-0000-0100-000002000000}"/>
    <hyperlink ref="S90" location="Door_Standard" display="Door_Standard" xr:uid="{00000000-0004-0000-0100-000003000000}"/>
    <hyperlink ref="S164" location="Door_RutaF" display="Door_RutaF" xr:uid="{00000000-0004-0000-0100-000004000000}"/>
    <hyperlink ref="S502" location="Door_Idea_line" display="Door_Idea_line" xr:uid="{00000000-0004-0000-0100-000005000000}"/>
    <hyperlink ref="T940" location="Door_Lada" display="Door_Lada" xr:uid="{00000000-0004-0000-0100-000006000000}"/>
    <hyperlink ref="T1018" location="Door_LadaK" display="Door_LadaK" xr:uid="{00000000-0004-0000-0100-000007000000}"/>
    <hyperlink ref="T1688" location="Door_LadaN" display="Door_LadaN" xr:uid="{00000000-0004-0000-0100-000008000000}"/>
    <hyperlink ref="T1761" location="Door_Lineya" display="Door_Lineya" xr:uid="{00000000-0004-0000-0100-000009000000}"/>
    <hyperlink ref="T1838" location="Door_Line" display="Door_Line" xr:uid="{00000000-0004-0000-0100-00000A000000}"/>
    <hyperlink ref="T1913" location="Door_Elegant" display="Door_Elegant" xr:uid="{00000000-0004-0000-0100-00000B000000}"/>
    <hyperlink ref="S2048" location="Door_VertoEleg" display="Door_VertoEleg" xr:uid="{00000000-0004-0000-0100-00000C000000}"/>
    <hyperlink ref="T2173" location="Verto_Slide" display="Verto_Slide" xr:uid="{00000000-0004-0000-0100-00000D000000}"/>
    <hyperlink ref="T2114" location="Door_Dobor" display="Door_Dobor" xr:uid="{00000000-0004-0000-0100-00000E000000}"/>
    <hyperlink ref="T2589" location="Frame_VFit" display="Frame_VFit" xr:uid="{00000000-0004-0000-0100-00000F000000}"/>
    <hyperlink ref="T2123" location="Framugi" display="Framugi" xr:uid="{00000000-0004-0000-0100-000010000000}"/>
    <hyperlink ref="T2123:W2123" location="Frame_Stand" display="Frame_Stand" xr:uid="{00000000-0004-0000-0100-000011000000}"/>
    <hyperlink ref="T192:W192" location="Door_Idea" display="Door_Idea" xr:uid="{00000000-0004-0000-0100-000012000000}"/>
    <hyperlink ref="T318:W318" location="Door_IdeaLoft" display="Door_IdeaLoft" xr:uid="{00000000-0004-0000-0100-000013000000}"/>
    <hyperlink ref="T525:W525" location="Door_LadaB" display="Door_LadaB" xr:uid="{00000000-0004-0000-0100-000014000000}"/>
    <hyperlink ref="T968:W968" location="Door_LadaN" display="Door_LadaN" xr:uid="{00000000-0004-0000-0100-000015000000}"/>
    <hyperlink ref="T1046:W1046" location="Door_Mira" display="Door_Mira" xr:uid="{00000000-0004-0000-0100-000016000000}"/>
    <hyperlink ref="U1711:X1711" location="Door_Line" display="Door_Line" xr:uid="{00000000-0004-0000-0100-000017000000}"/>
    <hyperlink ref="T1788:W1788" location="Door_Elegant" display="Door_Elegant" xr:uid="{00000000-0004-0000-0100-000018000000}"/>
    <hyperlink ref="T1863:W1863" location="Door_Glasford" display="Door_Glasford" xr:uid="{00000000-0004-0000-0100-000019000000}"/>
    <hyperlink ref="T2064:W2064" location="Verto_Slide" display="Verto_Slide" xr:uid="{00000000-0004-0000-0100-00001A000000}"/>
    <hyperlink ref="T1931:W1931" location="Door_Dobor_Lada" display="Door_Dobor_Lada" xr:uid="{00000000-0004-0000-0100-00001B000000}"/>
    <hyperlink ref="S2048:W2048" location="Door_Dobor_Lada" display="Door_Dobor_Lada" xr:uid="{00000000-0004-0000-0100-00001C000000}"/>
    <hyperlink ref="T1688:W1688" location="Door_Pollo" display="Door_Pollo" xr:uid="{00000000-0004-0000-0100-00001D000000}"/>
    <hyperlink ref="E1701" location="Door_Lineya" display="Door_Lineya" xr:uid="{00000000-0004-0000-0100-00001E000000}"/>
    <hyperlink ref="T2191:W2191" location="Frame_VFit" display="Frame_VFit" xr:uid="{00000000-0004-0000-0100-00001F000000}"/>
    <hyperlink ref="T2667:W2667" location="Framugi" display="Framugi" xr:uid="{00000000-0004-0000-0100-000020000000}"/>
    <hyperlink ref="T2675" location="Framugi" display="Framugi" xr:uid="{00000000-0004-0000-0100-000021000000}"/>
    <hyperlink ref="T2675:W2675" location="Furniture" display="Furniture" xr:uid="{00000000-0004-0000-0100-000022000000}"/>
    <hyperlink ref="T2617:W2617" location="DoorHandles" display="DoorHandles" xr:uid="{00000000-0004-0000-0100-000023000000}"/>
    <hyperlink ref="T2725:W2725" location="DoorHandles" display="DoorHandles" xr:uid="{00000000-0004-0000-0100-000024000000}"/>
    <hyperlink ref="E38" location="DoorHandles" display="см. Таблицу Ручки" xr:uid="{00000000-0004-0000-0100-000025000000}"/>
    <hyperlink ref="E112" location="DoorHandles" display="см. Таблицу Ручки" xr:uid="{00000000-0004-0000-0100-000026000000}"/>
    <hyperlink ref="E190" location="DoorHandles" display="см. Таблицу Ручки" xr:uid="{00000000-0004-0000-0100-000027000000}"/>
    <hyperlink ref="E316" location="DoorHandles" display="см. Таблицу Ручки" xr:uid="{00000000-0004-0000-0100-000028000000}"/>
    <hyperlink ref="E524" location="DoorHandles" display="см. Таблицу Ручки" xr:uid="{00000000-0004-0000-0100-000029000000}"/>
    <hyperlink ref="E967" location="DoorHandles" display="см. Таблицу Ручки" xr:uid="{00000000-0004-0000-0100-00002A000000}"/>
    <hyperlink ref="E1045" location="DoorHandles" display="см. Таблицу Ручки" xr:uid="{00000000-0004-0000-0100-00002B000000}"/>
    <hyperlink ref="E1709" location="DoorHandles" display="DoorHandles" xr:uid="{00000000-0004-0000-0100-00002C000000}"/>
    <hyperlink ref="E1786" location="DoorHandles" display="см. Таблицу Ручки" xr:uid="{00000000-0004-0000-0100-00002D000000}"/>
    <hyperlink ref="E1862" location="DoorHandles" display="см. Таблицу Ручки" xr:uid="{00000000-0004-0000-0100-00002E000000}"/>
    <hyperlink ref="E1700" location="Door_Lineya" display="Door_Lineya" xr:uid="{00000000-0004-0000-0100-00002F000000}"/>
    <hyperlink ref="T2313" location="Frame_Premi" display="Frame_Premi" xr:uid="{00000000-0004-0000-0100-000030000000}"/>
    <hyperlink ref="T2331" location="Framugi" display="Framugi" xr:uid="{00000000-0004-0000-0100-000031000000}"/>
    <hyperlink ref="T2589:W2589" location="Plinths" display="Plinths" xr:uid="{00000000-0004-0000-0100-000032000000}"/>
    <hyperlink ref="T2313:W2313" location="Frame_VFit" display="Frame_VFit" xr:uid="{00000000-0004-0000-0100-000033000000}"/>
    <hyperlink ref="T2263:W2263" location="Frame_VFitPlus" display="Frame_VFitPlus" xr:uid="{00000000-0004-0000-0100-000034000000}"/>
    <hyperlink ref="T2381" location="Frame_Premi" display="Frame_Premi" xr:uid="{00000000-0004-0000-0100-000035000000}"/>
    <hyperlink ref="T2446" location="Framugi" display="Framugi" xr:uid="{00000000-0004-0000-0100-000036000000}"/>
    <hyperlink ref="T2381:W2381" location="Frame_VFitPlus" display="Frame_VFitPlus" xr:uid="{00000000-0004-0000-0100-000037000000}"/>
    <hyperlink ref="T2331:W2331" location="Frame_VFitComfort" display="Frame_VFitComfort" xr:uid="{00000000-0004-0000-0100-000038000000}"/>
    <hyperlink ref="T1169" location="Door_LadaK" display="Door_LadaK" xr:uid="{00000000-0004-0000-0100-000039000000}"/>
    <hyperlink ref="E1195" location="DoorHandles" display="см. Таблицу Ручки" xr:uid="{00000000-0004-0000-0100-00003A000000}"/>
    <hyperlink ref="U1196:X1196" location="Door_Pollo" display="Door_Pollo" xr:uid="{00000000-0004-0000-0100-00003B000000}"/>
    <hyperlink ref="T1169:W1169" location="Door_Mira" display="Door_Mira" xr:uid="{00000000-0004-0000-0100-00003C000000}"/>
    <hyperlink ref="U1196:W1196" location="Door_Linda" display="Door_Linda" xr:uid="{00000000-0004-0000-0100-00003D000000}"/>
    <hyperlink ref="T1465" location="Door_LadaK" display="Door_LadaK" xr:uid="{00000000-0004-0000-0100-00003E000000}"/>
    <hyperlink ref="T1489:W1489" location="Door_Modern" display="Door_Modern" xr:uid="{00000000-0004-0000-0100-00003F000000}"/>
    <hyperlink ref="T1465:W1465" location="Door_Eva" display="Door_Eva" xr:uid="{00000000-0004-0000-0100-000040000000}"/>
    <hyperlink ref="E1488" location="DoorHandles" display="см. Таблицу Ручки" xr:uid="{00000000-0004-0000-0100-000041000000}"/>
    <hyperlink ref="T1539" location="Door_LadaK" display="Door_LadaK" xr:uid="{00000000-0004-0000-0100-000042000000}"/>
    <hyperlink ref="U1563:X1563" location="Door_Lineya" display="Door_Lineya" xr:uid="{00000000-0004-0000-0100-000043000000}"/>
    <hyperlink ref="T1539:W1539" location="Door_Trend" display="Door_Trend" xr:uid="{00000000-0004-0000-0100-000044000000}"/>
    <hyperlink ref="E1562" location="DoorHandles" display="см. Таблицу Ручки" xr:uid="{00000000-0004-0000-0100-000045000000}"/>
    <hyperlink ref="U1563:W1563" location="Door_Pollo" display="Door_Pollo" xr:uid="{00000000-0004-0000-0100-000046000000}"/>
    <hyperlink ref="T2241:W2241" location="Frame_Stand" display="Frame_Stand" xr:uid="{00000000-0004-0000-0100-000047000000}"/>
    <hyperlink ref="T2531" location="Frame_Premi" display="Frame_Premi" xr:uid="{00000000-0004-0000-0100-000048000000}"/>
    <hyperlink ref="T2531:W2531" location="Frame_VFitComfort" display="Frame_VFitComfort" xr:uid="{00000000-0004-0000-0100-000049000000}"/>
    <hyperlink ref="T2446:W2446" location="Plinths" display="Plinths" xr:uid="{00000000-0004-0000-0100-00004A000000}"/>
    <hyperlink ref="T2539" location="Framugi" display="Framugi" xr:uid="{00000000-0004-0000-0100-00004B000000}"/>
    <hyperlink ref="T2539:W2539" location="Framugi" display="Framugi" xr:uid="{00000000-0004-0000-0100-00004C000000}"/>
    <hyperlink ref="T721" location="Door_Idea_line" display="Door_Idea_line" xr:uid="{00000000-0004-0000-0100-00004D000000}"/>
    <hyperlink ref="T744:W744" location="Door_Nika" display="Door_Nika" xr:uid="{00000000-0004-0000-0100-00004E000000}"/>
    <hyperlink ref="E743" location="DoorHandles" display="см. Таблицу Ручки" xr:uid="{00000000-0004-0000-0100-00004F000000}"/>
    <hyperlink ref="T721:W721" location="Door_LadaC" display="Door_LadaC" xr:uid="{00000000-0004-0000-0100-000050000000}"/>
    <hyperlink ref="T575" location="Door_Idea_line" display="Door_Idea_line" xr:uid="{00000000-0004-0000-0100-000051000000}"/>
    <hyperlink ref="T599:W599" location="Door_LadaC" display="Door_LadaC" xr:uid="{00000000-0004-0000-0100-000052000000}"/>
    <hyperlink ref="E598" location="DoorHandles" display="см. Таблицу Ручки" xr:uid="{00000000-0004-0000-0100-000053000000}"/>
    <hyperlink ref="T575:W575" location="Door_LadaA" display="Door_LadaA" xr:uid="{00000000-0004-0000-0100-000054000000}"/>
    <hyperlink ref="T649" location="Door_Idea_line" display="Door_Idea_line" xr:uid="{00000000-0004-0000-0100-000055000000}"/>
    <hyperlink ref="T671:W671" location="Door_LadaD" display="Door_LadaD" xr:uid="{00000000-0004-0000-0100-000056000000}"/>
    <hyperlink ref="E670" location="DoorHandles" display="см. Таблицу Ручки" xr:uid="{00000000-0004-0000-0100-000057000000}"/>
    <hyperlink ref="T649:W649" location="Door_LadaB" display="Door_LadaB" xr:uid="{00000000-0004-0000-0100-000058000000}"/>
    <hyperlink ref="T794" location="Door_Idea_line" display="Door_Idea_line" xr:uid="{00000000-0004-0000-0100-000059000000}"/>
    <hyperlink ref="T817:W817" location="Door_Lisa" display="Door_Lisa" xr:uid="{00000000-0004-0000-0100-00005A000000}"/>
    <hyperlink ref="E816" location="DoorHandles" display="см. Таблицу Ручки" xr:uid="{00000000-0004-0000-0100-00005B000000}"/>
    <hyperlink ref="T794:W794" location="Door_LadaC" display="Door_LadaC" xr:uid="{00000000-0004-0000-0100-00005C000000}"/>
    <hyperlink ref="T867" location="Door_Idea_line" display="Door_Idea_line" xr:uid="{00000000-0004-0000-0100-00005D000000}"/>
    <hyperlink ref="T890:W890" location="Door_LadaK" display="Door_LadaK" xr:uid="{00000000-0004-0000-0100-00005E000000}"/>
    <hyperlink ref="E889" location="DoorHandles" display="см. Таблицу Ручки" xr:uid="{00000000-0004-0000-0100-00005F000000}"/>
    <hyperlink ref="T867:W867" location="Door_LadaC" display="Door_LadaC" xr:uid="{00000000-0004-0000-0100-000060000000}"/>
    <hyperlink ref="T1096" location="Door_Idea_line" display="Door_Idea_line" xr:uid="{00000000-0004-0000-0100-000061000000}"/>
    <hyperlink ref="T1119:W1119" location="Door_LadaL" display="Door_LadaL" xr:uid="{00000000-0004-0000-0100-000062000000}"/>
    <hyperlink ref="E1118" location="DoorHandles" display="см. Таблицу Ручки" xr:uid="{00000000-0004-0000-0100-000063000000}"/>
    <hyperlink ref="T1096:W1096" location="Door_LadaN" display="Door_LadaN" xr:uid="{00000000-0004-0000-0100-000064000000}"/>
    <hyperlink ref="T940:W940" location="Door_Lisa" display="Door_Lisa" xr:uid="{00000000-0004-0000-0100-000065000000}"/>
    <hyperlink ref="T1246" location="Door_Idea_line" display="Door_Idea_line" xr:uid="{00000000-0004-0000-0100-000066000000}"/>
    <hyperlink ref="U1268:W1268" location="Door_Tiana" display="Door_Tiana" xr:uid="{00000000-0004-0000-0100-000067000000}"/>
    <hyperlink ref="E1267" location="DoorHandles" display="см. Таблицу Ручки" xr:uid="{00000000-0004-0000-0100-000068000000}"/>
    <hyperlink ref="T1246:W1246" location="Door_LadaL" display="Door_LadaL" xr:uid="{00000000-0004-0000-0100-000069000000}"/>
    <hyperlink ref="T1318" location="Door_Idea_line" display="Door_Idea_line" xr:uid="{00000000-0004-0000-0100-00006A000000}"/>
    <hyperlink ref="U1341:X1341" location="Door_Eva" display="Door_Eva" xr:uid="{00000000-0004-0000-0100-00006B000000}"/>
    <hyperlink ref="E1340" location="DoorHandles" display="см. Таблицу Ручки" xr:uid="{00000000-0004-0000-0100-00006C000000}"/>
    <hyperlink ref="T1318:W1318" location="Door_Linda" display="Door_Linda" xr:uid="{00000000-0004-0000-0100-00006D000000}"/>
    <hyperlink ref="T1391" location="Door_Idea_line" display="Door_Idea_line" xr:uid="{00000000-0004-0000-0100-00006E000000}"/>
    <hyperlink ref="U1415:X1415" location="Door_LadaL" display="Door_LadaL" xr:uid="{00000000-0004-0000-0100-00006F000000}"/>
    <hyperlink ref="E1414" location="DoorHandles" display="см. Таблицу Ручки" xr:uid="{00000000-0004-0000-0100-000070000000}"/>
    <hyperlink ref="T1391:W1391" location="Door_Tiana" display="Door_Tiana" xr:uid="{00000000-0004-0000-0100-000071000000}"/>
    <hyperlink ref="T1613" location="Door_LadaK" display="Door_LadaK" xr:uid="{00000000-0004-0000-0100-000072000000}"/>
    <hyperlink ref="T1638:W1638" location="Door_Lineya" display="Door_Lineya" xr:uid="{00000000-0004-0000-0100-000073000000}"/>
    <hyperlink ref="T1613:W1613" location="Door_Modern" display="Door_Modern" xr:uid="{00000000-0004-0000-0100-000074000000}"/>
    <hyperlink ref="E1637" location="DoorHandles" display="см. Таблицу Ручки" xr:uid="{00000000-0004-0000-0100-000075000000}"/>
    <hyperlink ref="U1415:W1415" location="Door_Trend" display="Door_Trend" xr:uid="{00000000-0004-0000-0100-000076000000}"/>
    <hyperlink ref="S1981" location="Door_VertoEleg" display="Door_VertoEleg" xr:uid="{00000000-0004-0000-0100-000077000000}"/>
    <hyperlink ref="S1981:W1981" location="Door_Glasford" display="Door_Glasford" xr:uid="{00000000-0004-0000-0100-000078000000}"/>
    <hyperlink ref="T1998:W1998" location="Door_Dobor" display="Door_Dobor" xr:uid="{00000000-0004-0000-0100-000079000000}"/>
    <hyperlink ref="T368" location="Door_Gordana" display="Door_Gordana" xr:uid="{00000000-0004-0000-0100-00007A000000}"/>
    <hyperlink ref="T390:W390" location="Door_LadaA" display="Door_LadaA" xr:uid="{00000000-0004-0000-0100-00007B000000}"/>
    <hyperlink ref="E388" location="DoorHandles" display="см. Таблицу Ручки" xr:uid="{00000000-0004-0000-0100-00007C000000}"/>
    <hyperlink ref="T368:W368" location="Door_Idea" display="Door_Idea" xr:uid="{00000000-0004-0000-0100-00007D000000}"/>
    <hyperlink ref="O90" location="Door_Standard" display="Door_Standard" xr:uid="{00000000-0004-0000-0100-00007E000000}"/>
    <hyperlink ref="O164" location="Door_RutaF" display="Door_RutaF" xr:uid="{00000000-0004-0000-0100-00007F000000}"/>
    <hyperlink ref="O291" location="Door_Gordana" display="Door_Gordana" xr:uid="{00000000-0004-0000-0100-000080000000}"/>
    <hyperlink ref="O502" location="Door_Idea_line" display="Door_Idea_line" xr:uid="{00000000-0004-0000-0100-000081000000}"/>
    <hyperlink ref="O2048" location="Door_Dobor_Lada" display="Door_Dobor_Lada" xr:uid="{00000000-0004-0000-0100-000082000000}"/>
    <hyperlink ref="O1981" location="Door_Glasford" display="Door_Glasford" xr:uid="{00000000-0004-0000-0100-000083000000}"/>
    <hyperlink ref="S291" location="Door_RutaF" display="Door_RutaF" xr:uid="{00000000-0004-0000-0100-000084000000}"/>
    <hyperlink ref="S402" location="Door_Idea_line" display="Door_Idea_line" xr:uid="{00000000-0004-0000-0100-000085000000}"/>
    <hyperlink ref="T427:W427" location="Door_LadaB" display="Door_LadaB" xr:uid="{00000000-0004-0000-0100-000086000000}"/>
    <hyperlink ref="E426" location="DoorHandles" display="см. Таблицу Ручки" xr:uid="{00000000-0004-0000-0100-000087000000}"/>
    <hyperlink ref="O402" location="Door_Idea_line" display="Door_Idea_line" xr:uid="{00000000-0004-0000-0100-000088000000}"/>
    <hyperlink ref="T2423" location="Frame_Premi" display="Frame_Premi" xr:uid="{00000000-0004-0000-0100-000089000000}"/>
    <hyperlink ref="T2423:W2423" location="Frame_VFitPlus" display="Frame_VFitPlus" xr:uid="{00000000-0004-0000-0100-00008A000000}"/>
    <hyperlink ref="T2405" location="Framugi" display="Framugi" xr:uid="{7FDBF325-16BD-4D79-B8CA-6E4B893960E4}"/>
    <hyperlink ref="T2405:W2405" location="Plinths" display="Plinths" xr:uid="{1235ADFA-74AD-42FB-9FDF-5F9775AFF5A2}"/>
    <hyperlink ref="S452" location="Door_Idea_line" display="Door_Idea_line" xr:uid="{2154B931-8F32-461D-B7CA-DF0651D0DB7C}"/>
    <hyperlink ref="T476:W476" location="Door_LadaB" display="Door_LadaB" xr:uid="{D7487DD6-9FB3-4301-A630-A0341EB0347A}"/>
    <hyperlink ref="E475" location="DoorHandles" display="см. Таблицу Ручки" xr:uid="{0BE71BC7-270E-4960-8A9E-5928FEE8CAB6}"/>
    <hyperlink ref="O452" location="Door_Idea_line" display="Door_Idea_line" xr:uid="{74DE33A2-58AE-4D19-A082-494DD82AA7B7}"/>
  </hyperlinks>
  <pageMargins left="0.23622047244094491" right="0.27559055118110237" top="0.27559055118110237" bottom="0.31496062992125984" header="0.27559055118110237" footer="0.31496062992125984"/>
  <pageSetup paperSize="9" scale="86" fitToHeight="50" orientation="landscape" r:id="rId1"/>
  <headerFooter alignWithMargins="0"/>
  <rowBreaks count="18" manualBreakCount="18">
    <brk id="89" max="18" man="1"/>
    <brk id="163" max="18" man="1"/>
    <brk id="290" max="18" man="1"/>
    <brk id="501" max="18" man="1"/>
    <brk id="939" max="18" man="1"/>
    <brk id="1017" max="18" man="1"/>
    <brk id="1686" max="18" man="1"/>
    <brk id="1759" max="18" man="1"/>
    <brk id="1836" max="18" man="1"/>
    <brk id="1912" max="18" man="1"/>
    <brk id="2046" max="18" man="1"/>
    <brk id="2112" max="18" man="1"/>
    <brk id="2172" max="18" man="1"/>
    <brk id="2240" max="18" man="1"/>
    <brk id="2312" max="16383" man="1"/>
    <brk id="2588" max="18" man="1"/>
    <brk id="2666" max="16383" man="1"/>
    <brk id="2724" max="1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>
    <tabColor indexed="22"/>
  </sheetPr>
  <dimension ref="A1:R539"/>
  <sheetViews>
    <sheetView showGridLines="0" zoomScale="70" zoomScaleNormal="70" workbookViewId="0">
      <pane ySplit="6" topLeftCell="A85" activePane="bottomLeft" state="frozen"/>
      <selection pane="bottomLeft" activeCell="P109" sqref="P109"/>
    </sheetView>
  </sheetViews>
  <sheetFormatPr defaultColWidth="9.109375" defaultRowHeight="13.2"/>
  <cols>
    <col min="1" max="1" width="1" style="33" customWidth="1"/>
    <col min="2" max="2" width="17.6640625" style="33" customWidth="1"/>
    <col min="3" max="3" width="11.6640625" style="33" customWidth="1"/>
    <col min="4" max="13" width="14.6640625" style="33" customWidth="1"/>
    <col min="14" max="16384" width="9.109375" style="33"/>
  </cols>
  <sheetData>
    <row r="1" spans="1:18" ht="12.75" customHeight="1">
      <c r="B1" s="113" t="str">
        <f>TITLE!B2</f>
        <v>ВЕРСІЯ: 58.00.25</v>
      </c>
      <c r="C1" s="235" t="str">
        <f>Products!C1</f>
        <v>UA</v>
      </c>
      <c r="M1" s="215" t="str">
        <f>IF($C$1="ENG","PRINT VERSION","ВЕРСІЯ ДЛЯ ДРУКУ")</f>
        <v>ВЕРСІЯ ДЛЯ ДРУКУ</v>
      </c>
    </row>
    <row r="2" spans="1:18">
      <c r="H2" s="338"/>
      <c r="I2" s="338"/>
      <c r="J2" s="236"/>
      <c r="K2" s="237" t="str">
        <f>Products!U2</f>
        <v>знижка</v>
      </c>
      <c r="L2" s="238">
        <f>Products!W2</f>
        <v>0</v>
      </c>
      <c r="M2" s="243"/>
    </row>
    <row r="3" spans="1:18">
      <c r="D3" s="560" t="str">
        <f>Products!E4</f>
        <v>РОЗДРІБНІ ЦІНИ НА ПРОДУКЦІЮ ТМ VERTO</v>
      </c>
      <c r="E3" s="560"/>
      <c r="F3" s="560"/>
      <c r="G3" s="560"/>
      <c r="H3" s="339"/>
      <c r="I3" s="339"/>
      <c r="J3" s="229"/>
      <c r="K3" s="239" t="str">
        <f>Products!U4</f>
        <v>курс валют (за 1 грн.)</v>
      </c>
      <c r="L3" s="240">
        <f>Products!W4</f>
        <v>1</v>
      </c>
      <c r="M3" s="229"/>
    </row>
    <row r="4" spans="1:18" ht="12.75" customHeight="1">
      <c r="D4" s="561" t="str">
        <f>Products!E5</f>
        <v>діє з: 01 лютого 2025 р.</v>
      </c>
      <c r="E4" s="561"/>
      <c r="F4" s="561"/>
      <c r="G4" s="561"/>
      <c r="H4" s="339"/>
      <c r="I4" s="339"/>
      <c r="J4" s="229"/>
      <c r="K4" s="241" t="str">
        <f>Products!U5</f>
        <v>ПДВ</v>
      </c>
      <c r="L4" s="242">
        <f>Products!W5</f>
        <v>0.2</v>
      </c>
      <c r="M4" s="229"/>
    </row>
    <row r="5" spans="1:18" ht="5.0999999999999996" customHeight="1">
      <c r="C5" s="35"/>
      <c r="D5" s="35"/>
      <c r="E5" s="35"/>
    </row>
    <row r="6" spans="1:18" ht="12.75" customHeight="1">
      <c r="B6" s="562" t="str">
        <f>Products!B8</f>
        <v>Асортимент</v>
      </c>
      <c r="C6" s="563"/>
      <c r="D6" s="564" t="str">
        <f>CONCATENATE(D3," ",Products!E8)</f>
        <v>РОЗДРІБНІ ЦІНИ НА ПРОДУКЦІЮ ТМ VERTO з ПДВ</v>
      </c>
      <c r="E6" s="565"/>
      <c r="F6" s="565"/>
      <c r="G6" s="565"/>
      <c r="H6" s="565"/>
      <c r="I6" s="565"/>
      <c r="J6" s="565"/>
      <c r="K6" s="565"/>
      <c r="L6" s="565"/>
      <c r="M6" s="566"/>
    </row>
    <row r="8" spans="1:18" s="31" customFormat="1" ht="12.75" customHeight="1">
      <c r="B8" s="540" t="str">
        <f>TITLE!$C$8</f>
        <v>Полотна каркасно-щитові: СТАНДАРТ</v>
      </c>
      <c r="C8" s="541"/>
      <c r="D8" s="541"/>
      <c r="E8" s="541"/>
      <c r="F8" s="170"/>
      <c r="G8" s="170"/>
      <c r="H8" s="170"/>
      <c r="I8" s="170"/>
      <c r="J8" s="343"/>
      <c r="K8" s="343"/>
      <c r="L8" s="343"/>
      <c r="M8" s="344"/>
    </row>
    <row r="9" spans="1:18">
      <c r="A9" s="31"/>
      <c r="B9" s="538" t="str">
        <f>Products!B12</f>
        <v>модель</v>
      </c>
      <c r="C9" s="166" t="str">
        <f>Products!C12</f>
        <v>покриття:</v>
      </c>
      <c r="D9" s="169" t="str">
        <f>Products!D12</f>
        <v>SIMPL / V-CELL</v>
      </c>
      <c r="E9" s="169" t="str">
        <f>Products!F12</f>
        <v>UNI-MAT</v>
      </c>
      <c r="F9" s="46"/>
      <c r="G9" s="46"/>
      <c r="H9" s="216"/>
      <c r="I9" s="216"/>
      <c r="J9" s="216"/>
      <c r="K9" s="345"/>
      <c r="L9" s="346" t="str">
        <f>Products!B24</f>
        <v>вентиляційні віддушини (1ряд)</v>
      </c>
      <c r="M9" s="347">
        <f>Products!E24</f>
        <v>250</v>
      </c>
      <c r="O9" s="217"/>
      <c r="P9" s="217"/>
      <c r="Q9" s="217"/>
      <c r="R9" s="217"/>
    </row>
    <row r="10" spans="1:18">
      <c r="A10" s="31"/>
      <c r="B10" s="538"/>
      <c r="C10" s="157" t="str">
        <f>Products!C13</f>
        <v>заповнення:</v>
      </c>
      <c r="D10" s="168" t="str">
        <f>Products!D13</f>
        <v>сотове заповнення</v>
      </c>
      <c r="E10" s="168" t="str">
        <f>Products!F13</f>
        <v>сотове заповнення</v>
      </c>
      <c r="F10" s="146"/>
      <c r="G10" s="146"/>
      <c r="H10" s="216"/>
      <c r="I10" s="216"/>
      <c r="J10" s="216"/>
      <c r="K10" s="348"/>
      <c r="L10" s="346" t="str">
        <f>Products!B25</f>
        <v>вентиляційний підріз</v>
      </c>
      <c r="M10" s="347">
        <f>Products!E25</f>
        <v>170.00000000000003</v>
      </c>
      <c r="O10" s="217"/>
      <c r="P10" s="217"/>
      <c r="Q10" s="217"/>
      <c r="R10" s="217"/>
    </row>
    <row r="11" spans="1:18" ht="12.75" customHeight="1">
      <c r="A11" s="31"/>
      <c r="B11" s="539"/>
      <c r="C11" s="158" t="str">
        <f>Products!C14</f>
        <v>скління:</v>
      </c>
      <c r="D11" s="161" t="str">
        <f>Products!D14</f>
        <v>Кризет</v>
      </c>
      <c r="E11" s="161" t="str">
        <f>Products!F14</f>
        <v>Кризет</v>
      </c>
      <c r="F11" s="159"/>
      <c r="G11" s="160"/>
      <c r="H11" s="216"/>
      <c r="I11" s="216"/>
      <c r="J11" s="216"/>
      <c r="K11" s="348"/>
      <c r="L11" s="346" t="str">
        <f>Products!B26</f>
        <v>третя завіса</v>
      </c>
      <c r="M11" s="347">
        <f>Products!E26</f>
        <v>80</v>
      </c>
      <c r="O11" s="218"/>
      <c r="P11" s="218"/>
      <c r="Q11" s="218"/>
      <c r="R11" s="218"/>
    </row>
    <row r="12" spans="1:18">
      <c r="A12" s="31"/>
      <c r="B12" s="13" t="str">
        <f>Products!B15</f>
        <v>1А</v>
      </c>
      <c r="C12" s="163"/>
      <c r="D12" s="185">
        <f>Products!E15</f>
        <v>5310</v>
      </c>
      <c r="E12" s="183">
        <f>Products!G15</f>
        <v>6060</v>
      </c>
      <c r="F12" s="97"/>
      <c r="G12" s="97"/>
      <c r="H12" s="219"/>
      <c r="I12" s="219"/>
      <c r="J12" s="350"/>
      <c r="K12" s="348"/>
      <c r="L12" s="346" t="str">
        <f>Products!B27</f>
        <v>скло Сатин (мод.1А,1Б)</v>
      </c>
      <c r="M12" s="347">
        <f>Products!E27</f>
        <v>340.00000000000006</v>
      </c>
    </row>
    <row r="13" spans="1:18">
      <c r="A13" s="31"/>
      <c r="B13" s="16" t="str">
        <f>Products!B16</f>
        <v>1Б</v>
      </c>
      <c r="C13" s="164"/>
      <c r="D13" s="185">
        <f>Products!E16</f>
        <v>5620.0000000000009</v>
      </c>
      <c r="E13" s="185">
        <f>Products!G16</f>
        <v>6440</v>
      </c>
      <c r="F13" s="97"/>
      <c r="G13" s="97"/>
      <c r="H13" s="220"/>
      <c r="I13" s="220"/>
      <c r="J13" s="351"/>
      <c r="K13" s="348"/>
      <c r="L13" s="346" t="str">
        <f>Products!B28</f>
        <v>скло Сатин (мод.2А,2Б,3,4)</v>
      </c>
      <c r="M13" s="347">
        <f>Products!E28</f>
        <v>420</v>
      </c>
    </row>
    <row r="14" spans="1:18">
      <c r="A14" s="31"/>
      <c r="B14" s="16" t="str">
        <f>Products!B17</f>
        <v>2А</v>
      </c>
      <c r="C14" s="164"/>
      <c r="D14" s="185">
        <f>Products!E17</f>
        <v>5310</v>
      </c>
      <c r="E14" s="185">
        <f>Products!G17</f>
        <v>6060</v>
      </c>
      <c r="F14" s="97"/>
      <c r="G14" s="97"/>
      <c r="H14" s="221"/>
      <c r="I14" s="221"/>
      <c r="J14" s="352"/>
      <c r="K14" s="348"/>
      <c r="L14" s="346" t="str">
        <f>Products!B29</f>
        <v>скло Графіт / Бронза</v>
      </c>
      <c r="M14" s="347">
        <f>Products!E29</f>
        <v>550</v>
      </c>
    </row>
    <row r="15" spans="1:18">
      <c r="A15" s="31"/>
      <c r="B15" s="16" t="str">
        <f>Products!B18</f>
        <v>2Б</v>
      </c>
      <c r="C15" s="164"/>
      <c r="D15" s="185">
        <f>Products!E18</f>
        <v>5620.0000000000009</v>
      </c>
      <c r="E15" s="185">
        <f>Products!G18</f>
        <v>6440</v>
      </c>
      <c r="F15" s="97"/>
      <c r="G15" s="97"/>
      <c r="H15" s="220"/>
      <c r="I15" s="220"/>
      <c r="J15" s="351"/>
      <c r="K15" s="348"/>
      <c r="L15" s="346" t="str">
        <f>Products!B30</f>
        <v>замок Soft</v>
      </c>
      <c r="M15" s="347">
        <f>Products!E30</f>
        <v>550</v>
      </c>
    </row>
    <row r="16" spans="1:18">
      <c r="A16" s="31"/>
      <c r="B16" s="16" t="str">
        <f>Products!B19</f>
        <v>3.0 - 3.1</v>
      </c>
      <c r="C16" s="164"/>
      <c r="D16" s="185">
        <f>Products!E19</f>
        <v>4990.0000000000009</v>
      </c>
      <c r="E16" s="185">
        <f>Products!G19</f>
        <v>5720</v>
      </c>
      <c r="F16" s="97"/>
      <c r="G16" s="97"/>
      <c r="H16" s="220"/>
      <c r="I16" s="220"/>
      <c r="J16" s="351"/>
      <c r="K16" s="348"/>
      <c r="L16" s="346" t="str">
        <f>Products!B31</f>
        <v>замок Soft чорн.</v>
      </c>
      <c r="M16" s="347">
        <f>Products!E31</f>
        <v>680.00000000000011</v>
      </c>
    </row>
    <row r="17" spans="1:17">
      <c r="A17" s="31"/>
      <c r="B17" s="23" t="str">
        <f>Products!B20</f>
        <v>4.0 - 4.2</v>
      </c>
      <c r="C17" s="165"/>
      <c r="D17" s="187">
        <f>Products!E20</f>
        <v>4990.0000000000009</v>
      </c>
      <c r="E17" s="187">
        <f>Products!G20</f>
        <v>5720</v>
      </c>
      <c r="F17" s="97"/>
      <c r="G17" s="97"/>
      <c r="H17" s="220"/>
      <c r="I17" s="220"/>
      <c r="J17" s="351"/>
      <c r="K17" s="348"/>
      <c r="L17" s="346" t="str">
        <f>Products!B32</f>
        <v>замок Magnet</v>
      </c>
      <c r="M17" s="347">
        <f>Products!E32</f>
        <v>800.00000000000011</v>
      </c>
    </row>
    <row r="18" spans="1:17">
      <c r="A18" s="31"/>
      <c r="B18" s="313"/>
      <c r="C18" s="314"/>
      <c r="D18" s="196"/>
      <c r="E18" s="199"/>
      <c r="F18" s="97"/>
      <c r="G18" s="97"/>
      <c r="H18" s="220"/>
      <c r="I18" s="220"/>
      <c r="J18" s="351"/>
      <c r="K18" s="348"/>
      <c r="L18" s="346" t="str">
        <f>Products!B33</f>
        <v>замок Magnet чорн.</v>
      </c>
      <c r="M18" s="347">
        <f>Products!E33</f>
        <v>1000</v>
      </c>
    </row>
    <row r="19" spans="1:17">
      <c r="C19" s="34"/>
      <c r="D19" s="34"/>
      <c r="E19" s="34"/>
      <c r="F19" s="31"/>
      <c r="J19" s="353"/>
      <c r="K19" s="348"/>
      <c r="L19" s="346" t="str">
        <f>Products!B34</f>
        <v>ручка-замок (для дверей купе)</v>
      </c>
      <c r="M19" s="347">
        <f>Products!E34</f>
        <v>560</v>
      </c>
      <c r="N19" s="218"/>
      <c r="O19" s="218"/>
      <c r="P19" s="218"/>
      <c r="Q19" s="218"/>
    </row>
    <row r="20" spans="1:17">
      <c r="C20" s="34"/>
      <c r="D20" s="34"/>
      <c r="E20" s="34"/>
      <c r="F20" s="31"/>
      <c r="J20" s="353"/>
      <c r="K20" s="348"/>
      <c r="L20" s="346" t="str">
        <f>Products!B35</f>
        <v>циліндр несиметричний</v>
      </c>
      <c r="M20" s="347">
        <f>Products!E35</f>
        <v>390</v>
      </c>
      <c r="N20" s="218"/>
      <c r="O20" s="218"/>
      <c r="P20" s="218"/>
      <c r="Q20" s="218"/>
    </row>
    <row r="21" spans="1:17">
      <c r="C21" s="34"/>
      <c r="D21" s="34"/>
      <c r="E21" s="34"/>
      <c r="F21" s="31"/>
      <c r="J21" s="353"/>
      <c r="K21" s="348"/>
      <c r="L21" s="346" t="str">
        <f>Products!B36</f>
        <v>завіса Prestige (1 шт)</v>
      </c>
      <c r="M21" s="347">
        <f>Products!E36</f>
        <v>260</v>
      </c>
      <c r="N21" s="218"/>
      <c r="O21" s="218"/>
      <c r="P21" s="218"/>
      <c r="Q21" s="218"/>
    </row>
    <row r="22" spans="1:17">
      <c r="C22" s="34"/>
      <c r="D22" s="34"/>
      <c r="E22" s="34"/>
      <c r="F22" s="31"/>
      <c r="J22" s="353"/>
      <c r="K22" s="348"/>
      <c r="L22" s="346" t="str">
        <f>Products!B37</f>
        <v>накладка на завіси (1 к-т)</v>
      </c>
      <c r="M22" s="347">
        <f>Products!E37</f>
        <v>80</v>
      </c>
      <c r="N22" s="218"/>
      <c r="O22" s="218"/>
      <c r="P22" s="218"/>
      <c r="Q22" s="218"/>
    </row>
    <row r="23" spans="1:17">
      <c r="C23" s="34"/>
      <c r="D23" s="34"/>
      <c r="E23" s="34"/>
      <c r="F23" s="31"/>
      <c r="J23" s="353"/>
      <c r="K23" s="348"/>
      <c r="L23" s="346" t="str">
        <f>Products!B38</f>
        <v>дверна ручка</v>
      </c>
      <c r="M23" s="347" t="str">
        <f>Products!E38</f>
        <v>див. Таблицю Ручки</v>
      </c>
      <c r="N23" s="218"/>
      <c r="O23" s="218"/>
      <c r="P23" s="218"/>
      <c r="Q23" s="218"/>
    </row>
    <row r="24" spans="1:17">
      <c r="C24" s="34"/>
      <c r="D24" s="34"/>
      <c r="E24" s="34"/>
      <c r="F24" s="31"/>
      <c r="J24" s="353"/>
      <c r="K24" s="348"/>
      <c r="L24" s="346" t="str">
        <f>Products!B39</f>
        <v>ДСП трубчасте</v>
      </c>
      <c r="M24" s="347">
        <f>Products!E39</f>
        <v>1300.0000000000002</v>
      </c>
      <c r="N24" s="218"/>
      <c r="O24" s="218"/>
      <c r="P24" s="218"/>
      <c r="Q24" s="218"/>
    </row>
    <row r="25" spans="1:17" s="31" customFormat="1" ht="12.75" customHeight="1">
      <c r="B25" s="540" t="str">
        <f>TITLE!$C$9</f>
        <v>Полотна каркасно-щитові: КУПАВА</v>
      </c>
      <c r="C25" s="541"/>
      <c r="D25" s="541"/>
      <c r="E25" s="541"/>
      <c r="F25" s="170"/>
      <c r="G25" s="170"/>
      <c r="H25" s="170"/>
      <c r="I25" s="170"/>
      <c r="J25" s="343"/>
      <c r="K25" s="343"/>
      <c r="L25" s="355"/>
      <c r="M25" s="356"/>
      <c r="N25" s="218"/>
      <c r="O25" s="218"/>
      <c r="P25" s="218"/>
      <c r="Q25" s="218"/>
    </row>
    <row r="26" spans="1:17">
      <c r="A26" s="31"/>
      <c r="B26" s="538" t="str">
        <f>Products!B92</f>
        <v>модель</v>
      </c>
      <c r="C26" s="166" t="str">
        <f>Products!C92</f>
        <v>покриття:</v>
      </c>
      <c r="D26" s="167" t="str">
        <f>Products!D92</f>
        <v>SIMPL / V-CELL</v>
      </c>
      <c r="E26" s="167" t="str">
        <f>Products!F92</f>
        <v>UNI-MAT</v>
      </c>
      <c r="F26" s="46"/>
      <c r="G26" s="46"/>
      <c r="H26" s="216"/>
      <c r="I26" s="216"/>
      <c r="J26" s="216"/>
      <c r="K26" s="357"/>
      <c r="L26" s="341" t="str">
        <f>Products!B100</f>
        <v>вентиляційний підріз</v>
      </c>
      <c r="M26" s="358">
        <f>Products!E100</f>
        <v>170.00000000000003</v>
      </c>
    </row>
    <row r="27" spans="1:17">
      <c r="A27" s="31"/>
      <c r="B27" s="538"/>
      <c r="C27" s="157" t="str">
        <f>Products!C93</f>
        <v>заповнення:</v>
      </c>
      <c r="D27" s="168" t="str">
        <f>Products!D93</f>
        <v>сотове заповнення</v>
      </c>
      <c r="E27" s="168" t="str">
        <f>Products!F93</f>
        <v>сотове заповнення</v>
      </c>
      <c r="F27" s="146"/>
      <c r="G27" s="146"/>
      <c r="H27" s="216"/>
      <c r="I27" s="216"/>
      <c r="J27" s="216"/>
      <c r="K27" s="348"/>
      <c r="L27" s="342" t="str">
        <f>Products!B101</f>
        <v>третя завіса</v>
      </c>
      <c r="M27" s="349">
        <f>Products!E101</f>
        <v>80</v>
      </c>
    </row>
    <row r="28" spans="1:17" ht="12.75" customHeight="1">
      <c r="A28" s="31"/>
      <c r="B28" s="539"/>
      <c r="C28" s="158" t="str">
        <f>Products!C94</f>
        <v>скління:</v>
      </c>
      <c r="D28" s="161" t="str">
        <f>Products!D94</f>
        <v>Кризет</v>
      </c>
      <c r="E28" s="161" t="str">
        <f>Products!F94</f>
        <v>Кризет</v>
      </c>
      <c r="F28" s="159"/>
      <c r="G28" s="160"/>
      <c r="H28" s="216"/>
      <c r="I28" s="216"/>
      <c r="J28" s="216"/>
      <c r="K28" s="348"/>
      <c r="L28" s="342" t="str">
        <f>Products!B102</f>
        <v>скло Сатин</v>
      </c>
      <c r="M28" s="349">
        <f>Products!E102</f>
        <v>340.00000000000006</v>
      </c>
    </row>
    <row r="29" spans="1:17">
      <c r="A29" s="31"/>
      <c r="B29" s="16" t="str">
        <f>Products!B95</f>
        <v>3.0 - 3.1</v>
      </c>
      <c r="C29" s="164"/>
      <c r="D29" s="185">
        <f>Products!E95</f>
        <v>3570</v>
      </c>
      <c r="E29" s="185">
        <f>Products!G95</f>
        <v>4110</v>
      </c>
      <c r="F29" s="97"/>
      <c r="G29" s="97"/>
      <c r="H29" s="222"/>
      <c r="I29" s="222"/>
      <c r="J29" s="359"/>
      <c r="K29" s="348"/>
      <c r="L29" s="342" t="str">
        <f>Products!B103</f>
        <v>скло Графіт / Бронза</v>
      </c>
      <c r="M29" s="349">
        <f>Products!E103</f>
        <v>550</v>
      </c>
    </row>
    <row r="30" spans="1:17">
      <c r="A30" s="31"/>
      <c r="B30" s="23" t="str">
        <f>Products!B96</f>
        <v>4.0 - 4.1</v>
      </c>
      <c r="C30" s="165"/>
      <c r="D30" s="187">
        <f>Products!E96</f>
        <v>4060</v>
      </c>
      <c r="E30" s="187">
        <f>Products!G96</f>
        <v>4660</v>
      </c>
      <c r="F30" s="97"/>
      <c r="G30" s="97"/>
      <c r="H30" s="222"/>
      <c r="I30" s="222"/>
      <c r="J30" s="359"/>
      <c r="K30" s="348"/>
      <c r="L30" s="342" t="str">
        <f>Products!B104</f>
        <v>замок Soft</v>
      </c>
      <c r="M30" s="349">
        <f>Products!E104</f>
        <v>550</v>
      </c>
    </row>
    <row r="31" spans="1:17">
      <c r="A31" s="31"/>
      <c r="B31" s="313"/>
      <c r="C31" s="314"/>
      <c r="D31" s="196"/>
      <c r="E31" s="199"/>
      <c r="F31" s="97"/>
      <c r="G31" s="97"/>
      <c r="H31" s="222"/>
      <c r="I31" s="222"/>
      <c r="J31" s="359"/>
      <c r="K31" s="348"/>
      <c r="L31" s="342" t="str">
        <f>Products!B105</f>
        <v>замок Soft чорн.</v>
      </c>
      <c r="M31" s="349">
        <f>Products!E105</f>
        <v>680.00000000000011</v>
      </c>
    </row>
    <row r="32" spans="1:17">
      <c r="C32" s="34"/>
      <c r="D32" s="34"/>
      <c r="E32" s="34"/>
      <c r="J32" s="353"/>
      <c r="K32" s="348"/>
      <c r="L32" s="342" t="str">
        <f>Products!B106</f>
        <v>замок Magnet</v>
      </c>
      <c r="M32" s="349">
        <f>Products!E106</f>
        <v>800.00000000000011</v>
      </c>
    </row>
    <row r="33" spans="1:13">
      <c r="C33" s="34"/>
      <c r="D33" s="34"/>
      <c r="E33" s="34"/>
      <c r="J33" s="353"/>
      <c r="K33" s="348"/>
      <c r="L33" s="342" t="str">
        <f>Products!C107</f>
        <v>замок Magnet чорн.</v>
      </c>
      <c r="M33" s="349">
        <f>Products!E107</f>
        <v>1000</v>
      </c>
    </row>
    <row r="34" spans="1:13">
      <c r="C34" s="34"/>
      <c r="D34" s="34"/>
      <c r="E34" s="34"/>
      <c r="J34" s="353"/>
      <c r="K34" s="348"/>
      <c r="L34" s="342" t="str">
        <f>Products!B108</f>
        <v>ручка-замок (для дверей купе)</v>
      </c>
      <c r="M34" s="349">
        <f>Products!E108</f>
        <v>560</v>
      </c>
    </row>
    <row r="35" spans="1:13">
      <c r="C35" s="34"/>
      <c r="D35" s="34"/>
      <c r="E35" s="34"/>
      <c r="J35" s="353"/>
      <c r="K35" s="348"/>
      <c r="L35" s="342" t="str">
        <f>Products!B109</f>
        <v>циліндр несиметричний</v>
      </c>
      <c r="M35" s="349">
        <f>Products!E109</f>
        <v>390</v>
      </c>
    </row>
    <row r="36" spans="1:13">
      <c r="C36" s="34"/>
      <c r="D36" s="34"/>
      <c r="E36" s="34"/>
      <c r="J36" s="353"/>
      <c r="K36" s="348"/>
      <c r="L36" s="342" t="str">
        <f>Products!B110</f>
        <v>завіса Prestige (1 шт)</v>
      </c>
      <c r="M36" s="349">
        <f>Products!E110</f>
        <v>260</v>
      </c>
    </row>
    <row r="37" spans="1:13">
      <c r="C37" s="34"/>
      <c r="D37" s="34"/>
      <c r="E37" s="34"/>
      <c r="J37" s="353"/>
      <c r="K37" s="348"/>
      <c r="L37" s="342" t="str">
        <f>Products!B111</f>
        <v>накладка на завіси (1 к-т)</v>
      </c>
      <c r="M37" s="349">
        <f>Products!E111</f>
        <v>80</v>
      </c>
    </row>
    <row r="38" spans="1:13">
      <c r="C38" s="34"/>
      <c r="D38" s="34"/>
      <c r="E38" s="34"/>
      <c r="J38" s="353"/>
      <c r="K38" s="348"/>
      <c r="L38" s="342" t="str">
        <f>Products!B112</f>
        <v>дверна ручка</v>
      </c>
      <c r="M38" s="349" t="str">
        <f>Products!E112</f>
        <v>див. Таблицю Ручки</v>
      </c>
    </row>
    <row r="39" spans="1:13">
      <c r="C39" s="34"/>
      <c r="D39" s="34"/>
      <c r="E39" s="34"/>
      <c r="J39" s="353"/>
      <c r="K39" s="348"/>
      <c r="L39" s="342" t="str">
        <f>Products!B113</f>
        <v>ДСП трубчасте</v>
      </c>
      <c r="M39" s="349">
        <f>Products!E113</f>
        <v>1300.0000000000002</v>
      </c>
    </row>
    <row r="40" spans="1:13" s="31" customFormat="1" ht="12.75" customHeight="1">
      <c r="B40" s="540" t="str">
        <f>TITLE!$C$10</f>
        <v>Полотна каркасно-щитові: ГЕОМЕТРІЯ</v>
      </c>
      <c r="C40" s="541"/>
      <c r="D40" s="541"/>
      <c r="E40" s="541"/>
      <c r="F40" s="170"/>
      <c r="G40" s="170"/>
      <c r="H40" s="170"/>
      <c r="I40" s="170"/>
      <c r="J40" s="343"/>
      <c r="K40" s="343"/>
      <c r="L40" s="355"/>
      <c r="M40" s="356"/>
    </row>
    <row r="41" spans="1:13">
      <c r="A41" s="31"/>
      <c r="B41" s="538" t="str">
        <f>Products!B166</f>
        <v>модель</v>
      </c>
      <c r="C41" s="166" t="str">
        <f>Products!C166</f>
        <v>покриття:</v>
      </c>
      <c r="D41" s="167" t="str">
        <f>Products!D166</f>
        <v>SIMPL / V-CELL</v>
      </c>
      <c r="E41" s="130" t="str">
        <f>Products!F166</f>
        <v>UNI-MAT</v>
      </c>
      <c r="F41" s="130" t="str">
        <f>Products!H166</f>
        <v>RESIST</v>
      </c>
      <c r="G41" s="326"/>
      <c r="H41" s="46"/>
      <c r="I41" s="46"/>
      <c r="J41" s="46"/>
      <c r="K41" s="357"/>
      <c r="L41" s="341" t="str">
        <f>Products!B177</f>
        <v>вентиляційні віддушини (1ряд)</v>
      </c>
      <c r="M41" s="358">
        <f>Products!E177</f>
        <v>250</v>
      </c>
    </row>
    <row r="42" spans="1:13">
      <c r="A42" s="31"/>
      <c r="B42" s="538"/>
      <c r="C42" s="157" t="str">
        <f>Products!C167</f>
        <v>заповнення:</v>
      </c>
      <c r="D42" s="168" t="str">
        <f>Products!D167</f>
        <v>сотове заповнення</v>
      </c>
      <c r="E42" s="140" t="str">
        <f>Products!F167</f>
        <v>сотове заповнення</v>
      </c>
      <c r="F42" s="140" t="str">
        <f>Products!H167</f>
        <v>сотове заповнення</v>
      </c>
      <c r="G42" s="47"/>
      <c r="H42" s="47"/>
      <c r="I42" s="47"/>
      <c r="J42" s="47"/>
      <c r="K42" s="348"/>
      <c r="L42" s="342" t="str">
        <f>Products!B178</f>
        <v>вентиляційний підріз</v>
      </c>
      <c r="M42" s="349">
        <f>Products!E178</f>
        <v>170.00000000000003</v>
      </c>
    </row>
    <row r="43" spans="1:13" ht="12.75" customHeight="1">
      <c r="A43" s="31"/>
      <c r="B43" s="539"/>
      <c r="C43" s="158" t="str">
        <f>Products!C168</f>
        <v>скління:</v>
      </c>
      <c r="D43" s="161" t="str">
        <f>Products!D168</f>
        <v>Кризет</v>
      </c>
      <c r="E43" s="119" t="str">
        <f>Products!F168</f>
        <v>Кризет</v>
      </c>
      <c r="F43" s="119" t="str">
        <f>Products!H168</f>
        <v>Кризет</v>
      </c>
      <c r="G43" s="160"/>
      <c r="H43" s="159"/>
      <c r="I43" s="159"/>
      <c r="J43" s="159"/>
      <c r="K43" s="348"/>
      <c r="L43" s="342" t="str">
        <f>Products!B179</f>
        <v>третя завіса</v>
      </c>
      <c r="M43" s="349">
        <f>Products!E179</f>
        <v>80</v>
      </c>
    </row>
    <row r="44" spans="1:13">
      <c r="A44" s="31"/>
      <c r="B44" s="13" t="str">
        <f>Products!B169</f>
        <v>1.0 - 1.1</v>
      </c>
      <c r="C44" s="163"/>
      <c r="D44" s="183">
        <f>Products!E169</f>
        <v>3550</v>
      </c>
      <c r="E44" s="184">
        <f>Products!G169</f>
        <v>4080</v>
      </c>
      <c r="F44" s="184">
        <f>Products!I169</f>
        <v>4360</v>
      </c>
      <c r="G44" s="199"/>
      <c r="H44" s="97"/>
      <c r="I44" s="97"/>
      <c r="J44" s="361"/>
      <c r="K44" s="348"/>
      <c r="L44" s="342" t="str">
        <f>Products!B180</f>
        <v>скло Сатин / Жалюзі</v>
      </c>
      <c r="M44" s="349">
        <f>Products!E180</f>
        <v>340.00000000000006</v>
      </c>
    </row>
    <row r="45" spans="1:13">
      <c r="A45" s="31"/>
      <c r="B45" s="16" t="str">
        <f>Products!B170</f>
        <v>3.0 - 3.3</v>
      </c>
      <c r="C45" s="164"/>
      <c r="D45" s="185">
        <f>Products!E170</f>
        <v>3850</v>
      </c>
      <c r="E45" s="186">
        <f>Products!G170</f>
        <v>4440</v>
      </c>
      <c r="F45" s="186">
        <f>Products!I170</f>
        <v>4620</v>
      </c>
      <c r="G45" s="199"/>
      <c r="H45" s="97"/>
      <c r="I45" s="97"/>
      <c r="J45" s="361"/>
      <c r="K45" s="348"/>
      <c r="L45" s="342" t="str">
        <f>Products!B181</f>
        <v>скло Графіт / Бронза</v>
      </c>
      <c r="M45" s="349">
        <f>Products!E181</f>
        <v>550</v>
      </c>
    </row>
    <row r="46" spans="1:13">
      <c r="A46" s="31"/>
      <c r="B46" s="16" t="str">
        <f>Products!B171</f>
        <v>4.0 - 4.4</v>
      </c>
      <c r="C46" s="164"/>
      <c r="D46" s="185">
        <f>Products!E171</f>
        <v>3850</v>
      </c>
      <c r="E46" s="186">
        <f>Products!G171</f>
        <v>4440</v>
      </c>
      <c r="F46" s="186">
        <f>Products!I171</f>
        <v>4620</v>
      </c>
      <c r="G46" s="199"/>
      <c r="H46" s="97"/>
      <c r="I46" s="97"/>
      <c r="J46" s="361"/>
      <c r="K46" s="348"/>
      <c r="L46" s="342" t="str">
        <f>Products!B182</f>
        <v>замок Soft</v>
      </c>
      <c r="M46" s="349">
        <f>Products!E182</f>
        <v>550</v>
      </c>
    </row>
    <row r="47" spans="1:13">
      <c r="A47" s="31"/>
      <c r="B47" s="16" t="str">
        <f>Products!B172</f>
        <v>5.0 - 5.5</v>
      </c>
      <c r="C47" s="164"/>
      <c r="D47" s="185">
        <f>Products!E172</f>
        <v>3850</v>
      </c>
      <c r="E47" s="186">
        <f>Products!G172</f>
        <v>4440</v>
      </c>
      <c r="F47" s="186">
        <f>Products!I172</f>
        <v>4620</v>
      </c>
      <c r="G47" s="199"/>
      <c r="H47" s="97"/>
      <c r="I47" s="97"/>
      <c r="J47" s="361"/>
      <c r="K47" s="348"/>
      <c r="L47" s="342" t="str">
        <f>Products!B183</f>
        <v>замок Soft чорн.</v>
      </c>
      <c r="M47" s="349">
        <f>Products!E183</f>
        <v>680.00000000000011</v>
      </c>
    </row>
    <row r="48" spans="1:13">
      <c r="A48" s="31"/>
      <c r="B48" s="23" t="str">
        <f>Products!B173</f>
        <v>6.0 - 6.6</v>
      </c>
      <c r="C48" s="165"/>
      <c r="D48" s="187">
        <f>Products!E173</f>
        <v>3850</v>
      </c>
      <c r="E48" s="188">
        <f>Products!G173</f>
        <v>4440</v>
      </c>
      <c r="F48" s="188">
        <f>Products!I173</f>
        <v>4620</v>
      </c>
      <c r="G48" s="199"/>
      <c r="H48" s="97"/>
      <c r="I48" s="97"/>
      <c r="J48" s="361"/>
      <c r="K48" s="348"/>
      <c r="L48" s="342" t="str">
        <f>Products!B184</f>
        <v>замок Magnet</v>
      </c>
      <c r="M48" s="349">
        <f>Products!E184</f>
        <v>800.00000000000011</v>
      </c>
    </row>
    <row r="49" spans="1:13">
      <c r="A49" s="31"/>
      <c r="H49" s="97"/>
      <c r="I49" s="97"/>
      <c r="J49" s="361"/>
      <c r="K49" s="348"/>
      <c r="L49" s="342" t="str">
        <f>Products!C185</f>
        <v>замок Magnet чорн.</v>
      </c>
      <c r="M49" s="349">
        <f>Products!E185</f>
        <v>1000</v>
      </c>
    </row>
    <row r="50" spans="1:13">
      <c r="A50" s="31"/>
      <c r="B50" s="175"/>
      <c r="C50" s="176"/>
      <c r="D50" s="199"/>
      <c r="E50" s="199"/>
      <c r="F50" s="199"/>
      <c r="G50" s="199"/>
      <c r="H50" s="97"/>
      <c r="I50" s="97"/>
      <c r="J50" s="361"/>
      <c r="K50" s="348"/>
      <c r="L50" s="342" t="str">
        <f>Products!B186</f>
        <v>ручка-замок (для дверей купе)</v>
      </c>
      <c r="M50" s="349">
        <f>Products!E186</f>
        <v>560</v>
      </c>
    </row>
    <row r="51" spans="1:13">
      <c r="A51" s="31"/>
      <c r="B51" s="175"/>
      <c r="C51" s="176"/>
      <c r="D51" s="199"/>
      <c r="E51" s="199"/>
      <c r="F51" s="199"/>
      <c r="G51" s="199"/>
      <c r="H51" s="97"/>
      <c r="I51" s="97"/>
      <c r="J51" s="361"/>
      <c r="K51" s="348"/>
      <c r="L51" s="342" t="str">
        <f>Products!B187</f>
        <v>циліндр несиметричний</v>
      </c>
      <c r="M51" s="349">
        <f>Products!E187</f>
        <v>390</v>
      </c>
    </row>
    <row r="52" spans="1:13">
      <c r="A52" s="31"/>
      <c r="B52" s="175"/>
      <c r="C52" s="176"/>
      <c r="D52" s="199"/>
      <c r="E52" s="199"/>
      <c r="F52" s="199"/>
      <c r="G52" s="199"/>
      <c r="H52" s="97"/>
      <c r="I52" s="97"/>
      <c r="J52" s="361"/>
      <c r="K52" s="348"/>
      <c r="L52" s="342" t="str">
        <f>Products!B188</f>
        <v>завіса Prestige (1 шт)</v>
      </c>
      <c r="M52" s="349">
        <f>Products!E188</f>
        <v>260</v>
      </c>
    </row>
    <row r="53" spans="1:13">
      <c r="E53" s="34"/>
      <c r="J53" s="353"/>
      <c r="K53" s="348"/>
      <c r="L53" s="342" t="str">
        <f>Products!B189</f>
        <v>накладка на завіси (1 к-т)</v>
      </c>
      <c r="M53" s="349">
        <f>Products!E189</f>
        <v>80</v>
      </c>
    </row>
    <row r="54" spans="1:13">
      <c r="E54" s="34"/>
      <c r="J54" s="353"/>
      <c r="K54" s="348"/>
      <c r="L54" s="342" t="str">
        <f>Products!B190</f>
        <v>дверна ручка</v>
      </c>
      <c r="M54" s="349" t="str">
        <f>Products!E190</f>
        <v>див. Таблицю Ручки</v>
      </c>
    </row>
    <row r="55" spans="1:13">
      <c r="C55" s="34"/>
      <c r="D55" s="34"/>
      <c r="E55" s="34"/>
      <c r="J55" s="353"/>
      <c r="K55" s="348"/>
      <c r="L55" s="342" t="str">
        <f>Products!B191</f>
        <v>ДСП трубчасте</v>
      </c>
      <c r="M55" s="349">
        <f>Products!E191</f>
        <v>1300.0000000000002</v>
      </c>
    </row>
    <row r="56" spans="1:13" s="31" customFormat="1" ht="12.75" customHeight="1">
      <c r="B56" s="540" t="str">
        <f>TITLE!$C$11</f>
        <v>Полотна каркасно-щитові: ІДЕЯ</v>
      </c>
      <c r="C56" s="541"/>
      <c r="D56" s="541"/>
      <c r="E56" s="541"/>
      <c r="F56" s="170"/>
      <c r="G56" s="170"/>
      <c r="H56" s="170"/>
      <c r="I56" s="170"/>
      <c r="J56" s="343"/>
      <c r="K56" s="343"/>
      <c r="L56" s="355"/>
      <c r="M56" s="356"/>
    </row>
    <row r="57" spans="1:13">
      <c r="A57" s="31"/>
      <c r="B57" s="538" t="str">
        <f>Products!B293</f>
        <v>модель</v>
      </c>
      <c r="C57" s="166" t="str">
        <f>Products!C293</f>
        <v>покриття:</v>
      </c>
      <c r="D57" s="162" t="str">
        <f>Products!D293</f>
        <v>SIMPL / V-CELL</v>
      </c>
      <c r="E57" s="167" t="str">
        <f>Products!F293</f>
        <v>UNI-MAT</v>
      </c>
      <c r="F57" s="167" t="str">
        <f>Products!H293</f>
        <v>RESIST</v>
      </c>
      <c r="G57" s="46"/>
      <c r="H57" s="216"/>
      <c r="I57" s="216"/>
      <c r="J57" s="216"/>
      <c r="K57" s="357"/>
      <c r="L57" s="341" t="str">
        <f>Products!B304</f>
        <v>вентиляційні віддушини (1ряд)</v>
      </c>
      <c r="M57" s="358">
        <f>Products!E304</f>
        <v>250</v>
      </c>
    </row>
    <row r="58" spans="1:13">
      <c r="A58" s="31"/>
      <c r="B58" s="538"/>
      <c r="C58" s="157" t="str">
        <f>Products!C294</f>
        <v>заповнення:</v>
      </c>
      <c r="D58" s="138" t="str">
        <f>Products!D294</f>
        <v>сотове заповнення</v>
      </c>
      <c r="E58" s="168" t="str">
        <f>Products!F294</f>
        <v>сотове заповнення</v>
      </c>
      <c r="F58" s="168" t="str">
        <f>Products!H294</f>
        <v>сотове заповнення</v>
      </c>
      <c r="G58" s="146"/>
      <c r="H58" s="216"/>
      <c r="I58" s="216"/>
      <c r="J58" s="216"/>
      <c r="K58" s="348"/>
      <c r="L58" s="342" t="str">
        <f>Products!B305</f>
        <v>вентиляційний підріз</v>
      </c>
      <c r="M58" s="349">
        <f>Products!E305</f>
        <v>170.00000000000003</v>
      </c>
    </row>
    <row r="59" spans="1:13" ht="12.75" customHeight="1">
      <c r="A59" s="31"/>
      <c r="B59" s="539"/>
      <c r="C59" s="158" t="str">
        <f>Products!C295</f>
        <v>скління:</v>
      </c>
      <c r="D59" s="125" t="str">
        <f>Products!D295</f>
        <v>Сатин / Жалюзі</v>
      </c>
      <c r="E59" s="174" t="str">
        <f>Products!F295</f>
        <v>Сатин / Жалюзі</v>
      </c>
      <c r="F59" s="174" t="str">
        <f>Products!H295</f>
        <v>Сатин / Жалюзі</v>
      </c>
      <c r="G59" s="160"/>
      <c r="H59" s="216"/>
      <c r="I59" s="216"/>
      <c r="J59" s="216"/>
      <c r="K59" s="348"/>
      <c r="L59" s="342" t="str">
        <f>Products!B306</f>
        <v>третя завіса</v>
      </c>
      <c r="M59" s="349">
        <f>Products!E306</f>
        <v>80</v>
      </c>
    </row>
    <row r="60" spans="1:13">
      <c r="A60" s="31"/>
      <c r="B60" s="13" t="str">
        <f>Products!B296</f>
        <v>1.0.</v>
      </c>
      <c r="C60" s="163"/>
      <c r="D60" s="183">
        <f>Products!E296</f>
        <v>2490</v>
      </c>
      <c r="E60" s="184">
        <f>Products!G296</f>
        <v>2860</v>
      </c>
      <c r="F60" s="184">
        <f>Products!I296</f>
        <v>3170.0000000000005</v>
      </c>
      <c r="G60" s="97"/>
      <c r="H60" s="223"/>
      <c r="I60" s="223"/>
      <c r="J60" s="350"/>
      <c r="K60" s="348"/>
      <c r="L60" s="342" t="str">
        <f>Products!B307</f>
        <v>скло Графіт / Бронза</v>
      </c>
      <c r="M60" s="349">
        <f>Products!E307</f>
        <v>550</v>
      </c>
    </row>
    <row r="61" spans="1:13">
      <c r="A61" s="31"/>
      <c r="B61" s="16" t="str">
        <f>Products!B297</f>
        <v>3.0 - 3.3</v>
      </c>
      <c r="C61" s="164"/>
      <c r="D61" s="185">
        <f>Products!E297</f>
        <v>4790</v>
      </c>
      <c r="E61" s="186">
        <f>Products!G297</f>
        <v>5510</v>
      </c>
      <c r="F61" s="186">
        <f>Products!I297</f>
        <v>5950.0000000000009</v>
      </c>
      <c r="G61" s="97"/>
      <c r="H61" s="223"/>
      <c r="I61" s="223"/>
      <c r="J61" s="350"/>
      <c r="K61" s="348"/>
      <c r="L61" s="342" t="str">
        <f>Products!B308</f>
        <v>замок Soft</v>
      </c>
      <c r="M61" s="349">
        <f>Products!E308</f>
        <v>550</v>
      </c>
    </row>
    <row r="62" spans="1:13">
      <c r="A62" s="31"/>
      <c r="B62" s="107" t="str">
        <f>Products!B298</f>
        <v>4.0 - 4.4</v>
      </c>
      <c r="C62" s="171"/>
      <c r="D62" s="189">
        <f>Products!E298</f>
        <v>4990.0000000000009</v>
      </c>
      <c r="E62" s="190">
        <f>Products!G298</f>
        <v>5750</v>
      </c>
      <c r="F62" s="190">
        <f>Products!I298</f>
        <v>6080</v>
      </c>
      <c r="G62" s="97"/>
      <c r="H62" s="223"/>
      <c r="I62" s="223"/>
      <c r="J62" s="350"/>
      <c r="K62" s="348"/>
      <c r="L62" s="342" t="str">
        <f>Products!B309</f>
        <v>замок Soft чорн.</v>
      </c>
      <c r="M62" s="349">
        <f>Products!E309</f>
        <v>680.00000000000011</v>
      </c>
    </row>
    <row r="63" spans="1:13">
      <c r="A63" s="31"/>
      <c r="B63" s="107" t="str">
        <f>Products!B299</f>
        <v>6.0 - 6.6</v>
      </c>
      <c r="C63" s="171"/>
      <c r="D63" s="189">
        <f>Products!E299</f>
        <v>5450</v>
      </c>
      <c r="E63" s="190">
        <f>Products!G299</f>
        <v>6270</v>
      </c>
      <c r="F63" s="190">
        <f>Products!I299</f>
        <v>6550.0000000000009</v>
      </c>
      <c r="G63" s="97"/>
      <c r="H63" s="223"/>
      <c r="I63" s="223"/>
      <c r="J63" s="350"/>
      <c r="K63" s="348"/>
      <c r="L63" s="342" t="str">
        <f>Products!B310</f>
        <v>замок Magnet</v>
      </c>
      <c r="M63" s="349">
        <f>Products!E310</f>
        <v>800.00000000000011</v>
      </c>
    </row>
    <row r="64" spans="1:13">
      <c r="A64" s="31"/>
      <c r="B64" s="23" t="str">
        <f>Products!B300</f>
        <v>7.0 - 7.1</v>
      </c>
      <c r="C64" s="165"/>
      <c r="D64" s="187">
        <f>Products!E300</f>
        <v>4170</v>
      </c>
      <c r="E64" s="188">
        <f>Products!G300</f>
        <v>4790</v>
      </c>
      <c r="F64" s="188">
        <f>Products!I300</f>
        <v>4990.0000000000009</v>
      </c>
      <c r="G64" s="97"/>
      <c r="H64" s="223"/>
      <c r="I64" s="223"/>
      <c r="J64" s="350"/>
      <c r="K64" s="348"/>
      <c r="L64" s="342" t="str">
        <f>Products!B311</f>
        <v>замок Magnet чорн.</v>
      </c>
      <c r="M64" s="349">
        <f>Products!E311</f>
        <v>1000</v>
      </c>
    </row>
    <row r="65" spans="1:13">
      <c r="A65" s="31"/>
      <c r="F65" s="97"/>
      <c r="G65" s="97"/>
      <c r="H65" s="223"/>
      <c r="I65" s="223"/>
      <c r="J65" s="350"/>
      <c r="K65" s="348"/>
      <c r="L65" s="342" t="str">
        <f>Products!B312</f>
        <v>ручка-замок (для дверей купе)</v>
      </c>
      <c r="M65" s="349">
        <f>Products!E312</f>
        <v>560</v>
      </c>
    </row>
    <row r="66" spans="1:13">
      <c r="A66" s="31"/>
      <c r="F66" s="97"/>
      <c r="G66" s="97"/>
      <c r="H66" s="223"/>
      <c r="I66" s="223"/>
      <c r="J66" s="350"/>
      <c r="K66" s="348"/>
      <c r="L66" s="342" t="str">
        <f>Products!B313</f>
        <v>циліндр несиметричний</v>
      </c>
      <c r="M66" s="349">
        <f>Products!E313</f>
        <v>390</v>
      </c>
    </row>
    <row r="67" spans="1:13">
      <c r="A67" s="31"/>
      <c r="F67" s="97"/>
      <c r="G67" s="97"/>
      <c r="H67" s="223"/>
      <c r="I67" s="223"/>
      <c r="J67" s="350"/>
      <c r="K67" s="348"/>
      <c r="L67" s="342" t="str">
        <f>Products!B314</f>
        <v>завіса Prestige (1 шт)</v>
      </c>
      <c r="M67" s="349">
        <f>Products!E314</f>
        <v>260</v>
      </c>
    </row>
    <row r="68" spans="1:13">
      <c r="C68" s="34"/>
      <c r="D68" s="34"/>
      <c r="E68" s="34"/>
      <c r="J68" s="353"/>
      <c r="K68" s="348"/>
      <c r="L68" s="342" t="str">
        <f>Products!B315</f>
        <v>накладка на завіси (1 к-т)</v>
      </c>
      <c r="M68" s="349">
        <f>Products!E315</f>
        <v>80</v>
      </c>
    </row>
    <row r="69" spans="1:13">
      <c r="C69" s="34"/>
      <c r="D69" s="34"/>
      <c r="E69" s="34"/>
      <c r="J69" s="353"/>
      <c r="K69" s="348"/>
      <c r="L69" s="342" t="str">
        <f>Products!B316</f>
        <v>дверна ручка</v>
      </c>
      <c r="M69" s="349" t="str">
        <f>Products!E316</f>
        <v>див. Таблицю Ручки</v>
      </c>
    </row>
    <row r="70" spans="1:13">
      <c r="C70" s="34"/>
      <c r="D70" s="34"/>
      <c r="E70" s="34"/>
      <c r="J70" s="353"/>
      <c r="K70" s="348"/>
      <c r="L70" s="342" t="str">
        <f>Products!B317</f>
        <v>ДСП трубчасте</v>
      </c>
      <c r="M70" s="349">
        <f>Products!E317</f>
        <v>1300.0000000000002</v>
      </c>
    </row>
    <row r="71" spans="1:13" s="31" customFormat="1" ht="12.75" customHeight="1">
      <c r="B71" s="540" t="str">
        <f>TITLE!$C$12</f>
        <v>Полотна каркасно-щитові: ІДЕЯ-ЛОФТ</v>
      </c>
      <c r="C71" s="541"/>
      <c r="D71" s="541"/>
      <c r="E71" s="541"/>
      <c r="F71" s="170"/>
      <c r="G71" s="170"/>
      <c r="H71" s="170"/>
      <c r="I71" s="170"/>
      <c r="J71" s="343"/>
      <c r="K71" s="343"/>
      <c r="L71" s="355"/>
      <c r="M71" s="356"/>
    </row>
    <row r="72" spans="1:13">
      <c r="A72" s="31"/>
      <c r="B72" s="538" t="str">
        <f>Products!B370</f>
        <v>модель</v>
      </c>
      <c r="C72" s="166" t="str">
        <f>Products!C370</f>
        <v>покриття:</v>
      </c>
      <c r="D72" s="167" t="str">
        <f>Products!D370</f>
        <v>LOFT</v>
      </c>
      <c r="E72" s="97"/>
      <c r="F72" s="46"/>
      <c r="G72" s="46"/>
      <c r="H72" s="216"/>
      <c r="I72" s="216"/>
      <c r="J72" s="216"/>
      <c r="K72" s="357"/>
      <c r="L72" s="341" t="str">
        <f>Products!B377</f>
        <v>вентиляційні віддушини (1ряд)</v>
      </c>
      <c r="M72" s="358">
        <f>Products!E377</f>
        <v>250</v>
      </c>
    </row>
    <row r="73" spans="1:13">
      <c r="A73" s="31"/>
      <c r="B73" s="538"/>
      <c r="C73" s="157" t="str">
        <f>Products!C371</f>
        <v>заповнення:</v>
      </c>
      <c r="D73" s="168" t="str">
        <f>Products!D371</f>
        <v>сотове заповнення</v>
      </c>
      <c r="E73" s="97"/>
      <c r="F73" s="146"/>
      <c r="G73" s="146"/>
      <c r="H73" s="216"/>
      <c r="I73" s="216"/>
      <c r="J73" s="216"/>
      <c r="K73" s="348"/>
      <c r="L73" s="342" t="str">
        <f>Products!B378</f>
        <v>вентиляційний підріз</v>
      </c>
      <c r="M73" s="349">
        <f>Products!E378</f>
        <v>170.00000000000003</v>
      </c>
    </row>
    <row r="74" spans="1:13" ht="12.75" customHeight="1">
      <c r="A74" s="31"/>
      <c r="B74" s="539"/>
      <c r="C74" s="158"/>
      <c r="D74" s="161"/>
      <c r="E74" s="97"/>
      <c r="F74" s="159"/>
      <c r="G74" s="160"/>
      <c r="H74" s="216"/>
      <c r="I74" s="216"/>
      <c r="J74" s="216"/>
      <c r="K74" s="348"/>
      <c r="L74" s="342" t="str">
        <f>Products!B379</f>
        <v>третя завіса</v>
      </c>
      <c r="M74" s="349">
        <f>Products!E379</f>
        <v>80</v>
      </c>
    </row>
    <row r="75" spans="1:13">
      <c r="A75" s="31"/>
      <c r="B75" s="49" t="str">
        <f>Products!B373</f>
        <v>1.0.</v>
      </c>
      <c r="C75" s="329"/>
      <c r="D75" s="195">
        <f>Products!E373</f>
        <v>3870</v>
      </c>
      <c r="E75" s="97"/>
      <c r="F75" s="97"/>
      <c r="G75" s="97"/>
      <c r="H75" s="223"/>
      <c r="I75" s="223"/>
      <c r="J75" s="350"/>
      <c r="K75" s="348"/>
      <c r="L75" s="342" t="str">
        <f>Products!B380</f>
        <v>замок Soft</v>
      </c>
      <c r="M75" s="349">
        <f>Products!E380</f>
        <v>550</v>
      </c>
    </row>
    <row r="76" spans="1:13">
      <c r="A76" s="31"/>
      <c r="E76" s="97"/>
      <c r="F76" s="97"/>
      <c r="G76" s="97"/>
      <c r="H76" s="223"/>
      <c r="I76" s="223"/>
      <c r="J76" s="350"/>
      <c r="K76" s="348"/>
      <c r="L76" s="342" t="str">
        <f>Products!B381</f>
        <v>замок Soft чорн.</v>
      </c>
      <c r="M76" s="349">
        <f>Products!E381</f>
        <v>680.00000000000011</v>
      </c>
    </row>
    <row r="77" spans="1:13">
      <c r="A77" s="31"/>
      <c r="E77" s="97"/>
      <c r="F77" s="97"/>
      <c r="G77" s="97"/>
      <c r="H77" s="223"/>
      <c r="I77" s="223"/>
      <c r="J77" s="350"/>
      <c r="K77" s="348"/>
      <c r="L77" s="342" t="str">
        <f>Products!B382</f>
        <v>замок Magnet</v>
      </c>
      <c r="M77" s="349">
        <f>Products!E382</f>
        <v>800.00000000000011</v>
      </c>
    </row>
    <row r="78" spans="1:13">
      <c r="A78" s="31"/>
      <c r="E78" s="97"/>
      <c r="F78" s="97"/>
      <c r="G78" s="97"/>
      <c r="H78" s="223"/>
      <c r="I78" s="223"/>
      <c r="J78" s="350"/>
      <c r="K78" s="348"/>
      <c r="L78" s="342" t="str">
        <f>Products!B383</f>
        <v>замок Magnet чорн.</v>
      </c>
      <c r="M78" s="349">
        <f>Products!E383</f>
        <v>1000</v>
      </c>
    </row>
    <row r="79" spans="1:13">
      <c r="A79" s="31"/>
      <c r="E79" s="97"/>
      <c r="F79" s="97"/>
      <c r="G79" s="97"/>
      <c r="H79" s="223"/>
      <c r="I79" s="223"/>
      <c r="J79" s="350"/>
      <c r="K79" s="348"/>
      <c r="L79" s="342" t="str">
        <f>Products!B384</f>
        <v>ручка-замок (для дверей купе)</v>
      </c>
      <c r="M79" s="349">
        <f>Products!E384</f>
        <v>560</v>
      </c>
    </row>
    <row r="80" spans="1:13">
      <c r="A80" s="31"/>
      <c r="E80" s="97"/>
      <c r="F80" s="97"/>
      <c r="G80" s="97"/>
      <c r="H80" s="223"/>
      <c r="I80" s="223"/>
      <c r="J80" s="350"/>
      <c r="K80" s="348"/>
      <c r="L80" s="342" t="str">
        <f>Products!B385</f>
        <v>циліндр несиметричний</v>
      </c>
      <c r="M80" s="349">
        <f>Products!E385</f>
        <v>390</v>
      </c>
    </row>
    <row r="81" spans="1:13">
      <c r="A81" s="31"/>
      <c r="F81" s="97"/>
      <c r="G81" s="97"/>
      <c r="H81" s="223"/>
      <c r="I81" s="223"/>
      <c r="J81" s="350"/>
      <c r="K81" s="348"/>
      <c r="L81" s="342" t="str">
        <f>Products!B386</f>
        <v>завіса Prestige (1 шт)</v>
      </c>
      <c r="M81" s="349">
        <f>Products!E386</f>
        <v>260</v>
      </c>
    </row>
    <row r="82" spans="1:13">
      <c r="C82" s="34"/>
      <c r="D82" s="34"/>
      <c r="E82" s="34"/>
      <c r="J82" s="353"/>
      <c r="K82" s="348"/>
      <c r="L82" s="342" t="str">
        <f>Products!B387</f>
        <v>накладка на завіси (1 к-т)</v>
      </c>
      <c r="M82" s="349">
        <f>Products!E387</f>
        <v>80</v>
      </c>
    </row>
    <row r="83" spans="1:13">
      <c r="C83" s="34"/>
      <c r="D83" s="34"/>
      <c r="E83" s="34"/>
      <c r="J83" s="353"/>
      <c r="K83" s="348"/>
      <c r="L83" s="342" t="str">
        <f>Products!B388</f>
        <v>дверна ручка</v>
      </c>
      <c r="M83" s="349" t="str">
        <f>Products!E388</f>
        <v>див. Таблицю Ручки</v>
      </c>
    </row>
    <row r="84" spans="1:13">
      <c r="C84" s="34"/>
      <c r="D84" s="34"/>
      <c r="E84" s="34"/>
      <c r="J84" s="353"/>
      <c r="K84" s="348"/>
      <c r="L84" s="342" t="str">
        <f>Products!B389</f>
        <v>ДСП трубчасте</v>
      </c>
      <c r="M84" s="349">
        <f>Products!E389</f>
        <v>1300.0000000000002</v>
      </c>
    </row>
    <row r="85" spans="1:13">
      <c r="B85" s="543" t="str">
        <f>Products!B402</f>
        <v>Полотна збірні: КЛАСІК</v>
      </c>
      <c r="C85" s="544"/>
      <c r="D85" s="544"/>
      <c r="E85" s="544"/>
      <c r="F85" s="441"/>
      <c r="G85" s="441"/>
      <c r="H85" s="441"/>
      <c r="I85" s="170"/>
      <c r="J85" s="343"/>
      <c r="K85" s="343"/>
      <c r="L85" s="355"/>
      <c r="M85" s="356"/>
    </row>
    <row r="86" spans="1:13">
      <c r="B86" s="545" t="str">
        <f>Products!B404</f>
        <v>модель</v>
      </c>
      <c r="C86" s="156" t="str">
        <f>Products!C404</f>
        <v>покриття:</v>
      </c>
      <c r="D86" s="167" t="str">
        <f>Products!D404</f>
        <v>UNI-MAT</v>
      </c>
      <c r="E86" s="167" t="str">
        <f>Products!F404</f>
        <v>RESIST</v>
      </c>
      <c r="F86" s="146"/>
      <c r="G86" s="146"/>
      <c r="H86" s="146"/>
      <c r="I86" s="216"/>
      <c r="J86" s="216"/>
      <c r="K86" s="357"/>
      <c r="L86" s="341" t="str">
        <f>Products!B415</f>
        <v>полотно розміром 100</v>
      </c>
      <c r="M86" s="358">
        <f>Products!E415</f>
        <v>720</v>
      </c>
    </row>
    <row r="87" spans="1:13" ht="20.399999999999999">
      <c r="B87" s="546"/>
      <c r="C87" s="157" t="str">
        <f>Products!C405</f>
        <v>заповнення:</v>
      </c>
      <c r="D87" s="168" t="str">
        <f>Products!D405</f>
        <v>клеєний сосновий брус</v>
      </c>
      <c r="E87" s="168" t="str">
        <f>Products!F405</f>
        <v>клеєний сосновий брус</v>
      </c>
      <c r="F87" s="415"/>
      <c r="G87" s="415"/>
      <c r="H87" s="415"/>
      <c r="I87" s="216"/>
      <c r="J87" s="216"/>
      <c r="K87" s="348"/>
      <c r="L87" s="342" t="str">
        <f>Products!B416</f>
        <v>вентиляційний підріз</v>
      </c>
      <c r="M87" s="349">
        <f>Products!E416</f>
        <v>170.00000000000003</v>
      </c>
    </row>
    <row r="88" spans="1:13">
      <c r="B88" s="547"/>
      <c r="C88" s="158" t="str">
        <f>Products!C406</f>
        <v>скління:</v>
      </c>
      <c r="D88" s="161" t="str">
        <f>Products!D406</f>
        <v>Сатин</v>
      </c>
      <c r="E88" s="161" t="str">
        <f>Products!F406</f>
        <v>Сатин</v>
      </c>
      <c r="F88" s="415"/>
      <c r="G88" s="415"/>
      <c r="H88" s="415"/>
      <c r="I88" s="216"/>
      <c r="J88" s="216"/>
      <c r="K88" s="348"/>
      <c r="L88" s="342" t="str">
        <f>Products!B417</f>
        <v>скло Графіт / Бронза</v>
      </c>
      <c r="M88" s="349">
        <f>Products!E417</f>
        <v>550</v>
      </c>
    </row>
    <row r="89" spans="1:13">
      <c r="B89" s="114" t="str">
        <f>Products!B407</f>
        <v>1.0-1.1</v>
      </c>
      <c r="C89" s="173"/>
      <c r="D89" s="292">
        <f>Products!E407</f>
        <v>7020</v>
      </c>
      <c r="E89" s="292">
        <f>Products!G407</f>
        <v>7300.0000000000009</v>
      </c>
      <c r="F89" s="199"/>
      <c r="G89" s="199"/>
      <c r="H89" s="199"/>
      <c r="I89" s="31"/>
      <c r="J89" s="362"/>
      <c r="K89" s="348"/>
      <c r="L89" s="342" t="str">
        <f>Products!B418</f>
        <v>замок Soft</v>
      </c>
      <c r="M89" s="349">
        <f>Products!E418</f>
        <v>550</v>
      </c>
    </row>
    <row r="90" spans="1:13">
      <c r="B90" s="16" t="str">
        <f>Products!B408</f>
        <v>1А.1</v>
      </c>
      <c r="C90" s="164"/>
      <c r="D90" s="185">
        <f>Products!E408</f>
        <v>6830</v>
      </c>
      <c r="E90" s="185">
        <f>Products!G408</f>
        <v>7100</v>
      </c>
      <c r="F90" s="199"/>
      <c r="G90" s="199"/>
      <c r="H90" s="199"/>
      <c r="I90" s="31"/>
      <c r="J90" s="362"/>
      <c r="K90" s="348"/>
      <c r="L90" s="342" t="str">
        <f>Products!B419</f>
        <v>замок Soft чорн.</v>
      </c>
      <c r="M90" s="349">
        <f>Products!E419</f>
        <v>680.00000000000011</v>
      </c>
    </row>
    <row r="91" spans="1:13">
      <c r="B91" s="16" t="str">
        <f>Products!B409</f>
        <v>2.0-2.1</v>
      </c>
      <c r="C91" s="164"/>
      <c r="D91" s="185">
        <f>Products!E409</f>
        <v>7290</v>
      </c>
      <c r="E91" s="185">
        <f>Products!G409</f>
        <v>7580</v>
      </c>
      <c r="F91" s="199"/>
      <c r="G91" s="199"/>
      <c r="H91" s="199"/>
      <c r="I91" s="31"/>
      <c r="J91" s="362"/>
      <c r="K91" s="348"/>
      <c r="L91" s="342" t="str">
        <f>Products!B420</f>
        <v>замок Magnet</v>
      </c>
      <c r="M91" s="349">
        <f>Products!E420</f>
        <v>800.00000000000011</v>
      </c>
    </row>
    <row r="92" spans="1:13">
      <c r="B92" s="16" t="str">
        <f>Products!B410</f>
        <v>2А.1</v>
      </c>
      <c r="C92" s="442"/>
      <c r="D92" s="185">
        <f>Products!E410</f>
        <v>7060.0000000000009</v>
      </c>
      <c r="E92" s="185">
        <f>Products!G410</f>
        <v>7340</v>
      </c>
      <c r="F92" s="97"/>
      <c r="G92" s="97"/>
      <c r="H92" s="31"/>
      <c r="I92" s="31"/>
      <c r="J92" s="362"/>
      <c r="K92" s="348"/>
      <c r="L92" s="342" t="str">
        <f>Products!B421</f>
        <v>замок Magnet чорн.</v>
      </c>
      <c r="M92" s="349">
        <f>Products!E421</f>
        <v>1000</v>
      </c>
    </row>
    <row r="93" spans="1:13">
      <c r="B93" s="23" t="str">
        <f>Products!B411</f>
        <v>3.0-3.1</v>
      </c>
      <c r="C93" s="443"/>
      <c r="D93" s="187">
        <f>Products!E411</f>
        <v>7590</v>
      </c>
      <c r="E93" s="187">
        <f>Products!G411</f>
        <v>7900</v>
      </c>
      <c r="H93" s="31"/>
      <c r="I93" s="31"/>
      <c r="J93" s="362"/>
      <c r="K93" s="348"/>
      <c r="L93" s="342" t="str">
        <f>Products!B422</f>
        <v>ручка-замок (для дверей купе)</v>
      </c>
      <c r="M93" s="349">
        <f>Products!E422</f>
        <v>560</v>
      </c>
    </row>
    <row r="94" spans="1:13">
      <c r="C94" s="34"/>
      <c r="D94" s="34"/>
      <c r="E94" s="34"/>
      <c r="H94" s="31"/>
      <c r="I94" s="31"/>
      <c r="J94" s="362"/>
      <c r="K94" s="348"/>
      <c r="L94" s="342" t="str">
        <f>Products!B423</f>
        <v>циліндр несиметричний</v>
      </c>
      <c r="M94" s="349">
        <f>Products!E423</f>
        <v>390</v>
      </c>
    </row>
    <row r="95" spans="1:13">
      <c r="C95" s="34"/>
      <c r="D95" s="34"/>
      <c r="E95" s="34"/>
      <c r="H95" s="31"/>
      <c r="I95" s="31"/>
      <c r="J95" s="362"/>
      <c r="K95" s="348"/>
      <c r="L95" s="342" t="str">
        <f>Products!B424</f>
        <v>завіса Prestige (1 шт)</v>
      </c>
      <c r="M95" s="349">
        <f>Products!E424</f>
        <v>260</v>
      </c>
    </row>
    <row r="96" spans="1:13">
      <c r="C96" s="34"/>
      <c r="D96" s="34"/>
      <c r="E96" s="34"/>
      <c r="J96" s="353"/>
      <c r="K96" s="348"/>
      <c r="L96" s="342" t="str">
        <f>Products!B425</f>
        <v>накладка на завіси (1 к-т)</v>
      </c>
      <c r="M96" s="349">
        <f>Products!E425</f>
        <v>80</v>
      </c>
    </row>
    <row r="97" spans="1:13">
      <c r="C97" s="34"/>
      <c r="D97" s="34"/>
      <c r="E97" s="34"/>
      <c r="J97" s="353"/>
      <c r="K97" s="348"/>
      <c r="L97" s="342" t="str">
        <f>Products!B426</f>
        <v>дверна ручка</v>
      </c>
      <c r="M97" s="349" t="str">
        <f>Products!E426</f>
        <v>див. Таблицю Ручки</v>
      </c>
    </row>
    <row r="98" spans="1:13">
      <c r="B98" s="543" t="str">
        <f>Products!B452</f>
        <v>Полотна збірні: ПРОВАНС</v>
      </c>
      <c r="C98" s="544"/>
      <c r="D98" s="544"/>
      <c r="E98" s="544"/>
      <c r="F98" s="441"/>
      <c r="G98" s="441"/>
      <c r="H98" s="441"/>
      <c r="I98" s="170"/>
      <c r="J98" s="343"/>
      <c r="K98" s="343"/>
      <c r="L98" s="355"/>
      <c r="M98" s="356"/>
    </row>
    <row r="99" spans="1:13">
      <c r="B99" s="557" t="str">
        <f>Products!B454</f>
        <v>модель</v>
      </c>
      <c r="C99" s="475" t="str">
        <f>Products!C454</f>
        <v>покриття:</v>
      </c>
      <c r="D99" s="476" t="str">
        <f>Products!D454</f>
        <v>UNI-MAT</v>
      </c>
      <c r="E99" s="477" t="str">
        <f>Products!F454</f>
        <v>RESIST</v>
      </c>
      <c r="F99" s="146"/>
      <c r="G99" s="146"/>
      <c r="H99" s="146"/>
      <c r="I99" s="216"/>
      <c r="J99" s="216"/>
      <c r="K99" s="357"/>
      <c r="L99" s="341" t="str">
        <f>Products!B464</f>
        <v>полотно розміром 100</v>
      </c>
      <c r="M99" s="358">
        <f>Products!E464</f>
        <v>720</v>
      </c>
    </row>
    <row r="100" spans="1:13" ht="19.8" customHeight="1">
      <c r="B100" s="558"/>
      <c r="C100" s="478" t="str">
        <f>Products!C455</f>
        <v>заповнення:</v>
      </c>
      <c r="D100" s="479" t="str">
        <f>Products!D455</f>
        <v>клеєний сосновий брус</v>
      </c>
      <c r="E100" s="480" t="str">
        <f>Products!F455</f>
        <v>клеєний сосновий брус</v>
      </c>
      <c r="F100" s="469"/>
      <c r="G100" s="469"/>
      <c r="H100" s="469"/>
      <c r="I100" s="216"/>
      <c r="J100" s="216"/>
      <c r="K100" s="348"/>
      <c r="L100" s="341" t="str">
        <f>Products!B465</f>
        <v>вентиляційний підріз</v>
      </c>
      <c r="M100" s="358">
        <f>Products!E465</f>
        <v>170.00000000000003</v>
      </c>
    </row>
    <row r="101" spans="1:13" ht="15.6" customHeight="1">
      <c r="B101" s="559"/>
      <c r="C101" s="481" t="str">
        <f>Products!C456</f>
        <v>скління:</v>
      </c>
      <c r="D101" s="482" t="str">
        <f>Products!D456</f>
        <v>Сатин</v>
      </c>
      <c r="E101" s="483" t="str">
        <f>Products!F456</f>
        <v>Сатин</v>
      </c>
      <c r="F101" s="469"/>
      <c r="G101" s="469"/>
      <c r="H101" s="469"/>
      <c r="I101" s="216"/>
      <c r="J101" s="216"/>
      <c r="K101" s="348"/>
      <c r="L101" s="341" t="str">
        <f>Products!B466</f>
        <v>скло Графіт / Бронза</v>
      </c>
      <c r="M101" s="358">
        <f>Products!E466</f>
        <v>550</v>
      </c>
    </row>
    <row r="102" spans="1:13">
      <c r="B102" s="114" t="str">
        <f>Products!B457</f>
        <v>1.0-1.1</v>
      </c>
      <c r="C102" s="173"/>
      <c r="D102" s="292">
        <f>Products!E457</f>
        <v>7020</v>
      </c>
      <c r="E102" s="292">
        <f>Products!G457</f>
        <v>7300.0000000000009</v>
      </c>
      <c r="F102" s="199"/>
      <c r="G102" s="199"/>
      <c r="H102" s="199"/>
      <c r="I102" s="31"/>
      <c r="J102" s="362"/>
      <c r="K102" s="348"/>
      <c r="L102" s="341" t="str">
        <f>Products!B467</f>
        <v>замок Soft</v>
      </c>
      <c r="M102" s="358">
        <f>Products!E467</f>
        <v>550</v>
      </c>
    </row>
    <row r="103" spans="1:13">
      <c r="B103" s="114" t="str">
        <f>Products!B458</f>
        <v>2.0-2.1</v>
      </c>
      <c r="C103" s="164"/>
      <c r="D103" s="292">
        <f>Products!E458</f>
        <v>7290</v>
      </c>
      <c r="E103" s="292">
        <f>Products!G458</f>
        <v>7580</v>
      </c>
      <c r="F103" s="199"/>
      <c r="G103" s="199"/>
      <c r="H103" s="199"/>
      <c r="I103" s="31"/>
      <c r="J103" s="362"/>
      <c r="K103" s="348"/>
      <c r="L103" s="341" t="str">
        <f>Products!B468</f>
        <v>замок Soft чорн.</v>
      </c>
      <c r="M103" s="358">
        <f>Products!E468</f>
        <v>680.00000000000011</v>
      </c>
    </row>
    <row r="104" spans="1:13">
      <c r="B104" s="114" t="str">
        <f>Products!B459</f>
        <v>2А.1</v>
      </c>
      <c r="C104" s="164"/>
      <c r="D104" s="292">
        <f>Products!E459</f>
        <v>7060.0000000000009</v>
      </c>
      <c r="E104" s="292">
        <f>Products!G459</f>
        <v>7340</v>
      </c>
      <c r="F104" s="199"/>
      <c r="G104" s="199"/>
      <c r="H104" s="199"/>
      <c r="I104" s="31"/>
      <c r="J104" s="362"/>
      <c r="K104" s="348"/>
      <c r="L104" s="341" t="str">
        <f>Products!B469</f>
        <v>замок Magnet</v>
      </c>
      <c r="M104" s="358">
        <f>Products!E469</f>
        <v>800.00000000000011</v>
      </c>
    </row>
    <row r="105" spans="1:13">
      <c r="B105" s="471" t="str">
        <f>Products!B460</f>
        <v>3.0-3.1</v>
      </c>
      <c r="C105" s="472"/>
      <c r="D105" s="473">
        <f>Products!E460</f>
        <v>7590</v>
      </c>
      <c r="E105" s="473">
        <f>Products!G460</f>
        <v>7900</v>
      </c>
      <c r="F105" s="97"/>
      <c r="G105" s="97"/>
      <c r="H105" s="31"/>
      <c r="I105" s="31"/>
      <c r="J105" s="362"/>
      <c r="K105" s="348"/>
      <c r="L105" s="341" t="str">
        <f>Products!B470</f>
        <v>замок Magnet чорн.</v>
      </c>
      <c r="M105" s="358">
        <f>Products!E470</f>
        <v>1000</v>
      </c>
    </row>
    <row r="106" spans="1:13">
      <c r="B106" s="313"/>
      <c r="C106" s="474"/>
      <c r="D106" s="196"/>
      <c r="E106" s="196"/>
      <c r="H106" s="31"/>
      <c r="I106" s="31"/>
      <c r="J106" s="362"/>
      <c r="K106" s="348"/>
      <c r="L106" s="341" t="str">
        <f>Products!B471</f>
        <v>ручка-замок (для дверей купе)</v>
      </c>
      <c r="M106" s="358">
        <f>Products!E471</f>
        <v>560</v>
      </c>
    </row>
    <row r="107" spans="1:13">
      <c r="C107" s="34"/>
      <c r="D107" s="34"/>
      <c r="E107" s="34"/>
      <c r="H107" s="31"/>
      <c r="I107" s="31"/>
      <c r="J107" s="362"/>
      <c r="K107" s="348"/>
      <c r="L107" s="341" t="str">
        <f>Products!B472</f>
        <v>циліндр несиметричний</v>
      </c>
      <c r="M107" s="358">
        <f>Products!E472</f>
        <v>390</v>
      </c>
    </row>
    <row r="108" spans="1:13">
      <c r="C108" s="34"/>
      <c r="D108" s="34"/>
      <c r="E108" s="34"/>
      <c r="H108" s="31"/>
      <c r="I108" s="31"/>
      <c r="J108" s="362"/>
      <c r="K108" s="348"/>
      <c r="L108" s="341" t="str">
        <f>Products!B473</f>
        <v>завіса Prestige (1 шт)</v>
      </c>
      <c r="M108" s="358">
        <f>Products!E473</f>
        <v>260</v>
      </c>
    </row>
    <row r="109" spans="1:13">
      <c r="C109" s="34"/>
      <c r="D109" s="34"/>
      <c r="E109" s="34"/>
      <c r="J109" s="353"/>
      <c r="K109" s="348"/>
      <c r="L109" s="341" t="str">
        <f>Products!B474</f>
        <v>накладка на завіси (1 к-т)</v>
      </c>
      <c r="M109" s="358">
        <f>Products!E474</f>
        <v>80</v>
      </c>
    </row>
    <row r="110" spans="1:13">
      <c r="C110" s="34"/>
      <c r="D110" s="34"/>
      <c r="E110" s="34"/>
      <c r="J110" s="353"/>
      <c r="K110" s="348"/>
      <c r="L110" s="341" t="str">
        <f>Products!B475</f>
        <v>дверна ручка</v>
      </c>
      <c r="M110" s="358" t="str">
        <f>Products!E475</f>
        <v>див. Таблицю Ручки</v>
      </c>
    </row>
    <row r="111" spans="1:13" s="31" customFormat="1" ht="12.75" customHeight="1">
      <c r="B111" s="540" t="str">
        <f>TITLE!$C$15</f>
        <v>Полотна збірні: ЛАДА A</v>
      </c>
      <c r="C111" s="541"/>
      <c r="D111" s="541"/>
      <c r="E111" s="541"/>
      <c r="F111" s="170"/>
      <c r="G111" s="170"/>
      <c r="H111" s="170"/>
      <c r="I111" s="170"/>
      <c r="J111" s="343"/>
      <c r="K111" s="343"/>
      <c r="L111" s="355"/>
      <c r="M111" s="356"/>
    </row>
    <row r="112" spans="1:13" ht="24.75" customHeight="1">
      <c r="A112" s="31"/>
      <c r="B112" s="537" t="str">
        <f>Products!B504</f>
        <v>модель</v>
      </c>
      <c r="C112" s="156" t="str">
        <f>Products!C504</f>
        <v>покриття:</v>
      </c>
      <c r="D112" s="467" t="str">
        <f>Products!D504</f>
        <v>Verto-CELL</v>
      </c>
      <c r="E112" s="167" t="str">
        <f>Products!F504</f>
        <v>UNI-MAT</v>
      </c>
      <c r="F112" s="464" t="str">
        <f>Products!H504</f>
        <v>RESIST</v>
      </c>
      <c r="G112" s="464" t="str">
        <f>Products!J504</f>
        <v>Verto LINE-3D</v>
      </c>
      <c r="H112" s="464" t="str">
        <f>Products!L504</f>
        <v>ЕКО Шпон</v>
      </c>
      <c r="I112" s="216"/>
      <c r="J112" s="216"/>
      <c r="K112" s="357"/>
      <c r="L112" s="341" t="str">
        <f>Products!B513</f>
        <v>полотно розміром 100</v>
      </c>
      <c r="M112" s="358">
        <f>Products!E513</f>
        <v>720</v>
      </c>
    </row>
    <row r="113" spans="1:13" ht="24.75" customHeight="1">
      <c r="A113" s="31"/>
      <c r="B113" s="538"/>
      <c r="C113" s="157" t="str">
        <f>Products!C505</f>
        <v>заповнення:</v>
      </c>
      <c r="D113" s="470" t="str">
        <f>Products!D505</f>
        <v>клеєний сосновий брус</v>
      </c>
      <c r="E113" s="168" t="str">
        <f>Products!F505</f>
        <v>клеєний сосновий брус</v>
      </c>
      <c r="F113" s="465" t="str">
        <f>Products!H505</f>
        <v>клеєний сосновий брус</v>
      </c>
      <c r="G113" s="465" t="str">
        <f>Products!J505</f>
        <v>клеєний сосновий брус</v>
      </c>
      <c r="H113" s="465" t="str">
        <f>Products!L505</f>
        <v>клеєний сосновий брус</v>
      </c>
      <c r="I113" s="216"/>
      <c r="J113" s="216"/>
      <c r="K113" s="348"/>
      <c r="L113" s="342" t="str">
        <f>Products!B514</f>
        <v>вентиляційний підріз</v>
      </c>
      <c r="M113" s="349">
        <f>Products!E514</f>
        <v>170.00000000000003</v>
      </c>
    </row>
    <row r="114" spans="1:13" ht="12.75" customHeight="1">
      <c r="A114" s="31"/>
      <c r="B114" s="539"/>
      <c r="C114" s="158" t="str">
        <f>Products!C506</f>
        <v>скління:</v>
      </c>
      <c r="D114" s="468" t="str">
        <f>Products!D506</f>
        <v>Сатин</v>
      </c>
      <c r="E114" s="161" t="str">
        <f>Products!F506</f>
        <v>Сатин</v>
      </c>
      <c r="F114" s="463" t="str">
        <f>Products!H506</f>
        <v>Сатин</v>
      </c>
      <c r="G114" s="463" t="str">
        <f>Products!J506</f>
        <v>Сатин</v>
      </c>
      <c r="H114" s="463" t="str">
        <f>Products!L506</f>
        <v>Сатин</v>
      </c>
      <c r="I114" s="216"/>
      <c r="J114" s="216"/>
      <c r="K114" s="348"/>
      <c r="L114" s="342" t="str">
        <f>Products!B515</f>
        <v>скло Графіт / Бронза</v>
      </c>
      <c r="M114" s="349">
        <f>Products!E515</f>
        <v>550</v>
      </c>
    </row>
    <row r="115" spans="1:13">
      <c r="A115" s="31"/>
      <c r="B115" s="13" t="str">
        <f>Products!B507</f>
        <v>2А.0 - 2А.1</v>
      </c>
      <c r="C115" s="163"/>
      <c r="D115" s="184">
        <f>Products!E507</f>
        <v>6230</v>
      </c>
      <c r="E115" s="184">
        <f>Products!G507</f>
        <v>7100</v>
      </c>
      <c r="F115" s="184">
        <f>Products!I507</f>
        <v>7390</v>
      </c>
      <c r="G115" s="184">
        <f>Products!K507</f>
        <v>8050</v>
      </c>
      <c r="H115" s="184">
        <f>Products!M507</f>
        <v>8470</v>
      </c>
      <c r="I115" s="31"/>
      <c r="J115" s="362"/>
      <c r="K115" s="348"/>
      <c r="L115" s="342" t="str">
        <f>Products!B516</f>
        <v>замок Soft</v>
      </c>
      <c r="M115" s="349">
        <f>Products!E516</f>
        <v>550</v>
      </c>
    </row>
    <row r="116" spans="1:13">
      <c r="A116" s="31"/>
      <c r="B116" s="114" t="str">
        <f>Products!B508</f>
        <v>3А.0 - 3А.2</v>
      </c>
      <c r="C116" s="173"/>
      <c r="D116" s="194">
        <f>Products!E508</f>
        <v>6230</v>
      </c>
      <c r="E116" s="194">
        <f>Products!G508</f>
        <v>7100</v>
      </c>
      <c r="F116" s="194">
        <f>Products!I508</f>
        <v>7390</v>
      </c>
      <c r="G116" s="194">
        <f>Products!K508</f>
        <v>8050</v>
      </c>
      <c r="H116" s="194">
        <f>Products!M508</f>
        <v>8470</v>
      </c>
      <c r="I116" s="31"/>
      <c r="J116" s="362"/>
      <c r="K116" s="348"/>
      <c r="L116" s="342" t="str">
        <f>Products!B517</f>
        <v>замок Soft чорн.</v>
      </c>
      <c r="M116" s="349">
        <f>Products!E517</f>
        <v>680.00000000000011</v>
      </c>
    </row>
    <row r="117" spans="1:13">
      <c r="A117" s="31"/>
      <c r="B117" s="281" t="str">
        <f>Products!B509</f>
        <v>8.0 - 8.5</v>
      </c>
      <c r="C117" s="282"/>
      <c r="D117" s="283">
        <f>Products!E509</f>
        <v>6230</v>
      </c>
      <c r="E117" s="283">
        <f>Products!G509</f>
        <v>7100</v>
      </c>
      <c r="F117" s="283">
        <f>Products!I509</f>
        <v>7390</v>
      </c>
      <c r="G117" s="283">
        <f>Products!K509</f>
        <v>8050</v>
      </c>
      <c r="H117" s="283">
        <f>Products!M509</f>
        <v>8470</v>
      </c>
      <c r="I117" s="31"/>
      <c r="J117" s="362"/>
      <c r="K117" s="348"/>
      <c r="L117" s="342" t="str">
        <f>Products!B518</f>
        <v>замок Magnet</v>
      </c>
      <c r="M117" s="349">
        <f>Products!E518</f>
        <v>800.00000000000011</v>
      </c>
    </row>
    <row r="118" spans="1:13">
      <c r="A118" s="31"/>
      <c r="F118" s="97"/>
      <c r="G118" s="97"/>
      <c r="H118" s="31"/>
      <c r="I118" s="31"/>
      <c r="J118" s="362"/>
      <c r="K118" s="348"/>
      <c r="L118" s="342" t="str">
        <f>Products!B519</f>
        <v>замок Magnet чорн.</v>
      </c>
      <c r="M118" s="349">
        <f>Products!E519</f>
        <v>1000</v>
      </c>
    </row>
    <row r="119" spans="1:13">
      <c r="A119" s="31"/>
      <c r="C119" s="34"/>
      <c r="D119" s="34"/>
      <c r="E119" s="34"/>
      <c r="H119" s="31"/>
      <c r="I119" s="31"/>
      <c r="J119" s="362"/>
      <c r="K119" s="348"/>
      <c r="L119" s="342" t="str">
        <f>Products!B520</f>
        <v>ручка-замок (для дверей купе)</v>
      </c>
      <c r="M119" s="349">
        <f>Products!E520</f>
        <v>560</v>
      </c>
    </row>
    <row r="120" spans="1:13">
      <c r="A120" s="31"/>
      <c r="C120" s="34"/>
      <c r="D120" s="34"/>
      <c r="E120" s="34"/>
      <c r="H120" s="31"/>
      <c r="I120" s="31"/>
      <c r="J120" s="362"/>
      <c r="K120" s="348"/>
      <c r="L120" s="342" t="str">
        <f>Products!B521</f>
        <v>циліндр несиметричний</v>
      </c>
      <c r="M120" s="349">
        <f>Products!E521</f>
        <v>390</v>
      </c>
    </row>
    <row r="121" spans="1:13">
      <c r="A121" s="31"/>
      <c r="C121" s="34"/>
      <c r="D121" s="34"/>
      <c r="E121" s="34"/>
      <c r="H121" s="31"/>
      <c r="I121" s="31"/>
      <c r="J121" s="362"/>
      <c r="K121" s="348"/>
      <c r="L121" s="342" t="str">
        <f>Products!B522</f>
        <v>завіса Prestige (1 шт)</v>
      </c>
      <c r="M121" s="349">
        <f>Products!E522</f>
        <v>260</v>
      </c>
    </row>
    <row r="122" spans="1:13">
      <c r="C122" s="34"/>
      <c r="D122" s="34"/>
      <c r="E122" s="34"/>
      <c r="J122" s="353"/>
      <c r="K122" s="348"/>
      <c r="L122" s="342" t="str">
        <f>Products!B523</f>
        <v>накладка на завіси (1 к-т)</v>
      </c>
      <c r="M122" s="349">
        <f>Products!E523</f>
        <v>80</v>
      </c>
    </row>
    <row r="123" spans="1:13">
      <c r="C123" s="34"/>
      <c r="D123" s="34"/>
      <c r="E123" s="34"/>
      <c r="J123" s="353"/>
      <c r="K123" s="348"/>
      <c r="L123" s="342" t="str">
        <f>Products!B524</f>
        <v>дверна ручка</v>
      </c>
      <c r="M123" s="349" t="str">
        <f>Products!E524</f>
        <v>див. Таблицю Ручки</v>
      </c>
    </row>
    <row r="124" spans="1:13">
      <c r="B124" s="540" t="str">
        <f>Products!B575</f>
        <v>Полотна збірні: ЛАДА B</v>
      </c>
      <c r="C124" s="541"/>
      <c r="D124" s="541"/>
      <c r="E124" s="541"/>
      <c r="F124" s="170"/>
      <c r="G124" s="170"/>
      <c r="H124" s="170"/>
      <c r="I124" s="170"/>
      <c r="J124" s="343"/>
      <c r="K124" s="343"/>
      <c r="L124" s="355"/>
      <c r="M124" s="356"/>
    </row>
    <row r="125" spans="1:13" ht="27.75" customHeight="1">
      <c r="B125" s="537" t="str">
        <f>Products!B577</f>
        <v>модель</v>
      </c>
      <c r="C125" s="156" t="str">
        <f>Products!C577</f>
        <v>покриття:</v>
      </c>
      <c r="D125" s="129" t="str">
        <f>Products!D577</f>
        <v>Verto-CELL</v>
      </c>
      <c r="E125" s="167" t="str">
        <f>Products!F577</f>
        <v>UNI-MAT</v>
      </c>
      <c r="F125" s="130" t="str">
        <f>Products!H577</f>
        <v>RESIST</v>
      </c>
      <c r="G125" s="130" t="str">
        <f>Products!J577</f>
        <v>Verto LINE-3D</v>
      </c>
      <c r="H125" s="130" t="str">
        <f>Products!L577</f>
        <v>ЕКО Шпон</v>
      </c>
      <c r="I125" s="216"/>
      <c r="J125" s="216"/>
      <c r="K125" s="357"/>
      <c r="L125" s="341" t="str">
        <f>Products!B586</f>
        <v>полотно розміром 100</v>
      </c>
      <c r="M125" s="358">
        <f>Products!E586</f>
        <v>720</v>
      </c>
    </row>
    <row r="126" spans="1:13" ht="24" customHeight="1">
      <c r="B126" s="538"/>
      <c r="C126" s="157" t="str">
        <f>Products!C578</f>
        <v>заповнення:</v>
      </c>
      <c r="D126" s="139" t="str">
        <f>Products!D578</f>
        <v>клеєний сосновий брус</v>
      </c>
      <c r="E126" s="168" t="str">
        <f>Products!F578</f>
        <v>клеєний сосновий брус</v>
      </c>
      <c r="F126" s="140" t="str">
        <f>Products!H578</f>
        <v>клеєний сосновий брус</v>
      </c>
      <c r="G126" s="140" t="str">
        <f>Products!J578</f>
        <v>клеєний сосновий брус</v>
      </c>
      <c r="H126" s="140" t="str">
        <f>Products!L578</f>
        <v>клеєний сосновий брус</v>
      </c>
      <c r="I126" s="216"/>
      <c r="J126" s="216"/>
      <c r="K126" s="348"/>
      <c r="L126" s="342" t="str">
        <f>Products!B587</f>
        <v>вентиляційний підріз</v>
      </c>
      <c r="M126" s="349">
        <f>Products!E587</f>
        <v>170.00000000000003</v>
      </c>
    </row>
    <row r="127" spans="1:13">
      <c r="B127" s="539"/>
      <c r="C127" s="158" t="str">
        <f>Products!C579</f>
        <v>скління:</v>
      </c>
      <c r="D127" s="137" t="str">
        <f>Products!D579</f>
        <v>Сатин</v>
      </c>
      <c r="E127" s="161" t="str">
        <f>Products!F579</f>
        <v>Сатин</v>
      </c>
      <c r="F127" s="126" t="str">
        <f>Products!H579</f>
        <v>Сатин</v>
      </c>
      <c r="G127" s="126" t="str">
        <f>Products!J579</f>
        <v>Сатин</v>
      </c>
      <c r="H127" s="126" t="str">
        <f>Products!L579</f>
        <v>Сатин</v>
      </c>
      <c r="I127" s="216"/>
      <c r="J127" s="216"/>
      <c r="K127" s="348"/>
      <c r="L127" s="342" t="str">
        <f>Products!B588</f>
        <v>скло Графіт / Бронза</v>
      </c>
      <c r="M127" s="349">
        <f>Products!E588</f>
        <v>550</v>
      </c>
    </row>
    <row r="128" spans="1:13">
      <c r="B128" s="13" t="str">
        <f>Products!B580</f>
        <v>1.0 - 1.3</v>
      </c>
      <c r="C128" s="163"/>
      <c r="D128" s="184">
        <f>Products!E580</f>
        <v>6230</v>
      </c>
      <c r="E128" s="184">
        <f>Products!G580</f>
        <v>7100</v>
      </c>
      <c r="F128" s="184">
        <f>Products!I580</f>
        <v>7400</v>
      </c>
      <c r="G128" s="184">
        <f>Products!K580</f>
        <v>8050</v>
      </c>
      <c r="H128" s="184">
        <f>Products!M580</f>
        <v>8470</v>
      </c>
      <c r="I128" s="31"/>
      <c r="J128" s="362"/>
      <c r="K128" s="348"/>
      <c r="L128" s="342" t="str">
        <f>Products!B589</f>
        <v>скло Lacobel чорне</v>
      </c>
      <c r="M128" s="349">
        <f>Products!E589</f>
        <v>550</v>
      </c>
    </row>
    <row r="129" spans="2:13">
      <c r="B129" s="114" t="str">
        <f>Products!B581</f>
        <v>2.0 - 2.2</v>
      </c>
      <c r="C129" s="173"/>
      <c r="D129" s="194">
        <f>Products!E581</f>
        <v>6230</v>
      </c>
      <c r="E129" s="194">
        <f>Products!G581</f>
        <v>7100</v>
      </c>
      <c r="F129" s="194">
        <f>Products!I581</f>
        <v>7400</v>
      </c>
      <c r="G129" s="194">
        <f>Products!K581</f>
        <v>8050</v>
      </c>
      <c r="H129" s="194">
        <f>Products!M581</f>
        <v>8470</v>
      </c>
      <c r="I129" s="31"/>
      <c r="J129" s="362"/>
      <c r="K129" s="348"/>
      <c r="L129" s="342" t="str">
        <f>Products!B590</f>
        <v>замок Soft</v>
      </c>
      <c r="M129" s="349">
        <f>Products!E590</f>
        <v>550</v>
      </c>
    </row>
    <row r="130" spans="2:13">
      <c r="B130" s="281" t="str">
        <f>Products!B582</f>
        <v>3.0 - 3.5</v>
      </c>
      <c r="C130" s="282"/>
      <c r="D130" s="283">
        <f>Products!E582</f>
        <v>6500</v>
      </c>
      <c r="E130" s="283">
        <f>Products!G582</f>
        <v>7400</v>
      </c>
      <c r="F130" s="283">
        <f>Products!I582</f>
        <v>7730</v>
      </c>
      <c r="G130" s="283">
        <f>Products!K582</f>
        <v>8340</v>
      </c>
      <c r="H130" s="283">
        <f>Products!M582</f>
        <v>8850</v>
      </c>
      <c r="I130" s="31"/>
      <c r="J130" s="362"/>
      <c r="K130" s="348"/>
      <c r="L130" s="342" t="str">
        <f>Products!B591</f>
        <v>замок Soft чорн.</v>
      </c>
      <c r="M130" s="349">
        <f>Products!E591</f>
        <v>680.00000000000011</v>
      </c>
    </row>
    <row r="131" spans="2:13">
      <c r="F131" s="97"/>
      <c r="G131" s="97"/>
      <c r="H131" s="31"/>
      <c r="I131" s="31"/>
      <c r="J131" s="362"/>
      <c r="K131" s="348"/>
      <c r="L131" s="342" t="str">
        <f>Products!B592</f>
        <v>замок Magnet</v>
      </c>
      <c r="M131" s="349">
        <f>Products!E592</f>
        <v>800.00000000000011</v>
      </c>
    </row>
    <row r="132" spans="2:13">
      <c r="C132" s="34"/>
      <c r="D132" s="34"/>
      <c r="E132" s="34"/>
      <c r="H132" s="31"/>
      <c r="I132" s="31"/>
      <c r="J132" s="362"/>
      <c r="K132" s="348"/>
      <c r="L132" s="342" t="str">
        <f>Products!B593</f>
        <v>замок Magnet чорн.</v>
      </c>
      <c r="M132" s="349">
        <f>Products!E593</f>
        <v>1000</v>
      </c>
    </row>
    <row r="133" spans="2:13">
      <c r="C133" s="34"/>
      <c r="D133" s="34"/>
      <c r="E133" s="34"/>
      <c r="H133" s="31"/>
      <c r="I133" s="31"/>
      <c r="J133" s="362"/>
      <c r="K133" s="348"/>
      <c r="L133" s="342" t="str">
        <f>Products!B594</f>
        <v>ручка-замок (для дверей купе)</v>
      </c>
      <c r="M133" s="349">
        <f>Products!E594</f>
        <v>560</v>
      </c>
    </row>
    <row r="134" spans="2:13">
      <c r="C134" s="34"/>
      <c r="D134" s="34"/>
      <c r="E134" s="34"/>
      <c r="H134" s="31"/>
      <c r="I134" s="31"/>
      <c r="J134" s="362"/>
      <c r="K134" s="348"/>
      <c r="L134" s="342" t="str">
        <f>Products!B595</f>
        <v>циліндр несиметричний</v>
      </c>
      <c r="M134" s="349">
        <f>Products!E595</f>
        <v>390</v>
      </c>
    </row>
    <row r="135" spans="2:13">
      <c r="F135" s="97"/>
      <c r="G135" s="97"/>
      <c r="H135" s="31"/>
      <c r="I135" s="31"/>
      <c r="J135" s="362"/>
      <c r="K135" s="348"/>
      <c r="L135" s="342" t="str">
        <f>Products!B596</f>
        <v>завіса Prestige (1 шт)</v>
      </c>
      <c r="M135" s="349">
        <f>Products!E596</f>
        <v>260</v>
      </c>
    </row>
    <row r="136" spans="2:13">
      <c r="C136" s="34"/>
      <c r="D136" s="34"/>
      <c r="E136" s="34"/>
      <c r="J136" s="353"/>
      <c r="K136" s="348"/>
      <c r="L136" s="342" t="str">
        <f>Products!B597</f>
        <v>накладка на завіси (1 к-т)</v>
      </c>
      <c r="M136" s="349">
        <f>Products!E597</f>
        <v>80</v>
      </c>
    </row>
    <row r="137" spans="2:13">
      <c r="C137" s="34"/>
      <c r="D137" s="34"/>
      <c r="E137" s="34"/>
      <c r="J137" s="353"/>
      <c r="K137" s="348"/>
      <c r="L137" s="342" t="str">
        <f>Products!B598</f>
        <v>дверна ручка</v>
      </c>
      <c r="M137" s="349" t="str">
        <f>Products!E598</f>
        <v>див. Таблицю Ручки</v>
      </c>
    </row>
    <row r="138" spans="2:13">
      <c r="B138" s="540" t="str">
        <f>Products!B649</f>
        <v>Полотна збірні: ЛАДА C</v>
      </c>
      <c r="C138" s="541"/>
      <c r="D138" s="541"/>
      <c r="E138" s="541"/>
      <c r="F138" s="170"/>
      <c r="G138" s="170"/>
      <c r="H138" s="170"/>
      <c r="I138" s="170"/>
      <c r="J138" s="343"/>
      <c r="K138" s="343"/>
      <c r="L138" s="355"/>
      <c r="M138" s="356"/>
    </row>
    <row r="139" spans="2:13" ht="25.5" customHeight="1">
      <c r="B139" s="537" t="str">
        <f>Products!B651</f>
        <v>модель</v>
      </c>
      <c r="C139" s="156" t="str">
        <f>Products!C651</f>
        <v>покриття:</v>
      </c>
      <c r="D139" s="129" t="str">
        <f>Products!D651</f>
        <v>Verto-CELL</v>
      </c>
      <c r="E139" s="167" t="str">
        <f>Products!F651</f>
        <v>UNI-MAT</v>
      </c>
      <c r="F139" s="130" t="str">
        <f>Products!H651</f>
        <v>RESIST</v>
      </c>
      <c r="G139" s="130" t="str">
        <f>Products!J651</f>
        <v>Verto LINE-3D</v>
      </c>
      <c r="H139" s="130" t="str">
        <f>Products!L651</f>
        <v>ЕКО Шпон</v>
      </c>
      <c r="I139" s="216"/>
      <c r="J139" s="216"/>
      <c r="K139" s="357"/>
      <c r="L139" s="341" t="str">
        <f>Products!B659</f>
        <v>полотно розміром 100</v>
      </c>
      <c r="M139" s="358">
        <f>Products!E659</f>
        <v>720</v>
      </c>
    </row>
    <row r="140" spans="2:13" ht="24.75" customHeight="1">
      <c r="B140" s="538"/>
      <c r="C140" s="157" t="str">
        <f>Products!C652</f>
        <v>заповнення:</v>
      </c>
      <c r="D140" s="139" t="str">
        <f>Products!D652</f>
        <v>клеєний сосновий брус</v>
      </c>
      <c r="E140" s="168" t="str">
        <f>Products!F652</f>
        <v>клеєний сосновий брус</v>
      </c>
      <c r="F140" s="140" t="str">
        <f>Products!H652</f>
        <v>клеєний сосновий брус</v>
      </c>
      <c r="G140" s="140" t="str">
        <f>Products!J652</f>
        <v>клеєний сосновий брус</v>
      </c>
      <c r="H140" s="140" t="str">
        <f>Products!L652</f>
        <v>клеєний сосновий брус</v>
      </c>
      <c r="I140" s="216"/>
      <c r="J140" s="216"/>
      <c r="K140" s="348"/>
      <c r="L140" s="342" t="str">
        <f>Products!B660</f>
        <v>вентиляційний підріз</v>
      </c>
      <c r="M140" s="349">
        <f>Products!E660</f>
        <v>170.00000000000003</v>
      </c>
    </row>
    <row r="141" spans="2:13">
      <c r="B141" s="539"/>
      <c r="C141" s="158" t="str">
        <f>Products!C653</f>
        <v>скління:</v>
      </c>
      <c r="D141" s="137" t="str">
        <f>Products!D653</f>
        <v>Сатин</v>
      </c>
      <c r="E141" s="161" t="str">
        <f>Products!F653</f>
        <v>Сатин</v>
      </c>
      <c r="F141" s="126" t="str">
        <f>Products!H653</f>
        <v>Сатин</v>
      </c>
      <c r="G141" s="126" t="str">
        <f>Products!J653</f>
        <v>Сатин</v>
      </c>
      <c r="H141" s="126" t="str">
        <f>Products!L653</f>
        <v>Сатин</v>
      </c>
      <c r="I141" s="216"/>
      <c r="J141" s="216"/>
      <c r="K141" s="348"/>
      <c r="L141" s="342" t="str">
        <f>Products!B661</f>
        <v>скло Графіт / Бронза</v>
      </c>
      <c r="M141" s="349">
        <f>Products!E661</f>
        <v>550</v>
      </c>
    </row>
    <row r="142" spans="2:13">
      <c r="B142" s="13" t="str">
        <f>Products!B654</f>
        <v>4.0 - 4.8</v>
      </c>
      <c r="C142" s="163"/>
      <c r="D142" s="184">
        <f>Products!E654</f>
        <v>6790.0000000000009</v>
      </c>
      <c r="E142" s="184">
        <f>Products!G654</f>
        <v>7740</v>
      </c>
      <c r="F142" s="184">
        <f>Products!I654</f>
        <v>8050</v>
      </c>
      <c r="G142" s="184">
        <f>Products!K654</f>
        <v>8770</v>
      </c>
      <c r="H142" s="184">
        <f>Products!M654</f>
        <v>9200</v>
      </c>
      <c r="I142" s="31"/>
      <c r="J142" s="362"/>
      <c r="K142" s="348"/>
      <c r="L142" s="342" t="str">
        <f>Products!B662</f>
        <v>замок Soft</v>
      </c>
      <c r="M142" s="349">
        <f>Products!E662</f>
        <v>550</v>
      </c>
    </row>
    <row r="143" spans="2:13">
      <c r="B143" s="281" t="str">
        <f>Products!B655</f>
        <v>5.0 - 5.6</v>
      </c>
      <c r="C143" s="282"/>
      <c r="D143" s="283">
        <f>Products!E655</f>
        <v>6790.0000000000009</v>
      </c>
      <c r="E143" s="283">
        <f>Products!G655</f>
        <v>7740</v>
      </c>
      <c r="F143" s="283">
        <f>Products!I655</f>
        <v>8050</v>
      </c>
      <c r="G143" s="283">
        <f>Products!K655</f>
        <v>8770</v>
      </c>
      <c r="H143" s="283">
        <f>Products!M655</f>
        <v>9200</v>
      </c>
      <c r="I143" s="31"/>
      <c r="J143" s="362"/>
      <c r="K143" s="348"/>
      <c r="L143" s="342" t="str">
        <f>Products!B663</f>
        <v>замок Soft чорн.</v>
      </c>
      <c r="M143" s="349">
        <f>Products!E663</f>
        <v>680.00000000000011</v>
      </c>
    </row>
    <row r="144" spans="2:13">
      <c r="F144" s="97"/>
      <c r="G144" s="97"/>
      <c r="H144" s="31"/>
      <c r="I144" s="31"/>
      <c r="J144" s="362"/>
      <c r="K144" s="348"/>
      <c r="L144" s="342" t="str">
        <f>Products!B664</f>
        <v>замок Magnet</v>
      </c>
      <c r="M144" s="349">
        <f>Products!E664</f>
        <v>800.00000000000011</v>
      </c>
    </row>
    <row r="145" spans="2:13">
      <c r="F145" s="97"/>
      <c r="G145" s="97"/>
      <c r="H145" s="31"/>
      <c r="I145" s="31"/>
      <c r="J145" s="362"/>
      <c r="K145" s="348"/>
      <c r="L145" s="342" t="str">
        <f>Products!B665</f>
        <v>замок Magnet чорн.</v>
      </c>
      <c r="M145" s="349">
        <f>Products!E665</f>
        <v>1000</v>
      </c>
    </row>
    <row r="146" spans="2:13">
      <c r="C146" s="34"/>
      <c r="D146" s="34"/>
      <c r="E146" s="34"/>
      <c r="H146" s="31"/>
      <c r="I146" s="31"/>
      <c r="J146" s="362"/>
      <c r="K146" s="348"/>
      <c r="L146" s="342" t="str">
        <f>Products!B666</f>
        <v>ручка-замок (для дверей купе)</v>
      </c>
      <c r="M146" s="349">
        <f>Products!E666</f>
        <v>560</v>
      </c>
    </row>
    <row r="147" spans="2:13">
      <c r="C147" s="34"/>
      <c r="D147" s="34"/>
      <c r="E147" s="34"/>
      <c r="H147" s="31"/>
      <c r="I147" s="31"/>
      <c r="J147" s="362"/>
      <c r="K147" s="348"/>
      <c r="L147" s="342" t="str">
        <f>Products!B667</f>
        <v>циліндр несиметричний</v>
      </c>
      <c r="M147" s="349">
        <f>Products!E667</f>
        <v>390</v>
      </c>
    </row>
    <row r="148" spans="2:13">
      <c r="C148" s="34"/>
      <c r="D148" s="34"/>
      <c r="E148" s="34"/>
      <c r="H148" s="31"/>
      <c r="I148" s="31"/>
      <c r="J148" s="362"/>
      <c r="K148" s="348"/>
      <c r="L148" s="342" t="str">
        <f>Products!B668</f>
        <v>завіса Prestige (1 шт)</v>
      </c>
      <c r="M148" s="349">
        <f>Products!E668</f>
        <v>260</v>
      </c>
    </row>
    <row r="149" spans="2:13">
      <c r="C149" s="34"/>
      <c r="D149" s="34"/>
      <c r="E149" s="34"/>
      <c r="J149" s="353"/>
      <c r="K149" s="348"/>
      <c r="L149" s="342" t="str">
        <f>Products!B669</f>
        <v>накладка на завіси (1 к-т)</v>
      </c>
      <c r="M149" s="349">
        <f>Products!E669</f>
        <v>80</v>
      </c>
    </row>
    <row r="150" spans="2:13">
      <c r="C150" s="34"/>
      <c r="D150" s="34"/>
      <c r="E150" s="34"/>
      <c r="J150" s="353"/>
      <c r="K150" s="348"/>
      <c r="L150" s="342" t="str">
        <f>Products!B670</f>
        <v>дверна ручка</v>
      </c>
      <c r="M150" s="349" t="str">
        <f>Products!E670</f>
        <v>див. Таблицю Ручки</v>
      </c>
    </row>
    <row r="151" spans="2:13">
      <c r="B151" s="540" t="str">
        <f>Products!B721</f>
        <v>Полотна збірні: ЛАДА D</v>
      </c>
      <c r="C151" s="541"/>
      <c r="D151" s="541"/>
      <c r="E151" s="541"/>
      <c r="F151" s="170"/>
      <c r="G151" s="170"/>
      <c r="H151" s="170"/>
      <c r="I151" s="170"/>
      <c r="J151" s="343"/>
      <c r="K151" s="343"/>
      <c r="L151" s="355"/>
      <c r="M151" s="356"/>
    </row>
    <row r="152" spans="2:13" ht="27" customHeight="1">
      <c r="B152" s="537" t="str">
        <f>Products!B723</f>
        <v>модель</v>
      </c>
      <c r="C152" s="156" t="str">
        <f>Products!C723</f>
        <v>покриття:</v>
      </c>
      <c r="D152" s="129" t="str">
        <f>Products!D723</f>
        <v>Verto-CELL</v>
      </c>
      <c r="E152" s="167" t="str">
        <f>Products!F723</f>
        <v>UNI-MAT</v>
      </c>
      <c r="F152" s="130" t="str">
        <f>Products!H723</f>
        <v>RESIST</v>
      </c>
      <c r="G152" s="130" t="str">
        <f>Products!J723</f>
        <v>Verto LINE-3D</v>
      </c>
      <c r="H152" s="130" t="str">
        <f>Products!L723</f>
        <v>ЕКО Шпон</v>
      </c>
      <c r="I152" s="216"/>
      <c r="J152" s="216"/>
      <c r="K152" s="357"/>
      <c r="L152" s="341" t="str">
        <f>Products!B731</f>
        <v>полотно розміром 100</v>
      </c>
      <c r="M152" s="358">
        <f>Products!E731</f>
        <v>720</v>
      </c>
    </row>
    <row r="153" spans="2:13" ht="24.75" customHeight="1">
      <c r="B153" s="538"/>
      <c r="C153" s="157" t="str">
        <f>Products!C724</f>
        <v>заповнення:</v>
      </c>
      <c r="D153" s="139" t="str">
        <f>Products!D724</f>
        <v>клеєний сосновий брус</v>
      </c>
      <c r="E153" s="168" t="str">
        <f>Products!F724</f>
        <v>клеєний сосновий брус</v>
      </c>
      <c r="F153" s="140" t="str">
        <f>Products!H724</f>
        <v>клеєний сосновий брус</v>
      </c>
      <c r="G153" s="140" t="str">
        <f>Products!J724</f>
        <v>клеєний сосновий брус</v>
      </c>
      <c r="H153" s="140" t="str">
        <f>Products!L724</f>
        <v>клеєний сосновий брус</v>
      </c>
      <c r="I153" s="216"/>
      <c r="J153" s="216"/>
      <c r="K153" s="348"/>
      <c r="L153" s="342" t="str">
        <f>Products!B732</f>
        <v>вентиляційний підріз</v>
      </c>
      <c r="M153" s="349">
        <f>Products!E732</f>
        <v>170.00000000000003</v>
      </c>
    </row>
    <row r="154" spans="2:13">
      <c r="B154" s="539"/>
      <c r="C154" s="158" t="str">
        <f>Products!C725</f>
        <v>скління:</v>
      </c>
      <c r="D154" s="137" t="str">
        <f>Products!D725</f>
        <v>Сатин</v>
      </c>
      <c r="E154" s="161" t="str">
        <f>Products!F725</f>
        <v>Сатин</v>
      </c>
      <c r="F154" s="126" t="str">
        <f>Products!H725</f>
        <v>Сатин</v>
      </c>
      <c r="G154" s="126" t="str">
        <f>Products!J725</f>
        <v>Сатин</v>
      </c>
      <c r="H154" s="126" t="str">
        <f>Products!L725</f>
        <v>Сатин</v>
      </c>
      <c r="I154" s="216"/>
      <c r="J154" s="216"/>
      <c r="K154" s="348"/>
      <c r="L154" s="342" t="str">
        <f>Products!B733</f>
        <v>скло Графіт / Бронза</v>
      </c>
      <c r="M154" s="349">
        <f>Products!E733</f>
        <v>550</v>
      </c>
    </row>
    <row r="155" spans="2:13">
      <c r="B155" s="13" t="str">
        <f>Products!B726</f>
        <v>6.0 - 6.4</v>
      </c>
      <c r="C155" s="163"/>
      <c r="D155" s="184">
        <f>Products!E726</f>
        <v>6790.0000000000009</v>
      </c>
      <c r="E155" s="184">
        <f>Products!G726</f>
        <v>7740</v>
      </c>
      <c r="F155" s="184">
        <f>Products!I726</f>
        <v>8050</v>
      </c>
      <c r="G155" s="184">
        <f>Products!K726</f>
        <v>8770</v>
      </c>
      <c r="H155" s="184">
        <f>Products!M726</f>
        <v>9190</v>
      </c>
      <c r="I155" s="31"/>
      <c r="J155" s="362"/>
      <c r="K155" s="348"/>
      <c r="L155" s="342" t="str">
        <f>Products!B734</f>
        <v>скло Lacobel чорне</v>
      </c>
      <c r="M155" s="349">
        <f>Products!E734</f>
        <v>550</v>
      </c>
    </row>
    <row r="156" spans="2:13">
      <c r="B156" s="281" t="str">
        <f>Products!B727</f>
        <v>7.0 - 7.2</v>
      </c>
      <c r="C156" s="282"/>
      <c r="D156" s="283">
        <f>Products!E727</f>
        <v>6730.0000000000009</v>
      </c>
      <c r="E156" s="283">
        <f>Products!G727</f>
        <v>7670</v>
      </c>
      <c r="F156" s="283">
        <f>Products!I727</f>
        <v>8010</v>
      </c>
      <c r="G156" s="283">
        <f>Products!K727</f>
        <v>8650</v>
      </c>
      <c r="H156" s="283">
        <f>Products!M727</f>
        <v>9170</v>
      </c>
      <c r="I156" s="31"/>
      <c r="J156" s="362"/>
      <c r="K156" s="348"/>
      <c r="L156" s="342" t="str">
        <f>Products!B735</f>
        <v>замок Soft</v>
      </c>
      <c r="M156" s="349">
        <f>Products!E735</f>
        <v>550</v>
      </c>
    </row>
    <row r="157" spans="2:13">
      <c r="F157" s="97"/>
      <c r="G157" s="97"/>
      <c r="H157" s="31"/>
      <c r="I157" s="31"/>
      <c r="J157" s="362"/>
      <c r="K157" s="348"/>
      <c r="L157" s="342" t="str">
        <f>Products!B736</f>
        <v>замок Soft чорн.</v>
      </c>
      <c r="M157" s="349">
        <f>Products!E736</f>
        <v>680.00000000000011</v>
      </c>
    </row>
    <row r="158" spans="2:13">
      <c r="F158" s="97"/>
      <c r="G158" s="97"/>
      <c r="H158" s="31"/>
      <c r="I158" s="31"/>
      <c r="J158" s="362"/>
      <c r="K158" s="348"/>
      <c r="L158" s="342" t="str">
        <f>Products!B737</f>
        <v>замок Magnet</v>
      </c>
      <c r="M158" s="349">
        <f>Products!E737</f>
        <v>800.00000000000011</v>
      </c>
    </row>
    <row r="159" spans="2:13">
      <c r="C159" s="34"/>
      <c r="D159" s="34"/>
      <c r="E159" s="34"/>
      <c r="H159" s="31"/>
      <c r="I159" s="31"/>
      <c r="J159" s="362"/>
      <c r="K159" s="348"/>
      <c r="L159" s="342" t="str">
        <f>Products!B738</f>
        <v>замок Magnet чорн.</v>
      </c>
      <c r="M159" s="349">
        <f>Products!E738</f>
        <v>1000</v>
      </c>
    </row>
    <row r="160" spans="2:13">
      <c r="C160" s="34"/>
      <c r="D160" s="34"/>
      <c r="E160" s="34"/>
      <c r="H160" s="31"/>
      <c r="I160" s="31"/>
      <c r="J160" s="362"/>
      <c r="K160" s="348"/>
      <c r="L160" s="342" t="str">
        <f>Products!B739</f>
        <v>ручка-замок (для дверей купе)</v>
      </c>
      <c r="M160" s="349">
        <f>Products!E739</f>
        <v>560</v>
      </c>
    </row>
    <row r="161" spans="2:13">
      <c r="F161" s="97"/>
      <c r="G161" s="97"/>
      <c r="H161" s="31"/>
      <c r="I161" s="31"/>
      <c r="J161" s="362"/>
      <c r="K161" s="348"/>
      <c r="L161" s="342" t="str">
        <f>Products!B740</f>
        <v>циліндр несиметричний</v>
      </c>
      <c r="M161" s="349">
        <f>Products!E740</f>
        <v>390</v>
      </c>
    </row>
    <row r="162" spans="2:13">
      <c r="C162" s="34"/>
      <c r="D162" s="34"/>
      <c r="E162" s="34"/>
      <c r="J162" s="353"/>
      <c r="K162" s="348"/>
      <c r="L162" s="342" t="str">
        <f>Products!B741</f>
        <v>завіса Prestige (1 шт)</v>
      </c>
      <c r="M162" s="349">
        <f>Products!E741</f>
        <v>260</v>
      </c>
    </row>
    <row r="163" spans="2:13">
      <c r="C163" s="34"/>
      <c r="D163" s="34"/>
      <c r="E163" s="34"/>
      <c r="J163" s="353"/>
      <c r="K163" s="348"/>
      <c r="L163" s="342" t="str">
        <f>Products!B742</f>
        <v>накладка на завіси (1 к-т)</v>
      </c>
      <c r="M163" s="349">
        <f>Products!E742</f>
        <v>80</v>
      </c>
    </row>
    <row r="164" spans="2:13">
      <c r="C164" s="34"/>
      <c r="D164" s="34"/>
      <c r="E164" s="34"/>
      <c r="J164" s="353"/>
      <c r="K164" s="348"/>
      <c r="L164" s="342" t="str">
        <f>Products!B743</f>
        <v>дверна ручка</v>
      </c>
      <c r="M164" s="349" t="str">
        <f>Products!E743</f>
        <v>див. Таблицю Ручки</v>
      </c>
    </row>
    <row r="165" spans="2:13">
      <c r="B165" s="540" t="str">
        <f>Products!B794</f>
        <v>Полотна збірні: НІКА</v>
      </c>
      <c r="C165" s="541"/>
      <c r="D165" s="541"/>
      <c r="E165" s="541"/>
      <c r="F165" s="170"/>
      <c r="G165" s="170"/>
      <c r="H165" s="170"/>
      <c r="I165" s="170"/>
      <c r="J165" s="343"/>
      <c r="K165" s="343"/>
      <c r="L165" s="355"/>
      <c r="M165" s="356"/>
    </row>
    <row r="166" spans="2:13" ht="24.75" customHeight="1">
      <c r="B166" s="537" t="str">
        <f>Products!B796</f>
        <v>модель</v>
      </c>
      <c r="C166" s="156" t="str">
        <f>Products!C796</f>
        <v>покриття:</v>
      </c>
      <c r="D166" s="129" t="str">
        <f>Products!D796</f>
        <v>Verto-CELL</v>
      </c>
      <c r="E166" s="167" t="str">
        <f>Products!F796</f>
        <v>UNI-MAT</v>
      </c>
      <c r="F166" s="130" t="str">
        <f>Products!H796</f>
        <v>RESIST</v>
      </c>
      <c r="G166" s="130" t="str">
        <f>Products!J796</f>
        <v>Verto LINE-3D</v>
      </c>
      <c r="H166" s="130" t="str">
        <f>Products!L796</f>
        <v>ЕКО Шпон</v>
      </c>
      <c r="I166" s="216"/>
      <c r="J166" s="216"/>
      <c r="K166" s="357"/>
      <c r="L166" s="341" t="str">
        <f>Products!B804</f>
        <v>полотно розміром 100</v>
      </c>
      <c r="M166" s="358">
        <f>Products!E804</f>
        <v>720</v>
      </c>
    </row>
    <row r="167" spans="2:13" ht="24.75" customHeight="1">
      <c r="B167" s="538"/>
      <c r="C167" s="157" t="str">
        <f>Products!C797</f>
        <v>заповнення:</v>
      </c>
      <c r="D167" s="139" t="str">
        <f>Products!D797</f>
        <v>клеєний сосновий брус</v>
      </c>
      <c r="E167" s="168" t="str">
        <f>Products!F797</f>
        <v>клеєний сосновий брус</v>
      </c>
      <c r="F167" s="140" t="str">
        <f>Products!H797</f>
        <v>клеєний сосновий брус</v>
      </c>
      <c r="G167" s="140" t="str">
        <f>Products!J797</f>
        <v>клеєний сосновий брус</v>
      </c>
      <c r="H167" s="140" t="str">
        <f>Products!L797</f>
        <v>клеєний сосновий брус</v>
      </c>
      <c r="I167" s="216"/>
      <c r="J167" s="216"/>
      <c r="K167" s="348"/>
      <c r="L167" s="342" t="str">
        <f>Products!B805</f>
        <v>вентиляційний підріз</v>
      </c>
      <c r="M167" s="349">
        <f>Products!E805</f>
        <v>170.00000000000003</v>
      </c>
    </row>
    <row r="168" spans="2:13">
      <c r="B168" s="539"/>
      <c r="C168" s="158" t="str">
        <f>Products!C798</f>
        <v>скління:</v>
      </c>
      <c r="D168" s="137" t="str">
        <f>Products!D798</f>
        <v>Сатин</v>
      </c>
      <c r="E168" s="161" t="str">
        <f>Products!F798</f>
        <v>Сатин</v>
      </c>
      <c r="F168" s="126" t="str">
        <f>Products!H798</f>
        <v>Сатин</v>
      </c>
      <c r="G168" s="126" t="str">
        <f>Products!J798</f>
        <v>Сатин</v>
      </c>
      <c r="H168" s="126" t="str">
        <f>Products!L798</f>
        <v>Сатин</v>
      </c>
      <c r="I168" s="216"/>
      <c r="J168" s="216"/>
      <c r="K168" s="348"/>
      <c r="L168" s="342" t="str">
        <f>Products!B806</f>
        <v>скло Графіт / Бронза</v>
      </c>
      <c r="M168" s="349">
        <f>Products!E806</f>
        <v>550</v>
      </c>
    </row>
    <row r="169" spans="2:13">
      <c r="B169" s="13" t="str">
        <f>Products!B799</f>
        <v>1.0 - 1.8</v>
      </c>
      <c r="C169" s="163"/>
      <c r="D169" s="184">
        <f>Products!E799</f>
        <v>6590</v>
      </c>
      <c r="E169" s="184">
        <f>Products!G799</f>
        <v>7500</v>
      </c>
      <c r="F169" s="184">
        <f>Products!I799</f>
        <v>7740</v>
      </c>
      <c r="G169" s="184">
        <f>Products!K799</f>
        <v>8400</v>
      </c>
      <c r="H169" s="184">
        <f>Products!M799</f>
        <v>8770</v>
      </c>
      <c r="I169" s="31"/>
      <c r="J169" s="362"/>
      <c r="K169" s="348"/>
      <c r="L169" s="342" t="str">
        <f>Products!B807</f>
        <v>скло Lacobel чорне</v>
      </c>
      <c r="M169" s="349">
        <f>Products!E807</f>
        <v>550</v>
      </c>
    </row>
    <row r="170" spans="2:13">
      <c r="B170" s="281" t="str">
        <f>Products!B800</f>
        <v>2.1 - 2.4</v>
      </c>
      <c r="C170" s="282"/>
      <c r="D170" s="283">
        <f>Products!E800</f>
        <v>6590</v>
      </c>
      <c r="E170" s="283">
        <f>Products!G800</f>
        <v>7500</v>
      </c>
      <c r="F170" s="283">
        <f>Products!I800</f>
        <v>7740</v>
      </c>
      <c r="G170" s="283">
        <f>Products!K800</f>
        <v>8400</v>
      </c>
      <c r="H170" s="283">
        <f>Products!M800</f>
        <v>8770</v>
      </c>
      <c r="I170" s="31"/>
      <c r="J170" s="362"/>
      <c r="K170" s="348"/>
      <c r="L170" s="342" t="str">
        <f>Products!B808</f>
        <v>замок Soft</v>
      </c>
      <c r="M170" s="349">
        <f>Products!E808</f>
        <v>550</v>
      </c>
    </row>
    <row r="171" spans="2:13">
      <c r="F171" s="97"/>
      <c r="G171" s="97"/>
      <c r="H171" s="31"/>
      <c r="I171" s="31"/>
      <c r="J171" s="362"/>
      <c r="K171" s="348"/>
      <c r="L171" s="342" t="str">
        <f>Products!B809</f>
        <v>замок Soft чорн.</v>
      </c>
      <c r="M171" s="349">
        <f>Products!E809</f>
        <v>680.00000000000011</v>
      </c>
    </row>
    <row r="172" spans="2:13">
      <c r="F172" s="97"/>
      <c r="G172" s="97"/>
      <c r="H172" s="31"/>
      <c r="I172" s="31"/>
      <c r="J172" s="362"/>
      <c r="K172" s="348"/>
      <c r="L172" s="342" t="str">
        <f>Products!B810</f>
        <v>замок Magnet</v>
      </c>
      <c r="M172" s="349">
        <f>Products!E810</f>
        <v>800.00000000000011</v>
      </c>
    </row>
    <row r="173" spans="2:13">
      <c r="C173" s="34"/>
      <c r="D173" s="34"/>
      <c r="E173" s="34"/>
      <c r="H173" s="31"/>
      <c r="I173" s="31"/>
      <c r="J173" s="362"/>
      <c r="K173" s="348"/>
      <c r="L173" s="342" t="str">
        <f>Products!B811</f>
        <v>замок Magnet чорн.</v>
      </c>
      <c r="M173" s="349">
        <f>Products!E811</f>
        <v>1000</v>
      </c>
    </row>
    <row r="174" spans="2:13">
      <c r="C174" s="34"/>
      <c r="D174" s="34"/>
      <c r="E174" s="34"/>
      <c r="H174" s="31"/>
      <c r="I174" s="31"/>
      <c r="J174" s="362"/>
      <c r="K174" s="348"/>
      <c r="L174" s="342" t="str">
        <f>Products!B812</f>
        <v>ручка-замок (для дверей купе)</v>
      </c>
      <c r="M174" s="349">
        <f>Products!E812</f>
        <v>560</v>
      </c>
    </row>
    <row r="175" spans="2:13">
      <c r="C175" s="34"/>
      <c r="D175" s="34"/>
      <c r="E175" s="34"/>
      <c r="H175" s="31"/>
      <c r="I175" s="31"/>
      <c r="J175" s="362"/>
      <c r="K175" s="348"/>
      <c r="L175" s="342" t="str">
        <f>Products!B813</f>
        <v>циліндр несиметричний</v>
      </c>
      <c r="M175" s="349">
        <f>Products!E813</f>
        <v>390</v>
      </c>
    </row>
    <row r="176" spans="2:13">
      <c r="F176" s="97"/>
      <c r="G176" s="97"/>
      <c r="H176" s="31"/>
      <c r="I176" s="31"/>
      <c r="J176" s="362"/>
      <c r="K176" s="348"/>
      <c r="L176" s="342" t="str">
        <f>Products!B814</f>
        <v>завіса Prestige (1 шт)</v>
      </c>
      <c r="M176" s="349">
        <f>Products!E814</f>
        <v>260</v>
      </c>
    </row>
    <row r="177" spans="2:13">
      <c r="F177" s="97"/>
      <c r="G177" s="97"/>
      <c r="H177" s="31"/>
      <c r="I177" s="31"/>
      <c r="J177" s="362"/>
      <c r="K177" s="348"/>
      <c r="L177" s="342" t="str">
        <f>Products!B815</f>
        <v>накладка на завіси (1 к-т)</v>
      </c>
      <c r="M177" s="349">
        <f>Products!E815</f>
        <v>80</v>
      </c>
    </row>
    <row r="178" spans="2:13">
      <c r="F178" s="97"/>
      <c r="G178" s="97"/>
      <c r="H178" s="31"/>
      <c r="I178" s="31"/>
      <c r="J178" s="362"/>
      <c r="K178" s="348"/>
      <c r="L178" s="342" t="str">
        <f>Products!B816</f>
        <v>дверна ручка</v>
      </c>
      <c r="M178" s="349" t="str">
        <f>Products!E816</f>
        <v>див. Таблицю Ручки</v>
      </c>
    </row>
    <row r="179" spans="2:13">
      <c r="B179" s="540" t="str">
        <f>Products!B867</f>
        <v>Полотна збірні: ЛІСА</v>
      </c>
      <c r="C179" s="541"/>
      <c r="D179" s="541"/>
      <c r="E179" s="541"/>
      <c r="F179" s="170"/>
      <c r="G179" s="170"/>
      <c r="H179" s="170"/>
      <c r="I179" s="170"/>
      <c r="J179" s="343"/>
      <c r="K179" s="343"/>
      <c r="L179" s="355"/>
      <c r="M179" s="356"/>
    </row>
    <row r="180" spans="2:13" ht="27" customHeight="1">
      <c r="B180" s="537" t="str">
        <f>Products!B869</f>
        <v>модель</v>
      </c>
      <c r="C180" s="156" t="str">
        <f>Products!C869</f>
        <v>покриття:</v>
      </c>
      <c r="D180" s="129" t="str">
        <f>Products!D869</f>
        <v>Verto-CELL</v>
      </c>
      <c r="E180" s="167" t="str">
        <f>Products!F869</f>
        <v>UNI-MAT</v>
      </c>
      <c r="F180" s="130" t="str">
        <f>Products!H869</f>
        <v>RESIST</v>
      </c>
      <c r="G180" s="130" t="str">
        <f>Products!J869</f>
        <v>Verto LINE-3D</v>
      </c>
      <c r="H180" s="130" t="str">
        <f>Products!L869</f>
        <v>ЕКО Шпон</v>
      </c>
      <c r="I180" s="216"/>
      <c r="J180" s="216"/>
      <c r="K180" s="357"/>
      <c r="L180" s="341" t="str">
        <f>Products!B877</f>
        <v>полотно розміром 100</v>
      </c>
      <c r="M180" s="358">
        <f>Products!E877</f>
        <v>720</v>
      </c>
    </row>
    <row r="181" spans="2:13" ht="24.75" customHeight="1">
      <c r="B181" s="538"/>
      <c r="C181" s="157" t="str">
        <f>Products!C870</f>
        <v>заповнення:</v>
      </c>
      <c r="D181" s="139" t="str">
        <f>Products!D870</f>
        <v>клеєний сосновий брус</v>
      </c>
      <c r="E181" s="168" t="str">
        <f>Products!F870</f>
        <v>клеєний сосновий брус</v>
      </c>
      <c r="F181" s="140" t="str">
        <f>Products!H870</f>
        <v>клеєний сосновий брус</v>
      </c>
      <c r="G181" s="140" t="str">
        <f>Products!J870</f>
        <v>клеєний сосновий брус</v>
      </c>
      <c r="H181" s="140" t="str">
        <f>Products!L870</f>
        <v>клеєний сосновий брус</v>
      </c>
      <c r="I181" s="216"/>
      <c r="J181" s="216"/>
      <c r="K181" s="348"/>
      <c r="L181" s="342" t="str">
        <f>Products!B878</f>
        <v>вентиляційний підріз</v>
      </c>
      <c r="M181" s="349">
        <f>Products!E878</f>
        <v>170.00000000000003</v>
      </c>
    </row>
    <row r="182" spans="2:13">
      <c r="B182" s="539"/>
      <c r="C182" s="158" t="str">
        <f>Products!C871</f>
        <v>скління:</v>
      </c>
      <c r="D182" s="137" t="str">
        <f>Products!D871</f>
        <v>Сатин</v>
      </c>
      <c r="E182" s="161" t="str">
        <f>Products!F871</f>
        <v>Сатин</v>
      </c>
      <c r="F182" s="126" t="str">
        <f>Products!H871</f>
        <v>Сатин</v>
      </c>
      <c r="G182" s="126" t="str">
        <f>Products!J871</f>
        <v>Сатин</v>
      </c>
      <c r="H182" s="126" t="str">
        <f>Products!L871</f>
        <v>Сатин</v>
      </c>
      <c r="I182" s="216"/>
      <c r="J182" s="216"/>
      <c r="K182" s="348"/>
      <c r="L182" s="342" t="str">
        <f>Products!B879</f>
        <v>скло Графіт / Бронза</v>
      </c>
      <c r="M182" s="349">
        <f>Products!E879</f>
        <v>550</v>
      </c>
    </row>
    <row r="183" spans="2:13">
      <c r="B183" s="13" t="str">
        <f>Products!B872</f>
        <v>2.0 - 2.2</v>
      </c>
      <c r="C183" s="163"/>
      <c r="D183" s="184">
        <f>Products!E872</f>
        <v>5910</v>
      </c>
      <c r="E183" s="184">
        <f>Products!G872</f>
        <v>6520.0000000000009</v>
      </c>
      <c r="F183" s="184">
        <f>Products!I872</f>
        <v>6710</v>
      </c>
      <c r="G183" s="184">
        <f>Products!K872</f>
        <v>7220</v>
      </c>
      <c r="H183" s="184">
        <f>Products!M872</f>
        <v>7570</v>
      </c>
      <c r="I183" s="31"/>
      <c r="J183" s="362"/>
      <c r="K183" s="348"/>
      <c r="L183" s="342" t="str">
        <f>Products!B880</f>
        <v>скло Lacobel чорне</v>
      </c>
      <c r="M183" s="349">
        <f>Products!E880</f>
        <v>550</v>
      </c>
    </row>
    <row r="184" spans="2:13">
      <c r="B184" s="281" t="str">
        <f>Products!B873</f>
        <v>3.0 - 3.4</v>
      </c>
      <c r="C184" s="282"/>
      <c r="D184" s="283">
        <f>Products!E873</f>
        <v>5910</v>
      </c>
      <c r="E184" s="283">
        <f>Products!G873</f>
        <v>6520.0000000000009</v>
      </c>
      <c r="F184" s="283">
        <f>Products!I873</f>
        <v>6710</v>
      </c>
      <c r="G184" s="283">
        <f>Products!K873</f>
        <v>7220</v>
      </c>
      <c r="H184" s="283">
        <f>Products!M873</f>
        <v>7570</v>
      </c>
      <c r="I184" s="31"/>
      <c r="J184" s="362"/>
      <c r="K184" s="348"/>
      <c r="L184" s="342" t="str">
        <f>Products!B881</f>
        <v>замок Soft</v>
      </c>
      <c r="M184" s="349">
        <f>Products!E881</f>
        <v>550</v>
      </c>
    </row>
    <row r="185" spans="2:13">
      <c r="F185" s="97"/>
      <c r="G185" s="97"/>
      <c r="H185" s="31"/>
      <c r="I185" s="31"/>
      <c r="J185" s="362"/>
      <c r="K185" s="348"/>
      <c r="L185" s="342" t="str">
        <f>Products!B882</f>
        <v>замок Soft чорн.</v>
      </c>
      <c r="M185" s="349">
        <f>Products!E882</f>
        <v>680.00000000000011</v>
      </c>
    </row>
    <row r="186" spans="2:13">
      <c r="F186" s="97"/>
      <c r="G186" s="97"/>
      <c r="H186" s="31"/>
      <c r="I186" s="31"/>
      <c r="J186" s="362"/>
      <c r="K186" s="348"/>
      <c r="L186" s="342" t="str">
        <f>Products!B883</f>
        <v>замок Magnet</v>
      </c>
      <c r="M186" s="349">
        <f>Products!E883</f>
        <v>800.00000000000011</v>
      </c>
    </row>
    <row r="187" spans="2:13">
      <c r="C187" s="34"/>
      <c r="D187" s="34"/>
      <c r="E187" s="34"/>
      <c r="H187" s="31"/>
      <c r="I187" s="31"/>
      <c r="J187" s="362"/>
      <c r="K187" s="348"/>
      <c r="L187" s="342" t="str">
        <f>Products!B884</f>
        <v>замок Magnet чорн.</v>
      </c>
      <c r="M187" s="349">
        <f>Products!E884</f>
        <v>1000</v>
      </c>
    </row>
    <row r="188" spans="2:13">
      <c r="C188" s="34"/>
      <c r="D188" s="34"/>
      <c r="E188" s="34"/>
      <c r="H188" s="31"/>
      <c r="I188" s="31"/>
      <c r="J188" s="362"/>
      <c r="K188" s="348"/>
      <c r="L188" s="342" t="str">
        <f>Products!B885</f>
        <v>ручка-замок (для дверей купе)</v>
      </c>
      <c r="M188" s="349">
        <f>Products!E885</f>
        <v>560</v>
      </c>
    </row>
    <row r="189" spans="2:13">
      <c r="C189" s="34"/>
      <c r="D189" s="34"/>
      <c r="E189" s="34"/>
      <c r="H189" s="31"/>
      <c r="I189" s="31"/>
      <c r="J189" s="362"/>
      <c r="K189" s="348"/>
      <c r="L189" s="342" t="str">
        <f>Products!B886</f>
        <v>циліндр несиметричний</v>
      </c>
      <c r="M189" s="349">
        <f>Products!E886</f>
        <v>390</v>
      </c>
    </row>
    <row r="190" spans="2:13">
      <c r="F190" s="97"/>
      <c r="G190" s="97"/>
      <c r="H190" s="31"/>
      <c r="I190" s="31"/>
      <c r="J190" s="362"/>
      <c r="K190" s="348"/>
      <c r="L190" s="342" t="str">
        <f>Products!B887</f>
        <v>завіса Prestige (1 шт)</v>
      </c>
      <c r="M190" s="349">
        <f>Products!E887</f>
        <v>260</v>
      </c>
    </row>
    <row r="191" spans="2:13">
      <c r="C191" s="34"/>
      <c r="D191" s="34"/>
      <c r="E191" s="34"/>
      <c r="F191" s="31"/>
      <c r="G191" s="31"/>
      <c r="J191" s="353"/>
      <c r="K191" s="348"/>
      <c r="L191" s="342" t="str">
        <f>Products!B888</f>
        <v>накладка на завіси (1 к-т)</v>
      </c>
      <c r="M191" s="349">
        <f>Products!E888</f>
        <v>80</v>
      </c>
    </row>
    <row r="192" spans="2:13">
      <c r="C192" s="34"/>
      <c r="D192" s="34"/>
      <c r="E192" s="34"/>
      <c r="F192" s="31"/>
      <c r="G192" s="31"/>
      <c r="J192" s="353"/>
      <c r="K192" s="348"/>
      <c r="L192" s="342" t="str">
        <f>Products!B889</f>
        <v>дверна ручка</v>
      </c>
      <c r="M192" s="349" t="str">
        <f>Products!E889</f>
        <v>див. Таблицю Ручки</v>
      </c>
    </row>
    <row r="193" spans="1:13" s="31" customFormat="1" ht="12.75" customHeight="1">
      <c r="B193" s="540" t="str">
        <f>TITLE!$C$21</f>
        <v>Полотна збірні: ЛАДА-КОНЦЕПТ</v>
      </c>
      <c r="C193" s="541"/>
      <c r="D193" s="541"/>
      <c r="E193" s="541"/>
      <c r="F193" s="170"/>
      <c r="G193" s="170"/>
      <c r="H193" s="170"/>
      <c r="I193" s="170"/>
      <c r="J193" s="343"/>
      <c r="K193" s="343"/>
      <c r="L193" s="355"/>
      <c r="M193" s="356"/>
    </row>
    <row r="194" spans="1:13" ht="26.25" customHeight="1">
      <c r="A194" s="31"/>
      <c r="B194" s="537" t="str">
        <f>Products!B942</f>
        <v>модель</v>
      </c>
      <c r="C194" s="156" t="str">
        <f>Products!C942</f>
        <v>покриття:</v>
      </c>
      <c r="D194" s="129" t="str">
        <f>Products!D942</f>
        <v>Verto-CELL</v>
      </c>
      <c r="E194" s="167" t="str">
        <f>Products!F942</f>
        <v>UNI-MAT</v>
      </c>
      <c r="F194" s="130" t="str">
        <f>Products!H942</f>
        <v>RESIST</v>
      </c>
      <c r="G194" s="130" t="str">
        <f>Products!J942</f>
        <v>Verto LINE-3D</v>
      </c>
      <c r="H194" s="130" t="str">
        <f>Products!L942</f>
        <v>ЕКО Шпон</v>
      </c>
      <c r="I194" s="216"/>
      <c r="J194" s="216"/>
      <c r="K194" s="357"/>
      <c r="L194" s="341" t="str">
        <f>Products!B954</f>
        <v>полотно розміром 100</v>
      </c>
      <c r="M194" s="358">
        <f>Products!E954</f>
        <v>720</v>
      </c>
    </row>
    <row r="195" spans="1:13" ht="24" customHeight="1">
      <c r="A195" s="31"/>
      <c r="B195" s="538"/>
      <c r="C195" s="157" t="str">
        <f>Products!C943</f>
        <v>заповнення:</v>
      </c>
      <c r="D195" s="139" t="str">
        <f>Products!D943</f>
        <v>клеєний сосновий брус</v>
      </c>
      <c r="E195" s="168" t="str">
        <f>Products!F943</f>
        <v>клеєний сосновий брус</v>
      </c>
      <c r="F195" s="140" t="str">
        <f>Products!H943</f>
        <v>клеєний сосновий брус</v>
      </c>
      <c r="G195" s="140" t="str">
        <f>Products!J943</f>
        <v>клеєний сосновий брус</v>
      </c>
      <c r="H195" s="140" t="str">
        <f>Products!L943</f>
        <v>клеєний сосновий брус</v>
      </c>
      <c r="I195" s="216"/>
      <c r="J195" s="216"/>
      <c r="K195" s="348"/>
      <c r="L195" s="342" t="str">
        <f>Products!B955</f>
        <v>вентиляційні віддушини (1ряд)</v>
      </c>
      <c r="M195" s="349">
        <f>Products!E955</f>
        <v>250</v>
      </c>
    </row>
    <row r="196" spans="1:13" ht="12.75" customHeight="1">
      <c r="A196" s="31"/>
      <c r="B196" s="539"/>
      <c r="C196" s="158" t="str">
        <f>Products!C944</f>
        <v>скління:</v>
      </c>
      <c r="D196" s="137" t="str">
        <f>Products!D944</f>
        <v>Сатин</v>
      </c>
      <c r="E196" s="161" t="str">
        <f>Products!F944</f>
        <v>Сатин</v>
      </c>
      <c r="F196" s="126" t="str">
        <f>Products!H944</f>
        <v>Сатин</v>
      </c>
      <c r="G196" s="126" t="str">
        <f>Products!J944</f>
        <v>Сатин</v>
      </c>
      <c r="H196" s="126" t="str">
        <f>Products!L944</f>
        <v>Сатин</v>
      </c>
      <c r="I196" s="216"/>
      <c r="J196" s="216"/>
      <c r="K196" s="348"/>
      <c r="L196" s="342" t="str">
        <f>Products!B956</f>
        <v>вентиляційний підріз</v>
      </c>
      <c r="M196" s="349">
        <f>Products!E956</f>
        <v>170.00000000000003</v>
      </c>
    </row>
    <row r="197" spans="1:13">
      <c r="A197" s="31"/>
      <c r="B197" s="16" t="str">
        <f>Products!B945</f>
        <v>2.0 - 2.2</v>
      </c>
      <c r="C197" s="164"/>
      <c r="D197" s="192">
        <f>Products!E945</f>
        <v>6150</v>
      </c>
      <c r="E197" s="185">
        <f>Products!G945</f>
        <v>6820.0000000000009</v>
      </c>
      <c r="F197" s="186">
        <f>Products!I945</f>
        <v>7030.0000000000009</v>
      </c>
      <c r="G197" s="186">
        <f>Products!K945</f>
        <v>7670</v>
      </c>
      <c r="H197" s="186">
        <f>Products!M945</f>
        <v>8040</v>
      </c>
      <c r="I197" s="224"/>
      <c r="J197" s="224"/>
      <c r="K197" s="348"/>
      <c r="L197" s="342" t="str">
        <f>Products!B957</f>
        <v>скло Графіт / Бронза</v>
      </c>
      <c r="M197" s="349">
        <f>Products!E957</f>
        <v>550</v>
      </c>
    </row>
    <row r="198" spans="1:13">
      <c r="A198" s="31"/>
      <c r="B198" s="16" t="str">
        <f>Products!B946</f>
        <v>3.0 - 3.3</v>
      </c>
      <c r="C198" s="164"/>
      <c r="D198" s="192">
        <f>Products!E946</f>
        <v>6370.0000000000009</v>
      </c>
      <c r="E198" s="185">
        <f>Products!G946</f>
        <v>7080</v>
      </c>
      <c r="F198" s="186">
        <f>Products!I946</f>
        <v>7300.0000000000009</v>
      </c>
      <c r="G198" s="186">
        <f>Products!K946</f>
        <v>7820</v>
      </c>
      <c r="H198" s="186">
        <f>Products!M946</f>
        <v>8170</v>
      </c>
      <c r="I198" s="224"/>
      <c r="J198" s="224"/>
      <c r="K198" s="348"/>
      <c r="L198" s="342" t="str">
        <f>Products!B958</f>
        <v>скло Lacobel чорне</v>
      </c>
      <c r="M198" s="349">
        <f>Products!E958</f>
        <v>550</v>
      </c>
    </row>
    <row r="199" spans="1:13">
      <c r="A199" s="31"/>
      <c r="B199" s="16" t="str">
        <f>Products!B947</f>
        <v>4.0 - 4.4</v>
      </c>
      <c r="C199" s="164"/>
      <c r="D199" s="192">
        <f>Products!E947</f>
        <v>6720</v>
      </c>
      <c r="E199" s="185">
        <f>Products!G947</f>
        <v>7460</v>
      </c>
      <c r="F199" s="186">
        <f>Products!I947</f>
        <v>7680</v>
      </c>
      <c r="G199" s="186">
        <f>Products!K947</f>
        <v>8550</v>
      </c>
      <c r="H199" s="186">
        <f>Products!M947</f>
        <v>8610</v>
      </c>
      <c r="I199" s="224"/>
      <c r="J199" s="224"/>
      <c r="K199" s="348"/>
      <c r="L199" s="342" t="str">
        <f>Products!B959</f>
        <v>замок Soft</v>
      </c>
      <c r="M199" s="349">
        <f>Products!E959</f>
        <v>550</v>
      </c>
    </row>
    <row r="200" spans="1:13">
      <c r="A200" s="31"/>
      <c r="B200" s="16" t="str">
        <f>Products!B948</f>
        <v>5.1.</v>
      </c>
      <c r="C200" s="164"/>
      <c r="D200" s="192">
        <f>Products!E948</f>
        <v>6370.0000000000009</v>
      </c>
      <c r="E200" s="185">
        <f>Products!G948</f>
        <v>7080</v>
      </c>
      <c r="F200" s="186">
        <f>Products!I948</f>
        <v>7300.0000000000009</v>
      </c>
      <c r="G200" s="186">
        <f>Products!K948</f>
        <v>7820</v>
      </c>
      <c r="H200" s="186">
        <f>Products!M948</f>
        <v>8170</v>
      </c>
      <c r="I200" s="224"/>
      <c r="J200" s="224"/>
      <c r="K200" s="348"/>
      <c r="L200" s="342" t="str">
        <f>Products!B960</f>
        <v>замок Soft чорн.</v>
      </c>
      <c r="M200" s="349">
        <f>Products!E960</f>
        <v>680.00000000000011</v>
      </c>
    </row>
    <row r="201" spans="1:13">
      <c r="A201" s="31"/>
      <c r="B201" s="16" t="str">
        <f>Products!B949</f>
        <v>5.2.</v>
      </c>
      <c r="C201" s="164"/>
      <c r="D201" s="192">
        <f>Products!E949</f>
        <v>6060</v>
      </c>
      <c r="E201" s="185">
        <f>Products!G949</f>
        <v>6720</v>
      </c>
      <c r="F201" s="186">
        <f>Products!I949</f>
        <v>6930</v>
      </c>
      <c r="G201" s="186">
        <f>Products!K949</f>
        <v>7480</v>
      </c>
      <c r="H201" s="186">
        <f>Products!M949</f>
        <v>7830</v>
      </c>
      <c r="I201" s="224"/>
      <c r="J201" s="224"/>
      <c r="K201" s="348"/>
      <c r="L201" s="342" t="str">
        <f>Products!B961</f>
        <v>замок Magnet</v>
      </c>
      <c r="M201" s="349">
        <f>Products!E961</f>
        <v>800.00000000000011</v>
      </c>
    </row>
    <row r="202" spans="1:13">
      <c r="A202" s="31"/>
      <c r="B202" s="23" t="str">
        <f>Products!B950</f>
        <v>5.3.</v>
      </c>
      <c r="C202" s="165"/>
      <c r="D202" s="193">
        <f>Products!E950</f>
        <v>5740.0000000000009</v>
      </c>
      <c r="E202" s="187">
        <f>Products!G950</f>
        <v>6360</v>
      </c>
      <c r="F202" s="188">
        <f>Products!I950</f>
        <v>6580.0000000000009</v>
      </c>
      <c r="G202" s="188">
        <f>Products!K950</f>
        <v>7030.0000000000009</v>
      </c>
      <c r="H202" s="188">
        <f>Products!M950</f>
        <v>7320</v>
      </c>
      <c r="I202" s="224"/>
      <c r="J202" s="224"/>
      <c r="K202" s="348"/>
      <c r="L202" s="342" t="str">
        <f>Products!B962</f>
        <v>замок Magnet чорн.</v>
      </c>
      <c r="M202" s="349">
        <f>Products!E962</f>
        <v>1000</v>
      </c>
    </row>
    <row r="203" spans="1:13">
      <c r="A203" s="31"/>
      <c r="B203" s="313"/>
      <c r="C203" s="314"/>
      <c r="D203" s="196"/>
      <c r="E203" s="196"/>
      <c r="F203" s="196"/>
      <c r="G203" s="196"/>
      <c r="H203" s="224"/>
      <c r="I203" s="224"/>
      <c r="J203" s="224"/>
      <c r="K203" s="348"/>
      <c r="L203" s="342" t="str">
        <f>Products!B963</f>
        <v>ручка-замок (для дверей купе)</v>
      </c>
      <c r="M203" s="349">
        <f>Products!E963</f>
        <v>560</v>
      </c>
    </row>
    <row r="204" spans="1:13">
      <c r="A204" s="31"/>
      <c r="B204" s="175"/>
      <c r="C204" s="176"/>
      <c r="D204" s="199"/>
      <c r="E204" s="199"/>
      <c r="F204" s="199"/>
      <c r="G204" s="199"/>
      <c r="H204" s="224"/>
      <c r="I204" s="224"/>
      <c r="J204" s="224"/>
      <c r="K204" s="348"/>
      <c r="L204" s="342" t="str">
        <f>Products!B964</f>
        <v>циліндр несиметричний</v>
      </c>
      <c r="M204" s="349">
        <f>Products!E964</f>
        <v>380</v>
      </c>
    </row>
    <row r="205" spans="1:13">
      <c r="C205" s="34"/>
      <c r="D205" s="34"/>
      <c r="E205" s="34"/>
      <c r="F205" s="31"/>
      <c r="G205" s="31"/>
      <c r="J205" s="353"/>
      <c r="K205" s="348"/>
      <c r="L205" s="342" t="str">
        <f>Products!B965</f>
        <v>завіса Prestige (1 шт)</v>
      </c>
      <c r="M205" s="349">
        <f>Products!E965</f>
        <v>260</v>
      </c>
    </row>
    <row r="206" spans="1:13" ht="14.4" customHeight="1">
      <c r="C206" s="34"/>
      <c r="D206" s="34"/>
      <c r="E206" s="34"/>
      <c r="F206" s="31"/>
      <c r="G206" s="31"/>
      <c r="J206" s="353"/>
      <c r="K206" s="348"/>
      <c r="L206" s="342" t="str">
        <f>Products!B966</f>
        <v>накладка на завіси (1 к-т)</v>
      </c>
      <c r="M206" s="349">
        <f>Products!E966</f>
        <v>80</v>
      </c>
    </row>
    <row r="207" spans="1:13" ht="14.4" customHeight="1">
      <c r="C207" s="34"/>
      <c r="D207" s="34"/>
      <c r="E207" s="34"/>
      <c r="F207" s="31"/>
      <c r="G207" s="31"/>
      <c r="J207" s="353"/>
      <c r="K207" s="348"/>
      <c r="L207" s="342" t="str">
        <f>Products!B967</f>
        <v>дверна ручка</v>
      </c>
      <c r="M207" s="349" t="str">
        <f>Products!E967</f>
        <v>див. Таблицю Ручки</v>
      </c>
    </row>
    <row r="208" spans="1:13" s="31" customFormat="1" ht="12.75" customHeight="1">
      <c r="B208" s="540" t="str">
        <f>TITLE!$C$22</f>
        <v>Полотна збірні: ЛАДА-НОВА</v>
      </c>
      <c r="C208" s="541"/>
      <c r="D208" s="541"/>
      <c r="E208" s="541"/>
      <c r="F208" s="170"/>
      <c r="G208" s="170"/>
      <c r="H208" s="170"/>
      <c r="I208" s="170"/>
      <c r="J208" s="343"/>
      <c r="K208" s="343"/>
      <c r="L208" s="355"/>
      <c r="M208" s="356"/>
    </row>
    <row r="209" spans="1:13" ht="26.25" customHeight="1">
      <c r="A209" s="31"/>
      <c r="B209" s="537" t="str">
        <f>Products!B1020</f>
        <v>модель</v>
      </c>
      <c r="C209" s="156" t="str">
        <f>Products!C1020</f>
        <v>покриття:</v>
      </c>
      <c r="D209" s="129" t="str">
        <f>Products!D1020</f>
        <v>Verto-CELL</v>
      </c>
      <c r="E209" s="167" t="str">
        <f>Products!F1020</f>
        <v>UNI-MAT</v>
      </c>
      <c r="F209" s="130" t="str">
        <f>Products!H1020</f>
        <v>RESIST</v>
      </c>
      <c r="G209" s="130" t="str">
        <f>Products!J1020</f>
        <v>Verto LINE-3D</v>
      </c>
      <c r="H209" s="130" t="str">
        <f>Products!L1020</f>
        <v>ЕКО Шпон</v>
      </c>
      <c r="I209" s="216"/>
      <c r="J209" s="216"/>
      <c r="K209" s="357"/>
      <c r="L209" s="341" t="str">
        <f>Products!B1032</f>
        <v>полотно розміром 100</v>
      </c>
      <c r="M209" s="358">
        <f>Products!E1032</f>
        <v>720</v>
      </c>
    </row>
    <row r="210" spans="1:13" ht="24" customHeight="1">
      <c r="A210" s="31"/>
      <c r="B210" s="538"/>
      <c r="C210" s="157" t="str">
        <f>Products!C1021</f>
        <v>заповнення:</v>
      </c>
      <c r="D210" s="139" t="str">
        <f>Products!D1021</f>
        <v>клеєний сосновий брус</v>
      </c>
      <c r="E210" s="168" t="str">
        <f>Products!F1021</f>
        <v>клеєний сосновий брус</v>
      </c>
      <c r="F210" s="140" t="str">
        <f>Products!H1021</f>
        <v>клеєний сосновий брус</v>
      </c>
      <c r="G210" s="140" t="str">
        <f>Products!J1021</f>
        <v>клеєний сосновий брус</v>
      </c>
      <c r="H210" s="140" t="str">
        <f>Products!L1021</f>
        <v>клеєний сосновий брус</v>
      </c>
      <c r="I210" s="216"/>
      <c r="J210" s="216"/>
      <c r="K210" s="348"/>
      <c r="L210" s="342" t="str">
        <f>Products!B1033</f>
        <v>вентиляційні віддушини (1ряд)</v>
      </c>
      <c r="M210" s="349">
        <f>Products!E1033</f>
        <v>250</v>
      </c>
    </row>
    <row r="211" spans="1:13" ht="12.75" customHeight="1">
      <c r="A211" s="31"/>
      <c r="B211" s="539"/>
      <c r="C211" s="158" t="str">
        <f>Products!C1022</f>
        <v>скління:</v>
      </c>
      <c r="D211" s="137" t="str">
        <f>Products!D1022</f>
        <v>Сатин</v>
      </c>
      <c r="E211" s="161" t="str">
        <f>Products!F1022</f>
        <v>Сатин</v>
      </c>
      <c r="F211" s="126" t="str">
        <f>Products!H1022</f>
        <v>Сатин</v>
      </c>
      <c r="G211" s="126" t="str">
        <f>Products!J1022</f>
        <v>Сатин</v>
      </c>
      <c r="H211" s="126" t="str">
        <f>Products!L1022</f>
        <v>Сатин</v>
      </c>
      <c r="I211" s="216"/>
      <c r="J211" s="216"/>
      <c r="K211" s="348"/>
      <c r="L211" s="342" t="str">
        <f>Products!B1034</f>
        <v>вентиляційний підріз</v>
      </c>
      <c r="M211" s="349">
        <f>Products!E1034</f>
        <v>170.00000000000003</v>
      </c>
    </row>
    <row r="212" spans="1:13">
      <c r="A212" s="31"/>
      <c r="B212" s="13" t="str">
        <f>Products!B1023</f>
        <v>4.0 - 4.9</v>
      </c>
      <c r="C212" s="163"/>
      <c r="D212" s="191">
        <f>Products!E1023</f>
        <v>7490</v>
      </c>
      <c r="E212" s="183">
        <f>Products!G1023</f>
        <v>8320</v>
      </c>
      <c r="F212" s="183">
        <f>Products!I1023</f>
        <v>8650</v>
      </c>
      <c r="G212" s="183">
        <f>Products!K1023</f>
        <v>9430</v>
      </c>
      <c r="H212" s="183">
        <f>Products!M1023</f>
        <v>9900</v>
      </c>
      <c r="J212" s="353"/>
      <c r="K212" s="348"/>
      <c r="L212" s="342" t="str">
        <f>Products!B1035</f>
        <v>скло Графіт / Бронза</v>
      </c>
      <c r="M212" s="349">
        <f>Products!E1035</f>
        <v>550</v>
      </c>
    </row>
    <row r="213" spans="1:13">
      <c r="A213" s="31"/>
      <c r="B213" s="16" t="str">
        <f>Products!B1024</f>
        <v>6А.1</v>
      </c>
      <c r="C213" s="164"/>
      <c r="D213" s="192">
        <f>Products!E1024</f>
        <v>5730</v>
      </c>
      <c r="E213" s="185">
        <f>Products!G1024</f>
        <v>6360</v>
      </c>
      <c r="F213" s="185">
        <f>Products!I1024</f>
        <v>6720</v>
      </c>
      <c r="G213" s="185">
        <f>Products!K1024</f>
        <v>7210.0000000000009</v>
      </c>
      <c r="H213" s="185">
        <f>Products!M1024</f>
        <v>7540</v>
      </c>
      <c r="J213" s="353"/>
      <c r="K213" s="348"/>
      <c r="L213" s="342" t="str">
        <f>Products!B1036</f>
        <v>скло Lacobel чорне</v>
      </c>
      <c r="M213" s="349">
        <f>Products!E1036</f>
        <v>550</v>
      </c>
    </row>
    <row r="214" spans="1:13">
      <c r="A214" s="31"/>
      <c r="B214" s="16" t="str">
        <f>Products!B1025</f>
        <v>6А.5</v>
      </c>
      <c r="C214" s="164"/>
      <c r="D214" s="192">
        <f>Products!E1025</f>
        <v>6650</v>
      </c>
      <c r="E214" s="185">
        <f>Products!G1025</f>
        <v>7380</v>
      </c>
      <c r="F214" s="185">
        <f>Products!I1025</f>
        <v>7780</v>
      </c>
      <c r="G214" s="185">
        <f>Products!K1025</f>
        <v>8550</v>
      </c>
      <c r="H214" s="185">
        <f>Products!M1025</f>
        <v>8960</v>
      </c>
      <c r="J214" s="353"/>
      <c r="K214" s="348"/>
      <c r="L214" s="342" t="str">
        <f>Products!B1037</f>
        <v>замок Soft</v>
      </c>
      <c r="M214" s="349">
        <f>Products!E1037</f>
        <v>550</v>
      </c>
    </row>
    <row r="215" spans="1:13">
      <c r="A215" s="31"/>
      <c r="B215" s="16" t="str">
        <f>Products!B1026</f>
        <v>7.1.</v>
      </c>
      <c r="C215" s="164"/>
      <c r="D215" s="192">
        <f>Products!E1026</f>
        <v>7290</v>
      </c>
      <c r="E215" s="185">
        <f>Products!G1026</f>
        <v>8100</v>
      </c>
      <c r="F215" s="185">
        <f>Products!I1026</f>
        <v>8620</v>
      </c>
      <c r="G215" s="185">
        <f>Products!K1026</f>
        <v>9490</v>
      </c>
      <c r="H215" s="185">
        <f>Products!M1026</f>
        <v>10040.000000000002</v>
      </c>
      <c r="J215" s="353"/>
      <c r="K215" s="348"/>
      <c r="L215" s="342" t="str">
        <f>Products!B1038</f>
        <v>замок Soft чорн.</v>
      </c>
      <c r="M215" s="349">
        <f>Products!E1038</f>
        <v>680.00000000000011</v>
      </c>
    </row>
    <row r="216" spans="1:13">
      <c r="A216" s="31"/>
      <c r="B216" s="16" t="str">
        <f>Products!B1027</f>
        <v>7.2.</v>
      </c>
      <c r="C216" s="164"/>
      <c r="D216" s="192">
        <f>Products!E1027</f>
        <v>6650</v>
      </c>
      <c r="E216" s="185">
        <f>Products!G1027</f>
        <v>7380</v>
      </c>
      <c r="F216" s="185">
        <f>Products!I1027</f>
        <v>7800</v>
      </c>
      <c r="G216" s="185">
        <f>Products!K1027</f>
        <v>8550</v>
      </c>
      <c r="H216" s="185">
        <f>Products!M1027</f>
        <v>8960</v>
      </c>
      <c r="J216" s="353"/>
      <c r="K216" s="348"/>
      <c r="L216" s="342" t="str">
        <f>Products!B1039</f>
        <v>замок Magnet</v>
      </c>
      <c r="M216" s="349">
        <f>Products!E1039</f>
        <v>800.00000000000011</v>
      </c>
    </row>
    <row r="217" spans="1:13">
      <c r="A217" s="31"/>
      <c r="B217" s="23" t="str">
        <f>Products!B1028</f>
        <v>8.1.</v>
      </c>
      <c r="C217" s="165"/>
      <c r="D217" s="193">
        <f>Products!E1028</f>
        <v>6650</v>
      </c>
      <c r="E217" s="187">
        <f>Products!G1028</f>
        <v>7380</v>
      </c>
      <c r="F217" s="187">
        <f>Products!I1028</f>
        <v>7800</v>
      </c>
      <c r="G217" s="187">
        <f>Products!K1028</f>
        <v>8550</v>
      </c>
      <c r="H217" s="187">
        <f>Products!M1028</f>
        <v>8960</v>
      </c>
      <c r="J217" s="353"/>
      <c r="K217" s="348"/>
      <c r="L217" s="342" t="str">
        <f>Products!B1040</f>
        <v>замок Magnet чорн.</v>
      </c>
      <c r="M217" s="349">
        <f>Products!E1040</f>
        <v>1000</v>
      </c>
    </row>
    <row r="218" spans="1:13" ht="13.8">
      <c r="B218" s="225"/>
      <c r="C218" s="34"/>
      <c r="D218" s="34"/>
      <c r="E218" s="34"/>
      <c r="F218" s="31"/>
      <c r="J218" s="353"/>
      <c r="K218" s="348"/>
      <c r="L218" s="342" t="str">
        <f>Products!B1041</f>
        <v>ручка-замок (для дверей купе)</v>
      </c>
      <c r="M218" s="349">
        <f>Products!E1041</f>
        <v>560</v>
      </c>
    </row>
    <row r="219" spans="1:13" ht="13.8">
      <c r="B219" s="225"/>
      <c r="C219" s="34"/>
      <c r="D219" s="34"/>
      <c r="E219" s="34"/>
      <c r="F219" s="31"/>
      <c r="J219" s="353"/>
      <c r="K219" s="348"/>
      <c r="L219" s="342" t="str">
        <f>Products!B1042</f>
        <v>циліндр несиметричний</v>
      </c>
      <c r="M219" s="349">
        <f>Products!E1042</f>
        <v>380</v>
      </c>
    </row>
    <row r="220" spans="1:13" ht="13.8">
      <c r="B220" s="225"/>
      <c r="C220" s="34"/>
      <c r="D220" s="34"/>
      <c r="E220" s="34"/>
      <c r="F220" s="31"/>
      <c r="J220" s="353"/>
      <c r="K220" s="348"/>
      <c r="L220" s="342" t="str">
        <f>Products!B1043</f>
        <v>завіса Prestige (1 шт)</v>
      </c>
      <c r="M220" s="349">
        <f>Products!E1043</f>
        <v>260</v>
      </c>
    </row>
    <row r="221" spans="1:13" ht="13.8">
      <c r="B221" s="225"/>
      <c r="C221" s="34"/>
      <c r="D221" s="34"/>
      <c r="E221" s="34"/>
      <c r="F221" s="31"/>
      <c r="J221" s="353"/>
      <c r="K221" s="348"/>
      <c r="L221" s="342" t="str">
        <f>Products!B1044</f>
        <v>накладка на завіси (1 к-т)</v>
      </c>
      <c r="M221" s="349">
        <f>Products!E1044</f>
        <v>80</v>
      </c>
    </row>
    <row r="222" spans="1:13" ht="13.8">
      <c r="B222" s="225"/>
      <c r="C222" s="34"/>
      <c r="D222" s="34"/>
      <c r="E222" s="34"/>
      <c r="F222" s="31"/>
      <c r="J222" s="353"/>
      <c r="K222" s="348"/>
      <c r="L222" s="342" t="str">
        <f>Products!B1045</f>
        <v>дверна ручка</v>
      </c>
      <c r="M222" s="349" t="str">
        <f>Products!E1045</f>
        <v>див. Таблицю Ручки</v>
      </c>
    </row>
    <row r="223" spans="1:13">
      <c r="B223" s="540" t="str">
        <f>Products!B1096</f>
        <v>Полотна збірні: МІРА</v>
      </c>
      <c r="C223" s="541"/>
      <c r="D223" s="541"/>
      <c r="E223" s="541"/>
      <c r="F223" s="170"/>
      <c r="G223" s="170"/>
      <c r="H223" s="170"/>
      <c r="I223" s="170"/>
      <c r="J223" s="343"/>
      <c r="K223" s="343"/>
      <c r="L223" s="355"/>
      <c r="M223" s="356"/>
    </row>
    <row r="224" spans="1:13" ht="26.25" customHeight="1">
      <c r="B224" s="537" t="str">
        <f>Products!B1098</f>
        <v>модель</v>
      </c>
      <c r="C224" s="156" t="str">
        <f>Products!C1098</f>
        <v>покриття:</v>
      </c>
      <c r="D224" s="129" t="str">
        <f>Products!D1098</f>
        <v>Verto-CELL</v>
      </c>
      <c r="E224" s="167" t="str">
        <f>Products!F1098</f>
        <v>UNI-MAT</v>
      </c>
      <c r="F224" s="130" t="str">
        <f>Products!H1098</f>
        <v>RESIST</v>
      </c>
      <c r="G224" s="130" t="str">
        <f>Products!J1098</f>
        <v>Verto LINE-3D</v>
      </c>
      <c r="H224" s="130" t="str">
        <f>Products!L1098</f>
        <v>ЕКО Шпон</v>
      </c>
      <c r="I224" s="216"/>
      <c r="J224" s="216"/>
      <c r="K224" s="357"/>
      <c r="L224" s="341" t="str">
        <f>Products!B1106</f>
        <v>полотно розміром 100</v>
      </c>
      <c r="M224" s="358">
        <f>Products!E1106</f>
        <v>720</v>
      </c>
    </row>
    <row r="225" spans="2:13" ht="24.75" customHeight="1">
      <c r="B225" s="538"/>
      <c r="C225" s="157" t="str">
        <f>Products!C1099</f>
        <v>заповнення:</v>
      </c>
      <c r="D225" s="139" t="str">
        <f>Products!D1099</f>
        <v>клеєний сосновий брус</v>
      </c>
      <c r="E225" s="168" t="str">
        <f>Products!F1099</f>
        <v>клеєний сосновий брус</v>
      </c>
      <c r="F225" s="140" t="str">
        <f>Products!H1099</f>
        <v>клеєний сосновий брус</v>
      </c>
      <c r="G225" s="140" t="str">
        <f>Products!J1099</f>
        <v>клеєний сосновий брус</v>
      </c>
      <c r="H225" s="140" t="str">
        <f>Products!L1099</f>
        <v>клеєний сосновий брус</v>
      </c>
      <c r="I225" s="216"/>
      <c r="J225" s="216"/>
      <c r="K225" s="348"/>
      <c r="L225" s="342" t="str">
        <f>Products!B1107</f>
        <v>вентиляційний підріз</v>
      </c>
      <c r="M225" s="349">
        <f>Products!E1107</f>
        <v>170.00000000000003</v>
      </c>
    </row>
    <row r="226" spans="2:13">
      <c r="B226" s="539"/>
      <c r="C226" s="158" t="str">
        <f>Products!C1100</f>
        <v>скління:</v>
      </c>
      <c r="D226" s="137" t="str">
        <f>Products!D1100</f>
        <v>Сатин</v>
      </c>
      <c r="E226" s="161" t="str">
        <f>Products!F1100</f>
        <v>Сатин</v>
      </c>
      <c r="F226" s="126" t="str">
        <f>Products!H1100</f>
        <v>Сатин</v>
      </c>
      <c r="G226" s="126" t="str">
        <f>Products!J1100</f>
        <v>Сатин</v>
      </c>
      <c r="H226" s="126" t="str">
        <f>Products!L1100</f>
        <v>Сатин</v>
      </c>
      <c r="I226" s="216"/>
      <c r="J226" s="216"/>
      <c r="K226" s="348"/>
      <c r="L226" s="342" t="str">
        <f>Products!B1108</f>
        <v>скло Графіт / Бронза</v>
      </c>
      <c r="M226" s="349">
        <f>Products!E1108</f>
        <v>550</v>
      </c>
    </row>
    <row r="227" spans="2:13">
      <c r="B227" s="13" t="str">
        <f>Products!B1101</f>
        <v>1.0 - 1.6</v>
      </c>
      <c r="C227" s="163"/>
      <c r="D227" s="184">
        <f>Products!E1101</f>
        <v>6950</v>
      </c>
      <c r="E227" s="184">
        <f>Products!G1101</f>
        <v>7920</v>
      </c>
      <c r="F227" s="184">
        <f>Products!I1101</f>
        <v>8270</v>
      </c>
      <c r="G227" s="184">
        <f>Products!K1101</f>
        <v>8880</v>
      </c>
      <c r="H227" s="184">
        <f>Products!M1101</f>
        <v>9310</v>
      </c>
      <c r="I227" s="31"/>
      <c r="J227" s="362"/>
      <c r="K227" s="348"/>
      <c r="L227" s="342" t="str">
        <f>Products!B1109</f>
        <v>скло Lacobel чорне</v>
      </c>
      <c r="M227" s="349">
        <f>Products!E1109</f>
        <v>550</v>
      </c>
    </row>
    <row r="228" spans="2:13">
      <c r="B228" s="281" t="str">
        <f>Products!B1102</f>
        <v>2.1 - 2.3</v>
      </c>
      <c r="C228" s="282"/>
      <c r="D228" s="283">
        <f>Products!E1102</f>
        <v>6950</v>
      </c>
      <c r="E228" s="283">
        <f>Products!G1102</f>
        <v>7920</v>
      </c>
      <c r="F228" s="283">
        <f>Products!I1102</f>
        <v>8270</v>
      </c>
      <c r="G228" s="283">
        <f>Products!K1102</f>
        <v>8880</v>
      </c>
      <c r="H228" s="283">
        <f>Products!M1102</f>
        <v>9310</v>
      </c>
      <c r="I228" s="31"/>
      <c r="J228" s="362"/>
      <c r="K228" s="348"/>
      <c r="L228" s="342" t="str">
        <f>Products!B1110</f>
        <v>замок Soft</v>
      </c>
      <c r="M228" s="349">
        <f>Products!E1110</f>
        <v>550</v>
      </c>
    </row>
    <row r="229" spans="2:13">
      <c r="F229" s="97"/>
      <c r="G229" s="97"/>
      <c r="H229" s="31"/>
      <c r="I229" s="31"/>
      <c r="J229" s="362"/>
      <c r="K229" s="348"/>
      <c r="L229" s="342" t="str">
        <f>Products!B1111</f>
        <v>замок Soft чорн.</v>
      </c>
      <c r="M229" s="349">
        <f>Products!E1111</f>
        <v>680.00000000000011</v>
      </c>
    </row>
    <row r="230" spans="2:13">
      <c r="F230" s="97"/>
      <c r="G230" s="97"/>
      <c r="H230" s="31"/>
      <c r="I230" s="31"/>
      <c r="J230" s="362"/>
      <c r="K230" s="348"/>
      <c r="L230" s="342" t="str">
        <f>Products!B1112</f>
        <v>замок Magnet</v>
      </c>
      <c r="M230" s="349">
        <f>Products!E1112</f>
        <v>800.00000000000011</v>
      </c>
    </row>
    <row r="231" spans="2:13">
      <c r="C231" s="34"/>
      <c r="D231" s="34"/>
      <c r="E231" s="34"/>
      <c r="H231" s="31"/>
      <c r="I231" s="31"/>
      <c r="J231" s="362"/>
      <c r="K231" s="348"/>
      <c r="L231" s="342" t="str">
        <f>Products!B1113</f>
        <v>замок Magnet чорн.</v>
      </c>
      <c r="M231" s="349">
        <f>Products!E1113</f>
        <v>1000</v>
      </c>
    </row>
    <row r="232" spans="2:13">
      <c r="C232" s="34"/>
      <c r="D232" s="34"/>
      <c r="E232" s="34"/>
      <c r="H232" s="31"/>
      <c r="I232" s="31"/>
      <c r="J232" s="362"/>
      <c r="K232" s="348"/>
      <c r="L232" s="342" t="str">
        <f>Products!B1114</f>
        <v>ручка-замок (для дверей купе)</v>
      </c>
      <c r="M232" s="349">
        <f>Products!E1114</f>
        <v>560</v>
      </c>
    </row>
    <row r="233" spans="2:13">
      <c r="F233" s="97"/>
      <c r="G233" s="97"/>
      <c r="H233" s="31"/>
      <c r="I233" s="31"/>
      <c r="J233" s="362"/>
      <c r="K233" s="348"/>
      <c r="L233" s="342" t="str">
        <f>Products!B1115</f>
        <v>циліндр несиметричний</v>
      </c>
      <c r="M233" s="349">
        <f>Products!E1115</f>
        <v>380</v>
      </c>
    </row>
    <row r="234" spans="2:13">
      <c r="F234" s="97"/>
      <c r="G234" s="97"/>
      <c r="H234" s="31"/>
      <c r="I234" s="31"/>
      <c r="J234" s="362"/>
      <c r="K234" s="348"/>
      <c r="L234" s="342" t="str">
        <f>Products!B1116</f>
        <v>завіса Prestige (1 шт)</v>
      </c>
      <c r="M234" s="349">
        <f>Products!E1116</f>
        <v>260</v>
      </c>
    </row>
    <row r="235" spans="2:13" ht="13.8">
      <c r="B235" s="225"/>
      <c r="C235" s="34"/>
      <c r="D235" s="34"/>
      <c r="E235" s="34"/>
      <c r="F235" s="31"/>
      <c r="J235" s="353"/>
      <c r="K235" s="348"/>
      <c r="L235" s="342" t="str">
        <f>Products!B1117</f>
        <v>накладка на завіси (1 к-т)</v>
      </c>
      <c r="M235" s="349">
        <f>Products!E1117</f>
        <v>80</v>
      </c>
    </row>
    <row r="236" spans="2:13" ht="13.8">
      <c r="B236" s="225"/>
      <c r="C236" s="34"/>
      <c r="D236" s="34"/>
      <c r="E236" s="34"/>
      <c r="F236" s="31"/>
      <c r="J236" s="353"/>
      <c r="K236" s="348"/>
      <c r="L236" s="342" t="str">
        <f>Products!B1118</f>
        <v>дверна ручка</v>
      </c>
      <c r="M236" s="349" t="str">
        <f>Products!E1118</f>
        <v>див. Таблицю Ручки</v>
      </c>
    </row>
    <row r="237" spans="2:13">
      <c r="B237" s="540" t="str">
        <f>TITLE!$C$24</f>
        <v>Полотна збірні: ЛАДА-ЛОФТ</v>
      </c>
      <c r="C237" s="541"/>
      <c r="D237" s="541"/>
      <c r="E237" s="541"/>
      <c r="F237" s="170"/>
      <c r="G237" s="170"/>
      <c r="H237" s="170"/>
      <c r="I237" s="170"/>
      <c r="J237" s="343"/>
      <c r="K237" s="343"/>
      <c r="L237" s="355"/>
      <c r="M237" s="356"/>
    </row>
    <row r="238" spans="2:13" ht="25.5" customHeight="1">
      <c r="B238" s="537" t="str">
        <f>Products!B1171</f>
        <v>модель</v>
      </c>
      <c r="C238" s="156" t="str">
        <f>Products!C1171</f>
        <v>покриття:</v>
      </c>
      <c r="D238" s="129" t="str">
        <f>Products!D1171</f>
        <v>Verto-CELL</v>
      </c>
      <c r="E238" s="167" t="str">
        <f>Products!F1171</f>
        <v>UNI-MAT</v>
      </c>
      <c r="F238" s="130" t="str">
        <f>Products!H1171</f>
        <v>RESIST</v>
      </c>
      <c r="G238" s="130" t="str">
        <f>Products!J1171</f>
        <v>Verto LINE-3D</v>
      </c>
      <c r="H238" s="130" t="str">
        <f>Products!L1171</f>
        <v>ЕКО Шпон</v>
      </c>
      <c r="I238" s="216"/>
      <c r="J238" s="216"/>
      <c r="K238" s="357"/>
      <c r="L238" s="341" t="str">
        <f>Products!B1182</f>
        <v>полотно розміром 100</v>
      </c>
      <c r="M238" s="358">
        <f>Products!E1182</f>
        <v>720</v>
      </c>
    </row>
    <row r="239" spans="2:13" ht="24.75" customHeight="1">
      <c r="B239" s="538"/>
      <c r="C239" s="157" t="str">
        <f>Products!C1172</f>
        <v>заповнення:</v>
      </c>
      <c r="D239" s="139" t="str">
        <f>Products!D1172</f>
        <v>клеєний сосновий брус</v>
      </c>
      <c r="E239" s="168" t="str">
        <f>Products!F1172</f>
        <v>клеєний сосновий брус</v>
      </c>
      <c r="F239" s="140" t="str">
        <f>Products!H1172</f>
        <v>клеєний сосновий брус</v>
      </c>
      <c r="G239" s="140" t="str">
        <f>Products!J1172</f>
        <v>клеєний сосновий брус</v>
      </c>
      <c r="H239" s="140" t="str">
        <f>Products!L1172</f>
        <v>клеєний сосновий брус</v>
      </c>
      <c r="I239" s="216"/>
      <c r="J239" s="216"/>
      <c r="K239" s="348"/>
      <c r="L239" s="342" t="str">
        <f>Products!B1183</f>
        <v>вентиляційні віддушини (1ряд)</v>
      </c>
      <c r="M239" s="349">
        <f>Products!E1183</f>
        <v>250</v>
      </c>
    </row>
    <row r="240" spans="2:13">
      <c r="B240" s="539"/>
      <c r="C240" s="158" t="str">
        <f>Products!C1173</f>
        <v>скління:</v>
      </c>
      <c r="D240" s="137" t="str">
        <f>Products!D1173</f>
        <v>Сатин</v>
      </c>
      <c r="E240" s="161" t="str">
        <f>Products!F1173</f>
        <v>Сатин</v>
      </c>
      <c r="F240" s="126" t="str">
        <f>Products!H1173</f>
        <v>Сатин</v>
      </c>
      <c r="G240" s="126" t="str">
        <f>Products!J1173</f>
        <v>Сатин</v>
      </c>
      <c r="H240" s="126" t="str">
        <f>Products!L1173</f>
        <v>Сатин</v>
      </c>
      <c r="I240" s="216"/>
      <c r="J240" s="216"/>
      <c r="K240" s="348"/>
      <c r="L240" s="342" t="str">
        <f>Products!B1184</f>
        <v>вентиляційний підріз</v>
      </c>
      <c r="M240" s="349">
        <f>Products!E1184</f>
        <v>170.00000000000003</v>
      </c>
    </row>
    <row r="241" spans="2:13">
      <c r="B241" s="13" t="str">
        <f>Products!B1174</f>
        <v>1.0 - 1.1</v>
      </c>
      <c r="C241" s="163"/>
      <c r="D241" s="191">
        <f>Products!E1174</f>
        <v>6640.0000000000009</v>
      </c>
      <c r="E241" s="183">
        <f>Products!G1174</f>
        <v>7570</v>
      </c>
      <c r="F241" s="183">
        <f>Products!I1174</f>
        <v>7790</v>
      </c>
      <c r="G241" s="183">
        <f>Products!K1174</f>
        <v>8390</v>
      </c>
      <c r="H241" s="183">
        <f>Products!M1174</f>
        <v>8780</v>
      </c>
      <c r="J241" s="353"/>
      <c r="K241" s="348"/>
      <c r="L241" s="342" t="str">
        <f>Products!B1185</f>
        <v>скло Графіт / Бронза</v>
      </c>
      <c r="M241" s="349">
        <f>Products!E1185</f>
        <v>550</v>
      </c>
    </row>
    <row r="242" spans="2:13">
      <c r="B242" s="114" t="str">
        <f>Products!B1175</f>
        <v>3.0 - 3.1</v>
      </c>
      <c r="C242" s="173"/>
      <c r="D242" s="291">
        <f>Products!E1175</f>
        <v>6950</v>
      </c>
      <c r="E242" s="292">
        <f>Products!G1175</f>
        <v>7930</v>
      </c>
      <c r="F242" s="292">
        <f>Products!I1175</f>
        <v>8150</v>
      </c>
      <c r="G242" s="292">
        <f>Products!K1175</f>
        <v>8750</v>
      </c>
      <c r="H242" s="292">
        <f>Products!M1175</f>
        <v>9130</v>
      </c>
      <c r="J242" s="353"/>
      <c r="K242" s="348"/>
      <c r="L242" s="342" t="str">
        <f>Products!B1186</f>
        <v>скло Lacobel чорне</v>
      </c>
      <c r="M242" s="349">
        <f>Products!E1186</f>
        <v>550</v>
      </c>
    </row>
    <row r="243" spans="2:13">
      <c r="B243" s="114" t="str">
        <f>Products!B1176</f>
        <v>4.0 - 4.1</v>
      </c>
      <c r="C243" s="173"/>
      <c r="D243" s="291">
        <f>Products!E1176</f>
        <v>6640.0000000000009</v>
      </c>
      <c r="E243" s="292">
        <f>Products!G1176</f>
        <v>7570</v>
      </c>
      <c r="F243" s="292">
        <f>Products!I1176</f>
        <v>7790</v>
      </c>
      <c r="G243" s="292">
        <f>Products!K1176</f>
        <v>8390</v>
      </c>
      <c r="H243" s="292">
        <f>Products!M1176</f>
        <v>8780</v>
      </c>
      <c r="J243" s="353"/>
      <c r="K243" s="348"/>
      <c r="L243" s="342" t="str">
        <f>Products!B1187</f>
        <v>замок Soft</v>
      </c>
      <c r="M243" s="349">
        <f>Products!E1187</f>
        <v>550</v>
      </c>
    </row>
    <row r="244" spans="2:13">
      <c r="B244" s="114" t="str">
        <f>Products!B1177</f>
        <v>5.0 - 5.1</v>
      </c>
      <c r="C244" s="173"/>
      <c r="D244" s="291">
        <f>Products!E1177</f>
        <v>6660</v>
      </c>
      <c r="E244" s="292">
        <f>Products!G1177</f>
        <v>7590</v>
      </c>
      <c r="F244" s="292">
        <f>Products!I1177</f>
        <v>7890</v>
      </c>
      <c r="G244" s="292">
        <f>Products!K1177</f>
        <v>8460</v>
      </c>
      <c r="H244" s="292">
        <f>Products!M1177</f>
        <v>8850</v>
      </c>
      <c r="J244" s="353"/>
      <c r="K244" s="348"/>
      <c r="L244" s="342" t="str">
        <f>Products!B1188</f>
        <v>замок Soft чорн.</v>
      </c>
      <c r="M244" s="349">
        <f>Products!E1188</f>
        <v>680.00000000000011</v>
      </c>
    </row>
    <row r="245" spans="2:13">
      <c r="B245" s="23" t="str">
        <f>Products!B1178</f>
        <v>6.0 - 6.1</v>
      </c>
      <c r="C245" s="165"/>
      <c r="D245" s="193">
        <f>Products!E1178</f>
        <v>6780</v>
      </c>
      <c r="E245" s="187">
        <f>Products!G1178</f>
        <v>7720</v>
      </c>
      <c r="F245" s="187">
        <f>Products!I1178</f>
        <v>7920</v>
      </c>
      <c r="G245" s="187">
        <f>Products!K1178</f>
        <v>8540</v>
      </c>
      <c r="H245" s="187">
        <f>Products!M1178</f>
        <v>8930</v>
      </c>
      <c r="J245" s="353"/>
      <c r="K245" s="348"/>
      <c r="L245" s="342" t="str">
        <f>Products!B1189</f>
        <v>замок Magnet</v>
      </c>
      <c r="M245" s="349">
        <f>Products!E1189</f>
        <v>800.00000000000011</v>
      </c>
    </row>
    <row r="246" spans="2:13">
      <c r="C246" s="34"/>
      <c r="D246" s="34"/>
      <c r="E246" s="34"/>
      <c r="F246" s="31"/>
      <c r="G246" s="31"/>
      <c r="J246" s="353"/>
      <c r="K246" s="348"/>
      <c r="L246" s="342" t="str">
        <f>Products!B1190</f>
        <v>замок Magnet чорн.</v>
      </c>
      <c r="M246" s="349">
        <f>Products!E1190</f>
        <v>1000</v>
      </c>
    </row>
    <row r="247" spans="2:13">
      <c r="C247" s="34"/>
      <c r="D247" s="34"/>
      <c r="E247" s="34"/>
      <c r="F247" s="31"/>
      <c r="G247" s="31"/>
      <c r="J247" s="353"/>
      <c r="K247" s="348"/>
      <c r="L247" s="342" t="str">
        <f>Products!B1191</f>
        <v>ручка-замок (для дверей купе)</v>
      </c>
      <c r="M247" s="349">
        <f>Products!E1191</f>
        <v>560</v>
      </c>
    </row>
    <row r="248" spans="2:13" ht="13.8">
      <c r="B248" s="225"/>
      <c r="C248" s="34"/>
      <c r="D248" s="34"/>
      <c r="E248" s="34"/>
      <c r="F248" s="31"/>
      <c r="J248" s="353"/>
      <c r="K248" s="348"/>
      <c r="L248" s="342" t="str">
        <f>Products!B1192</f>
        <v>циліндр несиметричний</v>
      </c>
      <c r="M248" s="349">
        <f>Products!E1192</f>
        <v>380</v>
      </c>
    </row>
    <row r="249" spans="2:13" ht="13.8">
      <c r="B249" s="225"/>
      <c r="C249" s="34"/>
      <c r="D249" s="34"/>
      <c r="E249" s="34"/>
      <c r="F249" s="31"/>
      <c r="J249" s="353"/>
      <c r="K249" s="348"/>
      <c r="L249" s="342" t="str">
        <f>Products!B1193</f>
        <v>завіса Prestige (1 шт)</v>
      </c>
      <c r="M249" s="349">
        <f>Products!E1193</f>
        <v>260</v>
      </c>
    </row>
    <row r="250" spans="2:13" ht="13.8">
      <c r="B250" s="225"/>
      <c r="C250" s="34"/>
      <c r="D250" s="34"/>
      <c r="E250" s="34"/>
      <c r="F250" s="31"/>
      <c r="J250" s="353"/>
      <c r="K250" s="348"/>
      <c r="L250" s="342" t="str">
        <f>Products!B1194</f>
        <v>накладка на завіси (1 к-т)</v>
      </c>
      <c r="M250" s="349">
        <f>Products!E1194</f>
        <v>80</v>
      </c>
    </row>
    <row r="251" spans="2:13" ht="13.8">
      <c r="B251" s="225"/>
      <c r="C251" s="34"/>
      <c r="D251" s="34"/>
      <c r="E251" s="34"/>
      <c r="F251" s="31"/>
      <c r="J251" s="353"/>
      <c r="K251" s="348"/>
      <c r="L251" s="342" t="str">
        <f>Products!B1195</f>
        <v>дверна ручка</v>
      </c>
      <c r="M251" s="349" t="str">
        <f>Products!E1195</f>
        <v>див. Таблицю Ручки</v>
      </c>
    </row>
    <row r="252" spans="2:13">
      <c r="B252" s="540" t="str">
        <f>Products!B1246</f>
        <v>Полотна збірні: ЛІНДА</v>
      </c>
      <c r="C252" s="541"/>
      <c r="D252" s="541"/>
      <c r="E252" s="541"/>
      <c r="F252" s="170"/>
      <c r="G252" s="170"/>
      <c r="H252" s="170"/>
      <c r="I252" s="170"/>
      <c r="J252" s="343"/>
      <c r="K252" s="343"/>
      <c r="L252" s="355"/>
      <c r="M252" s="356"/>
    </row>
    <row r="253" spans="2:13" ht="26.25" customHeight="1">
      <c r="B253" s="537" t="str">
        <f>Products!B1248</f>
        <v>модель</v>
      </c>
      <c r="C253" s="156" t="str">
        <f>Products!C1248</f>
        <v>покриття:</v>
      </c>
      <c r="D253" s="129" t="str">
        <f>Products!D1248</f>
        <v>Verto-CELL</v>
      </c>
      <c r="E253" s="167" t="str">
        <f>Products!F1248</f>
        <v>UNI-MAT</v>
      </c>
      <c r="F253" s="130" t="str">
        <f>Products!H1248</f>
        <v>RESIST</v>
      </c>
      <c r="G253" s="130" t="str">
        <f>Products!J1248</f>
        <v>Verto LINE-3D</v>
      </c>
      <c r="H253" s="130" t="str">
        <f>Products!L1248</f>
        <v>ЕКО Шпон</v>
      </c>
      <c r="I253" s="216"/>
      <c r="J253" s="216"/>
      <c r="K253" s="357"/>
      <c r="L253" s="341" t="str">
        <f>Products!B1256</f>
        <v>полотно розміром 100</v>
      </c>
      <c r="M253" s="358">
        <f>Products!E1256</f>
        <v>720</v>
      </c>
    </row>
    <row r="254" spans="2:13" ht="24.75" customHeight="1">
      <c r="B254" s="538"/>
      <c r="C254" s="157" t="str">
        <f>Products!C1249</f>
        <v>заповнення:</v>
      </c>
      <c r="D254" s="139" t="str">
        <f>Products!D1249</f>
        <v>клеєний сосновий брус</v>
      </c>
      <c r="E254" s="168" t="str">
        <f>Products!F1249</f>
        <v>клеєний сосновий брус</v>
      </c>
      <c r="F254" s="140" t="str">
        <f>Products!H1249</f>
        <v>клеєний сосновий брус</v>
      </c>
      <c r="G254" s="140" t="str">
        <f>Products!J1249</f>
        <v>клеєний сосновий брус</v>
      </c>
      <c r="H254" s="140" t="str">
        <f>Products!L1249</f>
        <v>клеєний сосновий брус</v>
      </c>
      <c r="I254" s="216"/>
      <c r="J254" s="216"/>
      <c r="K254" s="348"/>
      <c r="L254" s="342" t="str">
        <f>Products!B1257</f>
        <v>вентиляційний підріз</v>
      </c>
      <c r="M254" s="349">
        <f>Products!E1257</f>
        <v>170.00000000000003</v>
      </c>
    </row>
    <row r="255" spans="2:13">
      <c r="B255" s="539"/>
      <c r="C255" s="158" t="str">
        <f>Products!C1250</f>
        <v>скління:</v>
      </c>
      <c r="D255" s="137" t="str">
        <f>Products!D1250</f>
        <v>Сатин</v>
      </c>
      <c r="E255" s="161" t="str">
        <f>Products!F1250</f>
        <v>Сатин</v>
      </c>
      <c r="F255" s="126" t="str">
        <f>Products!H1250</f>
        <v>Сатин</v>
      </c>
      <c r="G255" s="126" t="str">
        <f>Products!J1250</f>
        <v>Сатин</v>
      </c>
      <c r="H255" s="126" t="str">
        <f>Products!L1250</f>
        <v>Сатин</v>
      </c>
      <c r="I255" s="216"/>
      <c r="J255" s="216"/>
      <c r="K255" s="348"/>
      <c r="L255" s="342" t="str">
        <f>Products!B1258</f>
        <v>скло Графіт / Бронза</v>
      </c>
      <c r="M255" s="349">
        <f>Products!E1258</f>
        <v>550</v>
      </c>
    </row>
    <row r="256" spans="2:13">
      <c r="B256" s="13" t="str">
        <f>Products!B1251</f>
        <v>1.0 - 1.5</v>
      </c>
      <c r="C256" s="163"/>
      <c r="D256" s="184">
        <f>Products!E1251</f>
        <v>6160.0000000000009</v>
      </c>
      <c r="E256" s="184">
        <f>Products!G1251</f>
        <v>7020</v>
      </c>
      <c r="F256" s="184">
        <f>Products!I1251</f>
        <v>7320</v>
      </c>
      <c r="G256" s="184">
        <f>Products!K1251</f>
        <v>7870</v>
      </c>
      <c r="H256" s="184">
        <f>Products!M1251</f>
        <v>8280</v>
      </c>
      <c r="I256" s="31"/>
      <c r="J256" s="362"/>
      <c r="K256" s="348"/>
      <c r="L256" s="342" t="str">
        <f>Products!B1259</f>
        <v>замок Soft</v>
      </c>
      <c r="M256" s="349">
        <f>Products!E1259</f>
        <v>550</v>
      </c>
    </row>
    <row r="257" spans="2:13">
      <c r="B257" s="281" t="str">
        <f>Products!B1252</f>
        <v>1.6 - 1.8</v>
      </c>
      <c r="C257" s="282"/>
      <c r="D257" s="283">
        <f>Products!E1252</f>
        <v>6160.0000000000009</v>
      </c>
      <c r="E257" s="283">
        <f>Products!G1252</f>
        <v>7020</v>
      </c>
      <c r="F257" s="283">
        <f>Products!I1252</f>
        <v>7320</v>
      </c>
      <c r="G257" s="283">
        <f>Products!K1252</f>
        <v>7870</v>
      </c>
      <c r="H257" s="283">
        <f>Products!M1252</f>
        <v>8280</v>
      </c>
      <c r="I257" s="31"/>
      <c r="J257" s="362"/>
      <c r="K257" s="348"/>
      <c r="L257" s="342" t="str">
        <f>Products!B1260</f>
        <v>замок Soft чорн.</v>
      </c>
      <c r="M257" s="349">
        <f>Products!E1260</f>
        <v>680.00000000000011</v>
      </c>
    </row>
    <row r="258" spans="2:13">
      <c r="F258" s="97"/>
      <c r="G258" s="97"/>
      <c r="H258" s="31"/>
      <c r="I258" s="31"/>
      <c r="J258" s="362"/>
      <c r="K258" s="348"/>
      <c r="L258" s="342" t="str">
        <f>Products!B1261</f>
        <v>замок Magnet</v>
      </c>
      <c r="M258" s="349">
        <f>Products!E1261</f>
        <v>800.00000000000011</v>
      </c>
    </row>
    <row r="259" spans="2:13">
      <c r="F259" s="97"/>
      <c r="G259" s="97"/>
      <c r="H259" s="31"/>
      <c r="I259" s="31"/>
      <c r="J259" s="362"/>
      <c r="K259" s="348"/>
      <c r="L259" s="342" t="str">
        <f>Products!B1262</f>
        <v>замок Magnet чорн.</v>
      </c>
      <c r="M259" s="349">
        <f>Products!E1262</f>
        <v>1000</v>
      </c>
    </row>
    <row r="260" spans="2:13">
      <c r="C260" s="34"/>
      <c r="D260" s="34"/>
      <c r="E260" s="34"/>
      <c r="H260" s="31"/>
      <c r="I260" s="31"/>
      <c r="J260" s="362"/>
      <c r="K260" s="348"/>
      <c r="L260" s="342" t="str">
        <f>Products!B1263</f>
        <v>ручка-замок (для дверей купе)</v>
      </c>
      <c r="M260" s="349">
        <f>Products!E1263</f>
        <v>560</v>
      </c>
    </row>
    <row r="261" spans="2:13">
      <c r="C261" s="34"/>
      <c r="D261" s="34"/>
      <c r="E261" s="34"/>
      <c r="H261" s="31"/>
      <c r="I261" s="31"/>
      <c r="J261" s="362"/>
      <c r="K261" s="348"/>
      <c r="L261" s="342" t="str">
        <f>Products!B1264</f>
        <v>циліндр несиметричний</v>
      </c>
      <c r="M261" s="349">
        <f>Products!E1264</f>
        <v>380</v>
      </c>
    </row>
    <row r="262" spans="2:13">
      <c r="F262" s="97"/>
      <c r="G262" s="97"/>
      <c r="H262" s="31"/>
      <c r="I262" s="31"/>
      <c r="J262" s="362"/>
      <c r="K262" s="348"/>
      <c r="L262" s="342" t="str">
        <f>Products!B1265</f>
        <v>завіса Prestige (1 шт)</v>
      </c>
      <c r="M262" s="349">
        <f>Products!E1265</f>
        <v>260</v>
      </c>
    </row>
    <row r="263" spans="2:13" ht="13.8">
      <c r="B263" s="225"/>
      <c r="C263" s="34"/>
      <c r="D263" s="34"/>
      <c r="E263" s="34"/>
      <c r="F263" s="31"/>
      <c r="J263" s="353"/>
      <c r="K263" s="348"/>
      <c r="L263" s="342" t="str">
        <f>Products!B1266</f>
        <v>накладка на завіси (1 к-т)</v>
      </c>
      <c r="M263" s="349">
        <f>Products!E1266</f>
        <v>80</v>
      </c>
    </row>
    <row r="264" spans="2:13" ht="13.8">
      <c r="B264" s="225"/>
      <c r="C264" s="34"/>
      <c r="D264" s="34"/>
      <c r="E264" s="34"/>
      <c r="F264" s="31"/>
      <c r="J264" s="353"/>
      <c r="K264" s="348"/>
      <c r="L264" s="342" t="str">
        <f>Products!B1267</f>
        <v>дверна ручка</v>
      </c>
      <c r="M264" s="349" t="str">
        <f>Products!E1267</f>
        <v>див. Таблицю Ручки</v>
      </c>
    </row>
    <row r="265" spans="2:13">
      <c r="B265" s="540" t="str">
        <f>Products!B1318</f>
        <v>Полотна збірні: ТІАНА</v>
      </c>
      <c r="C265" s="541"/>
      <c r="D265" s="541"/>
      <c r="E265" s="541"/>
      <c r="F265" s="170"/>
      <c r="G265" s="170"/>
      <c r="H265" s="170"/>
      <c r="I265" s="170"/>
      <c r="J265" s="343"/>
      <c r="K265" s="343"/>
      <c r="L265" s="355"/>
      <c r="M265" s="356"/>
    </row>
    <row r="266" spans="2:13" ht="27" customHeight="1">
      <c r="B266" s="537" t="str">
        <f>Products!B1320</f>
        <v>модель</v>
      </c>
      <c r="C266" s="156" t="str">
        <f>Products!C1320</f>
        <v>покриття:</v>
      </c>
      <c r="D266" s="129" t="str">
        <f>Products!D1320</f>
        <v>Verto-CELL</v>
      </c>
      <c r="E266" s="167" t="str">
        <f>Products!F1320</f>
        <v>UNI-MAT</v>
      </c>
      <c r="F266" s="130" t="str">
        <f>Products!H1320</f>
        <v>RESIST</v>
      </c>
      <c r="G266" s="130" t="str">
        <f>Products!J1320</f>
        <v>Verto LINE-3D</v>
      </c>
      <c r="H266" s="130" t="str">
        <f>Products!L1320</f>
        <v>ЕКО Шпон</v>
      </c>
      <c r="I266" s="216"/>
      <c r="J266" s="216"/>
      <c r="K266" s="357"/>
      <c r="L266" s="341" t="str">
        <f>Products!B1328</f>
        <v>полотно розміром 100</v>
      </c>
      <c r="M266" s="358">
        <f>Products!E1328</f>
        <v>720</v>
      </c>
    </row>
    <row r="267" spans="2:13" ht="26.25" customHeight="1">
      <c r="B267" s="538"/>
      <c r="C267" s="157" t="str">
        <f>Products!C1321</f>
        <v>заповнення:</v>
      </c>
      <c r="D267" s="139" t="str">
        <f>Products!D1321</f>
        <v>клеєний сосновий брус</v>
      </c>
      <c r="E267" s="168" t="str">
        <f>Products!F1321</f>
        <v>клеєний сосновий брус</v>
      </c>
      <c r="F267" s="140" t="str">
        <f>Products!H1321</f>
        <v>клеєний сосновий брус</v>
      </c>
      <c r="G267" s="140" t="str">
        <f>Products!J1321</f>
        <v>клеєний сосновий брус</v>
      </c>
      <c r="H267" s="140" t="str">
        <f>Products!L1321</f>
        <v>клеєний сосновий брус</v>
      </c>
      <c r="I267" s="216"/>
      <c r="J267" s="216"/>
      <c r="K267" s="348"/>
      <c r="L267" s="342" t="str">
        <f>Products!B1329</f>
        <v>вентиляційний підріз</v>
      </c>
      <c r="M267" s="349">
        <f>Products!E1329</f>
        <v>170.00000000000003</v>
      </c>
    </row>
    <row r="268" spans="2:13">
      <c r="B268" s="539"/>
      <c r="C268" s="158" t="str">
        <f>Products!C1322</f>
        <v>скління:</v>
      </c>
      <c r="D268" s="137" t="str">
        <f>Products!D1322</f>
        <v>Сатин</v>
      </c>
      <c r="E268" s="161" t="str">
        <f>Products!F1322</f>
        <v>Сатин</v>
      </c>
      <c r="F268" s="126" t="str">
        <f>Products!H1322</f>
        <v>Сатин</v>
      </c>
      <c r="G268" s="126" t="str">
        <f>Products!J1322</f>
        <v>Сатин</v>
      </c>
      <c r="H268" s="126" t="str">
        <f>Products!L1322</f>
        <v>Сатин</v>
      </c>
      <c r="I268" s="216"/>
      <c r="J268" s="216"/>
      <c r="K268" s="348"/>
      <c r="L268" s="342" t="str">
        <f>Products!B1330</f>
        <v>скло Графіт / Бронза</v>
      </c>
      <c r="M268" s="349">
        <f>Products!E1330</f>
        <v>550</v>
      </c>
    </row>
    <row r="269" spans="2:13">
      <c r="B269" s="13" t="str">
        <f>Products!B1323</f>
        <v>1.0 - 1.5</v>
      </c>
      <c r="C269" s="163"/>
      <c r="D269" s="184">
        <f>Products!E1323</f>
        <v>6790.0000000000009</v>
      </c>
      <c r="E269" s="184">
        <f>Products!G1323</f>
        <v>7660</v>
      </c>
      <c r="F269" s="184">
        <f>Products!I1323</f>
        <v>7890</v>
      </c>
      <c r="G269" s="184">
        <f>Products!K1323</f>
        <v>8470</v>
      </c>
      <c r="H269" s="184">
        <f>Products!M1323</f>
        <v>8870</v>
      </c>
      <c r="I269" s="31"/>
      <c r="J269" s="362"/>
      <c r="K269" s="348"/>
      <c r="L269" s="342" t="str">
        <f>Products!B1331</f>
        <v>скло Lacobel чорне</v>
      </c>
      <c r="M269" s="349">
        <f>Products!E1331</f>
        <v>550</v>
      </c>
    </row>
    <row r="270" spans="2:13">
      <c r="B270" s="281" t="str">
        <f>Products!B1324</f>
        <v>1.6 - 1.8</v>
      </c>
      <c r="C270" s="282"/>
      <c r="D270" s="283">
        <f>Products!E1324</f>
        <v>6790.0000000000009</v>
      </c>
      <c r="E270" s="283">
        <f>Products!G1324</f>
        <v>7660</v>
      </c>
      <c r="F270" s="283">
        <f>Products!I1324</f>
        <v>7890</v>
      </c>
      <c r="G270" s="283">
        <f>Products!K1324</f>
        <v>8470</v>
      </c>
      <c r="H270" s="283">
        <f>Products!M1324</f>
        <v>8870</v>
      </c>
      <c r="I270" s="31"/>
      <c r="J270" s="362"/>
      <c r="K270" s="348"/>
      <c r="L270" s="342" t="str">
        <f>Products!B1332</f>
        <v>замок Soft</v>
      </c>
      <c r="M270" s="349">
        <f>Products!E1332</f>
        <v>550</v>
      </c>
    </row>
    <row r="271" spans="2:13">
      <c r="F271" s="97"/>
      <c r="G271" s="97"/>
      <c r="H271" s="31"/>
      <c r="I271" s="31"/>
      <c r="J271" s="362"/>
      <c r="K271" s="348"/>
      <c r="L271" s="342" t="str">
        <f>Products!B1333</f>
        <v>замок Soft чорн.</v>
      </c>
      <c r="M271" s="349">
        <f>Products!E1333</f>
        <v>680.00000000000011</v>
      </c>
    </row>
    <row r="272" spans="2:13">
      <c r="F272" s="97"/>
      <c r="G272" s="97"/>
      <c r="H272" s="31"/>
      <c r="I272" s="31"/>
      <c r="J272" s="362"/>
      <c r="K272" s="348"/>
      <c r="L272" s="342" t="str">
        <f>Products!B1334</f>
        <v>замок Magnet</v>
      </c>
      <c r="M272" s="349">
        <f>Products!E1334</f>
        <v>800.00000000000011</v>
      </c>
    </row>
    <row r="273" spans="2:13">
      <c r="C273" s="34"/>
      <c r="D273" s="34"/>
      <c r="E273" s="34"/>
      <c r="H273" s="31"/>
      <c r="I273" s="31"/>
      <c r="J273" s="362"/>
      <c r="K273" s="348"/>
      <c r="L273" s="342" t="str">
        <f>Products!B1335</f>
        <v>замок Magnet чорн.</v>
      </c>
      <c r="M273" s="349">
        <f>Products!E1335</f>
        <v>1000</v>
      </c>
    </row>
    <row r="274" spans="2:13">
      <c r="C274" s="34"/>
      <c r="D274" s="34"/>
      <c r="E274" s="34"/>
      <c r="H274" s="31"/>
      <c r="I274" s="31"/>
      <c r="J274" s="362"/>
      <c r="K274" s="348"/>
      <c r="L274" s="342" t="str">
        <f>Products!B1336</f>
        <v>ручка-замок (для дверей купе)</v>
      </c>
      <c r="M274" s="349">
        <f>Products!E1336</f>
        <v>560</v>
      </c>
    </row>
    <row r="275" spans="2:13">
      <c r="F275" s="97"/>
      <c r="G275" s="97"/>
      <c r="H275" s="31"/>
      <c r="I275" s="31"/>
      <c r="J275" s="362"/>
      <c r="K275" s="348"/>
      <c r="L275" s="342" t="str">
        <f>Products!B1337</f>
        <v>циліндр несиметричний</v>
      </c>
      <c r="M275" s="349">
        <f>Products!E1337</f>
        <v>380</v>
      </c>
    </row>
    <row r="276" spans="2:13" ht="13.8">
      <c r="B276" s="225"/>
      <c r="C276" s="34"/>
      <c r="D276" s="34"/>
      <c r="E276" s="34"/>
      <c r="F276" s="31"/>
      <c r="J276" s="353"/>
      <c r="K276" s="348"/>
      <c r="L276" s="342" t="str">
        <f>Products!B1338</f>
        <v>завіса Prestige (1 шт)</v>
      </c>
      <c r="M276" s="349">
        <f>Products!E1338</f>
        <v>260</v>
      </c>
    </row>
    <row r="277" spans="2:13" ht="13.8">
      <c r="B277" s="225"/>
      <c r="C277" s="34"/>
      <c r="D277" s="34"/>
      <c r="E277" s="34"/>
      <c r="F277" s="31"/>
      <c r="J277" s="353"/>
      <c r="K277" s="348"/>
      <c r="L277" s="342" t="str">
        <f>Products!B1339</f>
        <v>накладка на завіси (1 к-т)</v>
      </c>
      <c r="M277" s="349">
        <f>Products!E1339</f>
        <v>80</v>
      </c>
    </row>
    <row r="278" spans="2:13" ht="13.8">
      <c r="B278" s="225"/>
      <c r="C278" s="34"/>
      <c r="D278" s="34"/>
      <c r="E278" s="34"/>
      <c r="F278" s="31"/>
      <c r="J278" s="353"/>
      <c r="K278" s="348"/>
      <c r="L278" s="342" t="str">
        <f>Products!B1340</f>
        <v>дверна ручка</v>
      </c>
      <c r="M278" s="349" t="str">
        <f>Products!E1340</f>
        <v>див. Таблицю Ручки</v>
      </c>
    </row>
    <row r="279" spans="2:13">
      <c r="B279" s="540" t="str">
        <f>Products!B1391</f>
        <v>Полотна збірні: ЄВА</v>
      </c>
      <c r="C279" s="541"/>
      <c r="D279" s="541"/>
      <c r="E279" s="541"/>
      <c r="F279" s="170"/>
      <c r="G279" s="170"/>
      <c r="H279" s="170"/>
      <c r="I279" s="170"/>
      <c r="J279" s="343"/>
      <c r="K279" s="343"/>
      <c r="L279" s="355"/>
      <c r="M279" s="356"/>
    </row>
    <row r="280" spans="2:13" ht="26.25" customHeight="1">
      <c r="B280" s="537" t="str">
        <f>Products!B1393</f>
        <v>модель</v>
      </c>
      <c r="C280" s="156" t="str">
        <f>Products!C1393</f>
        <v>покриття:</v>
      </c>
      <c r="D280" s="129" t="str">
        <f>Products!D1393</f>
        <v>Verto-CELL</v>
      </c>
      <c r="E280" s="167" t="str">
        <f>Products!F1393</f>
        <v>UNI-MAT</v>
      </c>
      <c r="F280" s="130" t="str">
        <f>Products!H1393</f>
        <v>RESIST</v>
      </c>
      <c r="G280" s="130" t="str">
        <f>Products!J1393</f>
        <v>Verto LINE-3D</v>
      </c>
      <c r="H280" s="130" t="str">
        <f>Products!L1393</f>
        <v>ЕКО Шпон</v>
      </c>
      <c r="I280" s="216"/>
      <c r="J280" s="216"/>
      <c r="K280" s="357"/>
      <c r="L280" s="341" t="str">
        <f>Products!B1402</f>
        <v>полотно розміром 100</v>
      </c>
      <c r="M280" s="358">
        <f>Products!E1402</f>
        <v>720</v>
      </c>
    </row>
    <row r="281" spans="2:13" ht="24.75" customHeight="1">
      <c r="B281" s="538"/>
      <c r="C281" s="157" t="str">
        <f>Products!C1394</f>
        <v>заповнення:</v>
      </c>
      <c r="D281" s="139" t="str">
        <f>Products!D1394</f>
        <v>клеєний сосновий брус</v>
      </c>
      <c r="E281" s="168" t="str">
        <f>Products!F1394</f>
        <v>клеєний сосновий брус</v>
      </c>
      <c r="F281" s="140" t="str">
        <f>Products!H1394</f>
        <v>клеєний сосновий брус</v>
      </c>
      <c r="G281" s="140" t="str">
        <f>Products!J1394</f>
        <v>клеєний сосновий брус</v>
      </c>
      <c r="H281" s="140" t="str">
        <f>Products!L1394</f>
        <v>клеєний сосновий брус</v>
      </c>
      <c r="I281" s="216"/>
      <c r="J281" s="216"/>
      <c r="K281" s="348"/>
      <c r="L281" s="342" t="str">
        <f>Products!B1403</f>
        <v>вентиляційний підріз</v>
      </c>
      <c r="M281" s="349">
        <f>Products!E1403</f>
        <v>170.00000000000003</v>
      </c>
    </row>
    <row r="282" spans="2:13">
      <c r="B282" s="539"/>
      <c r="C282" s="158" t="str">
        <f>Products!C1395</f>
        <v>скління:</v>
      </c>
      <c r="D282" s="137" t="str">
        <f>Products!D1395</f>
        <v>Сатин</v>
      </c>
      <c r="E282" s="161" t="str">
        <f>Products!F1395</f>
        <v>Сатин</v>
      </c>
      <c r="F282" s="126" t="str">
        <f>Products!H1395</f>
        <v>Сатин</v>
      </c>
      <c r="G282" s="126" t="str">
        <f>Products!J1395</f>
        <v>Сатин</v>
      </c>
      <c r="H282" s="126" t="str">
        <f>Products!L1395</f>
        <v>Сатин</v>
      </c>
      <c r="I282" s="216"/>
      <c r="J282" s="216"/>
      <c r="K282" s="348"/>
      <c r="L282" s="342" t="str">
        <f>Products!B1404</f>
        <v>скло Графіт / Бронза</v>
      </c>
      <c r="M282" s="349">
        <f>Products!E1404</f>
        <v>550</v>
      </c>
    </row>
    <row r="283" spans="2:13">
      <c r="B283" s="13" t="str">
        <f>Products!B1396</f>
        <v>2.0 - 2.2</v>
      </c>
      <c r="C283" s="163"/>
      <c r="D283" s="191">
        <f>Products!E1396</f>
        <v>5880</v>
      </c>
      <c r="E283" s="183">
        <f>Products!G1396</f>
        <v>6700.0000000000009</v>
      </c>
      <c r="F283" s="183">
        <f>Products!I1396</f>
        <v>7010</v>
      </c>
      <c r="G283" s="183">
        <f>Products!K1396</f>
        <v>7680</v>
      </c>
      <c r="H283" s="183">
        <f>Products!M1396</f>
        <v>8050</v>
      </c>
      <c r="I283" s="31"/>
      <c r="J283" s="362"/>
      <c r="K283" s="348"/>
      <c r="L283" s="342" t="str">
        <f>Products!B1405</f>
        <v>скло Lacobel чорне</v>
      </c>
      <c r="M283" s="349">
        <f>Products!E1405</f>
        <v>550</v>
      </c>
    </row>
    <row r="284" spans="2:13">
      <c r="B284" s="114" t="str">
        <f>Products!B1397</f>
        <v>4.0 - 4.4</v>
      </c>
      <c r="C284" s="173"/>
      <c r="D284" s="291">
        <f>Products!E1397</f>
        <v>5880</v>
      </c>
      <c r="E284" s="292">
        <f>Products!G1397</f>
        <v>6700.0000000000009</v>
      </c>
      <c r="F284" s="292">
        <f>Products!I1397</f>
        <v>7010</v>
      </c>
      <c r="G284" s="292">
        <f>Products!K1397</f>
        <v>7680</v>
      </c>
      <c r="H284" s="292">
        <f>Products!M1397</f>
        <v>8050</v>
      </c>
      <c r="I284" s="31"/>
      <c r="J284" s="362"/>
      <c r="K284" s="348"/>
      <c r="L284" s="342" t="str">
        <f>Products!B1406</f>
        <v>замок Soft</v>
      </c>
      <c r="M284" s="349">
        <f>Products!E1406</f>
        <v>550</v>
      </c>
    </row>
    <row r="285" spans="2:13">
      <c r="B285" s="23" t="str">
        <f>Products!B1398</f>
        <v>4.5 - 4.6</v>
      </c>
      <c r="C285" s="165"/>
      <c r="D285" s="193">
        <f>Products!E1398</f>
        <v>5880</v>
      </c>
      <c r="E285" s="187">
        <f>Products!G1398</f>
        <v>6700.0000000000009</v>
      </c>
      <c r="F285" s="187">
        <f>Products!I1398</f>
        <v>7010</v>
      </c>
      <c r="G285" s="187">
        <f>Products!K1398</f>
        <v>7680</v>
      </c>
      <c r="H285" s="187">
        <f>Products!M1398</f>
        <v>8050</v>
      </c>
      <c r="I285" s="31"/>
      <c r="J285" s="362"/>
      <c r="K285" s="348"/>
      <c r="L285" s="342" t="str">
        <f>Products!B1407</f>
        <v>замок Soft чорн.</v>
      </c>
      <c r="M285" s="349">
        <f>Products!E1407</f>
        <v>680.00000000000011</v>
      </c>
    </row>
    <row r="286" spans="2:13">
      <c r="F286" s="97"/>
      <c r="G286" s="97"/>
      <c r="H286" s="31"/>
      <c r="I286" s="31"/>
      <c r="J286" s="362"/>
      <c r="K286" s="348"/>
      <c r="L286" s="342" t="str">
        <f>Products!B1408</f>
        <v>замок Magnet</v>
      </c>
      <c r="M286" s="349">
        <f>Products!E1408</f>
        <v>800.00000000000011</v>
      </c>
    </row>
    <row r="287" spans="2:13">
      <c r="C287" s="34"/>
      <c r="D287" s="34"/>
      <c r="E287" s="34"/>
      <c r="H287" s="31"/>
      <c r="I287" s="31"/>
      <c r="J287" s="362"/>
      <c r="K287" s="348"/>
      <c r="L287" s="342" t="str">
        <f>Products!B1409</f>
        <v>замок Magnet чорн.</v>
      </c>
      <c r="M287" s="349">
        <f>Products!E1409</f>
        <v>1000</v>
      </c>
    </row>
    <row r="288" spans="2:13">
      <c r="C288" s="34"/>
      <c r="D288" s="34"/>
      <c r="E288" s="34"/>
      <c r="H288" s="31"/>
      <c r="I288" s="31"/>
      <c r="J288" s="362"/>
      <c r="K288" s="348"/>
      <c r="L288" s="342" t="str">
        <f>Products!B1410</f>
        <v>ручка-замок (для дверей купе)</v>
      </c>
      <c r="M288" s="349">
        <f>Products!E1410</f>
        <v>560</v>
      </c>
    </row>
    <row r="289" spans="2:13">
      <c r="F289" s="97"/>
      <c r="G289" s="97"/>
      <c r="H289" s="31"/>
      <c r="I289" s="31"/>
      <c r="J289" s="362"/>
      <c r="K289" s="348"/>
      <c r="L289" s="342" t="str">
        <f>Products!B1411</f>
        <v>циліндр несиметричний</v>
      </c>
      <c r="M289" s="349">
        <f>Products!E1411</f>
        <v>380</v>
      </c>
    </row>
    <row r="290" spans="2:13" ht="13.8">
      <c r="B290" s="225"/>
      <c r="C290" s="34"/>
      <c r="D290" s="34"/>
      <c r="E290" s="34"/>
      <c r="F290" s="31"/>
      <c r="J290" s="353"/>
      <c r="K290" s="348"/>
      <c r="L290" s="342" t="str">
        <f>Products!B1412</f>
        <v>завіса Prestige (1 шт)</v>
      </c>
      <c r="M290" s="349">
        <f>Products!E1412</f>
        <v>260</v>
      </c>
    </row>
    <row r="291" spans="2:13" ht="13.8">
      <c r="B291" s="225"/>
      <c r="C291" s="34"/>
      <c r="D291" s="34"/>
      <c r="E291" s="34"/>
      <c r="F291" s="31"/>
      <c r="J291" s="353"/>
      <c r="K291" s="348"/>
      <c r="L291" s="342" t="str">
        <f>Products!B1413</f>
        <v>накладка на завіси (1 к-т)</v>
      </c>
      <c r="M291" s="349">
        <f>Products!E1413</f>
        <v>80</v>
      </c>
    </row>
    <row r="292" spans="2:13" ht="13.8">
      <c r="B292" s="225"/>
      <c r="C292" s="34"/>
      <c r="D292" s="34"/>
      <c r="E292" s="34"/>
      <c r="F292" s="31"/>
      <c r="J292" s="353"/>
      <c r="K292" s="348"/>
      <c r="L292" s="342" t="str">
        <f>Products!B1414</f>
        <v>дверна ручка</v>
      </c>
      <c r="M292" s="349" t="str">
        <f>Products!E1414</f>
        <v>див. Таблицю Ручки</v>
      </c>
    </row>
    <row r="293" spans="2:13">
      <c r="B293" s="540" t="str">
        <f>Products!B1465</f>
        <v>Полотна збірні: ТРЕНД</v>
      </c>
      <c r="C293" s="541"/>
      <c r="D293" s="541"/>
      <c r="E293" s="541"/>
      <c r="F293" s="170"/>
      <c r="G293" s="170"/>
      <c r="H293" s="170"/>
      <c r="I293" s="170"/>
      <c r="J293" s="343"/>
      <c r="K293" s="343"/>
      <c r="L293" s="355"/>
      <c r="M293" s="356"/>
    </row>
    <row r="294" spans="2:13" ht="25.5" customHeight="1">
      <c r="B294" s="537" t="str">
        <f>Products!B1467</f>
        <v>модель</v>
      </c>
      <c r="C294" s="156" t="str">
        <f>Products!C1467</f>
        <v>покриття:</v>
      </c>
      <c r="D294" s="129" t="str">
        <f>Products!D1467</f>
        <v>Verto-CELL</v>
      </c>
      <c r="E294" s="167" t="str">
        <f>Products!F1467</f>
        <v>UNI-MAT</v>
      </c>
      <c r="F294" s="130" t="str">
        <f>Products!H1467</f>
        <v>RESIST</v>
      </c>
      <c r="G294" s="130" t="str">
        <f>Products!J1467</f>
        <v>Verto LINE-3D</v>
      </c>
      <c r="H294" s="130" t="str">
        <f>Products!L1467</f>
        <v>ЕКО Шпон</v>
      </c>
      <c r="I294" s="216"/>
      <c r="J294" s="216"/>
      <c r="K294" s="357"/>
      <c r="L294" s="341" t="str">
        <f>Products!B1476</f>
        <v>полотно розміром 100</v>
      </c>
      <c r="M294" s="358">
        <f>Products!E1476</f>
        <v>720</v>
      </c>
    </row>
    <row r="295" spans="2:13" ht="24" customHeight="1">
      <c r="B295" s="538"/>
      <c r="C295" s="157" t="str">
        <f>Products!C1468</f>
        <v>заповнення:</v>
      </c>
      <c r="D295" s="139" t="str">
        <f>Products!D1468</f>
        <v>клеєний сосновий брус</v>
      </c>
      <c r="E295" s="168" t="str">
        <f>Products!F1468</f>
        <v>клеєний сосновий брус</v>
      </c>
      <c r="F295" s="140" t="str">
        <f>Products!H1468</f>
        <v>клеєний сосновий брус</v>
      </c>
      <c r="G295" s="140" t="str">
        <f>Products!J1468</f>
        <v>клеєний сосновий брус</v>
      </c>
      <c r="H295" s="140" t="str">
        <f>Products!L1468</f>
        <v>клеєний сосновий брус</v>
      </c>
      <c r="I295" s="216"/>
      <c r="J295" s="216"/>
      <c r="K295" s="348"/>
      <c r="L295" s="342" t="str">
        <f>Products!B1477</f>
        <v>вентиляційні віддушини (1ряд)</v>
      </c>
      <c r="M295" s="349">
        <f>Products!E1477</f>
        <v>250</v>
      </c>
    </row>
    <row r="296" spans="2:13">
      <c r="B296" s="539"/>
      <c r="C296" s="158" t="str">
        <f>Products!C1469</f>
        <v>скління:</v>
      </c>
      <c r="D296" s="137" t="str">
        <f>Products!D1469</f>
        <v>Сатин</v>
      </c>
      <c r="E296" s="161" t="str">
        <f>Products!F1469</f>
        <v>Сатин</v>
      </c>
      <c r="F296" s="126" t="str">
        <f>Products!H1469</f>
        <v>Сатин</v>
      </c>
      <c r="G296" s="126" t="str">
        <f>Products!J1469</f>
        <v>Сатин</v>
      </c>
      <c r="H296" s="126" t="str">
        <f>Products!L1469</f>
        <v>Сатин</v>
      </c>
      <c r="I296" s="216"/>
      <c r="J296" s="216"/>
      <c r="K296" s="348"/>
      <c r="L296" s="342" t="str">
        <f>Products!B1478</f>
        <v>вентиляційний підріз</v>
      </c>
      <c r="M296" s="349">
        <f>Products!E1478</f>
        <v>170.00000000000003</v>
      </c>
    </row>
    <row r="297" spans="2:13">
      <c r="B297" s="13" t="str">
        <f>Products!B1470</f>
        <v>5.0 - 5.5</v>
      </c>
      <c r="C297" s="163"/>
      <c r="D297" s="191">
        <f>Products!E1470</f>
        <v>7530</v>
      </c>
      <c r="E297" s="183">
        <f>Products!G1470</f>
        <v>8360</v>
      </c>
      <c r="F297" s="183">
        <f>Products!I1470</f>
        <v>8640</v>
      </c>
      <c r="G297" s="183">
        <f>Products!K1470</f>
        <v>9030</v>
      </c>
      <c r="H297" s="183">
        <f>Products!M1470</f>
        <v>9450</v>
      </c>
      <c r="J297" s="353"/>
      <c r="K297" s="348"/>
      <c r="L297" s="342" t="str">
        <f>Products!B1479</f>
        <v>скло Графіт / Бронза</v>
      </c>
      <c r="M297" s="349">
        <f>Products!E1479</f>
        <v>550</v>
      </c>
    </row>
    <row r="298" spans="2:13">
      <c r="B298" s="114" t="str">
        <f>Products!B1471</f>
        <v>5А.1 - 5А.3</v>
      </c>
      <c r="C298" s="173"/>
      <c r="D298" s="291">
        <f>Products!E1471</f>
        <v>7530</v>
      </c>
      <c r="E298" s="292">
        <f>Products!G1471</f>
        <v>8360</v>
      </c>
      <c r="F298" s="292">
        <f>Products!I1471</f>
        <v>8640</v>
      </c>
      <c r="G298" s="292">
        <f>Products!K1471</f>
        <v>9030</v>
      </c>
      <c r="H298" s="292">
        <f>Products!M1471</f>
        <v>9450</v>
      </c>
      <c r="J298" s="353"/>
      <c r="K298" s="348"/>
      <c r="L298" s="342" t="str">
        <f>Products!B1480</f>
        <v>замок Soft</v>
      </c>
      <c r="M298" s="349">
        <f>Products!E1480</f>
        <v>550</v>
      </c>
    </row>
    <row r="299" spans="2:13">
      <c r="B299" s="23" t="str">
        <f>Products!B1472</f>
        <v>5Б.3</v>
      </c>
      <c r="C299" s="165"/>
      <c r="D299" s="193">
        <f>Products!E1472</f>
        <v>7530</v>
      </c>
      <c r="E299" s="187">
        <f>Products!G1472</f>
        <v>8360</v>
      </c>
      <c r="F299" s="187">
        <f>Products!I1472</f>
        <v>8640</v>
      </c>
      <c r="G299" s="187">
        <f>Products!K1472</f>
        <v>9030</v>
      </c>
      <c r="H299" s="187">
        <f>Products!M1472</f>
        <v>9450</v>
      </c>
      <c r="J299" s="353"/>
      <c r="K299" s="348"/>
      <c r="L299" s="342" t="str">
        <f>Products!B1481</f>
        <v>замок Soft чорн.</v>
      </c>
      <c r="M299" s="349">
        <f>Products!E1481</f>
        <v>680.00000000000011</v>
      </c>
    </row>
    <row r="300" spans="2:13">
      <c r="C300" s="34"/>
      <c r="D300" s="34"/>
      <c r="E300" s="34"/>
      <c r="F300" s="31"/>
      <c r="J300" s="353"/>
      <c r="K300" s="348"/>
      <c r="L300" s="342" t="str">
        <f>Products!B1482</f>
        <v>замок Magnet</v>
      </c>
      <c r="M300" s="349">
        <f>Products!E1482</f>
        <v>800.00000000000011</v>
      </c>
    </row>
    <row r="301" spans="2:13">
      <c r="C301" s="34"/>
      <c r="D301" s="34"/>
      <c r="E301" s="34"/>
      <c r="F301" s="31"/>
      <c r="J301" s="353"/>
      <c r="K301" s="348"/>
      <c r="L301" s="342" t="str">
        <f>Products!B1483</f>
        <v>замок Magnet чорн.</v>
      </c>
      <c r="M301" s="349">
        <f>Products!E1483</f>
        <v>1000</v>
      </c>
    </row>
    <row r="302" spans="2:13">
      <c r="C302" s="34"/>
      <c r="D302" s="34"/>
      <c r="E302" s="34"/>
      <c r="F302" s="31"/>
      <c r="J302" s="353"/>
      <c r="K302" s="348"/>
      <c r="L302" s="342" t="str">
        <f>Products!B1484</f>
        <v>ручка-замок (для дверей купе)</v>
      </c>
      <c r="M302" s="349">
        <f>Products!E1484</f>
        <v>560</v>
      </c>
    </row>
    <row r="303" spans="2:13">
      <c r="C303" s="34"/>
      <c r="D303" s="34"/>
      <c r="E303" s="34"/>
      <c r="F303" s="31"/>
      <c r="J303" s="353"/>
      <c r="K303" s="348"/>
      <c r="L303" s="342" t="str">
        <f>Products!B1485</f>
        <v>циліндр несиметричний</v>
      </c>
      <c r="M303" s="349">
        <f>Products!E1485</f>
        <v>380</v>
      </c>
    </row>
    <row r="304" spans="2:13">
      <c r="C304" s="34"/>
      <c r="D304" s="34"/>
      <c r="E304" s="34"/>
      <c r="F304" s="31"/>
      <c r="J304" s="353"/>
      <c r="K304" s="348"/>
      <c r="L304" s="342" t="str">
        <f>Products!B1486</f>
        <v>завіса Prestige (1 шт)</v>
      </c>
      <c r="M304" s="349">
        <f>Products!E1486</f>
        <v>260</v>
      </c>
    </row>
    <row r="305" spans="2:13" ht="13.8">
      <c r="B305" s="225"/>
      <c r="C305" s="34"/>
      <c r="D305" s="34"/>
      <c r="E305" s="34"/>
      <c r="F305" s="31"/>
      <c r="J305" s="353"/>
      <c r="K305" s="348"/>
      <c r="L305" s="342" t="str">
        <f>Products!B1487</f>
        <v>накладка на завіси (1 к-т)</v>
      </c>
      <c r="M305" s="349">
        <f>Products!E1487</f>
        <v>80</v>
      </c>
    </row>
    <row r="306" spans="2:13" ht="13.8">
      <c r="B306" s="225"/>
      <c r="C306" s="34"/>
      <c r="D306" s="34"/>
      <c r="E306" s="34"/>
      <c r="F306" s="31"/>
      <c r="J306" s="353"/>
      <c r="K306" s="348"/>
      <c r="L306" s="342" t="str">
        <f>Products!B1488</f>
        <v>дверна ручка</v>
      </c>
      <c r="M306" s="349" t="str">
        <f>Products!E1488</f>
        <v>див. Таблицю Ручки</v>
      </c>
    </row>
    <row r="307" spans="2:13">
      <c r="B307" s="540" t="str">
        <f>Products!B1539</f>
        <v>Полотна збірні: МОДЕРН</v>
      </c>
      <c r="C307" s="541"/>
      <c r="D307" s="541"/>
      <c r="E307" s="541"/>
      <c r="F307" s="170"/>
      <c r="G307" s="170"/>
      <c r="H307" s="170"/>
      <c r="I307" s="170"/>
      <c r="J307" s="343"/>
      <c r="K307" s="343"/>
      <c r="L307" s="355"/>
      <c r="M307" s="356"/>
    </row>
    <row r="308" spans="2:13">
      <c r="B308" s="537" t="str">
        <f>Products!B1541</f>
        <v>модель</v>
      </c>
      <c r="C308" s="156" t="str">
        <f>Products!C1541</f>
        <v>покриття:</v>
      </c>
      <c r="D308" s="129" t="str">
        <f>Products!D1541</f>
        <v>VERTO-CELL</v>
      </c>
      <c r="E308" s="167" t="str">
        <f>Products!F1541</f>
        <v>UNI-MAT</v>
      </c>
      <c r="F308" s="130" t="str">
        <f>Products!H1541</f>
        <v>RESIST</v>
      </c>
      <c r="G308" s="130" t="str">
        <f>Products!J1541</f>
        <v>Verto LINE-3D</v>
      </c>
      <c r="H308" s="130" t="str">
        <f>Products!L1541</f>
        <v>ЕКО Шпон</v>
      </c>
      <c r="I308" s="216"/>
      <c r="J308" s="216"/>
      <c r="K308" s="357"/>
      <c r="L308" s="341" t="str">
        <f>Products!B1550</f>
        <v>полотно розміром 100</v>
      </c>
      <c r="M308" s="358">
        <f>Products!E1550</f>
        <v>720</v>
      </c>
    </row>
    <row r="309" spans="2:13" ht="24" customHeight="1">
      <c r="B309" s="538"/>
      <c r="C309" s="157" t="str">
        <f>Products!C1542</f>
        <v>заповнення:</v>
      </c>
      <c r="D309" s="139" t="str">
        <f>Products!D1542</f>
        <v>клеєний сосновий брус</v>
      </c>
      <c r="E309" s="168" t="str">
        <f>Products!F1542</f>
        <v>клеєний сосновий брус</v>
      </c>
      <c r="F309" s="140" t="str">
        <f>Products!H1542</f>
        <v>клеєний сосновий брус</v>
      </c>
      <c r="G309" s="140" t="str">
        <f>Products!J1542</f>
        <v>клеєний сосновий брус</v>
      </c>
      <c r="H309" s="140" t="str">
        <f>Products!L1542</f>
        <v>клеєний сосновий брус</v>
      </c>
      <c r="I309" s="216"/>
      <c r="J309" s="216"/>
      <c r="K309" s="348"/>
      <c r="L309" s="342" t="str">
        <f>Products!B1551</f>
        <v>вентиляційні віддушини (1ряд)</v>
      </c>
      <c r="M309" s="349">
        <f>Products!E1551</f>
        <v>250</v>
      </c>
    </row>
    <row r="310" spans="2:13">
      <c r="B310" s="539"/>
      <c r="C310" s="158" t="str">
        <f>Products!C1543</f>
        <v>скління:</v>
      </c>
      <c r="D310" s="137" t="str">
        <f>Products!D1543</f>
        <v>Сатин</v>
      </c>
      <c r="E310" s="161" t="str">
        <f>Products!F1543</f>
        <v>Сатин</v>
      </c>
      <c r="F310" s="126" t="str">
        <f>Products!H1543</f>
        <v>Сатин</v>
      </c>
      <c r="G310" s="126" t="str">
        <f>Products!J1543</f>
        <v>Сатин</v>
      </c>
      <c r="H310" s="126" t="str">
        <f>Products!L1543</f>
        <v>Сатин</v>
      </c>
      <c r="I310" s="216"/>
      <c r="J310" s="216"/>
      <c r="K310" s="348"/>
      <c r="L310" s="342" t="str">
        <f>Products!B1552</f>
        <v>вентиляційний підріз</v>
      </c>
      <c r="M310" s="349">
        <f>Products!E1552</f>
        <v>170.00000000000003</v>
      </c>
    </row>
    <row r="311" spans="2:13">
      <c r="B311" s="13" t="str">
        <f>Products!B1544</f>
        <v>1.0 - 1.1</v>
      </c>
      <c r="C311" s="163"/>
      <c r="D311" s="191">
        <f>Products!E1544</f>
        <v>6320</v>
      </c>
      <c r="E311" s="183">
        <f>Products!G1544</f>
        <v>7080</v>
      </c>
      <c r="F311" s="183">
        <f>Products!I1544</f>
        <v>7380</v>
      </c>
      <c r="G311" s="183">
        <f>Products!K1544</f>
        <v>7920</v>
      </c>
      <c r="H311" s="183">
        <f>Products!M1544</f>
        <v>8300</v>
      </c>
      <c r="J311" s="353"/>
      <c r="K311" s="348"/>
      <c r="L311" s="342" t="str">
        <f>Products!B1553</f>
        <v>скло Графіт / Бронза</v>
      </c>
      <c r="M311" s="349">
        <f>Products!E1553</f>
        <v>550</v>
      </c>
    </row>
    <row r="312" spans="2:13">
      <c r="B312" s="114" t="str">
        <f>Products!B1545</f>
        <v>3.0 - 3.3</v>
      </c>
      <c r="C312" s="173"/>
      <c r="D312" s="291">
        <f>Products!E1545</f>
        <v>7440</v>
      </c>
      <c r="E312" s="292">
        <f>Products!G1545</f>
        <v>8340</v>
      </c>
      <c r="F312" s="292">
        <f>Products!I1545</f>
        <v>8700</v>
      </c>
      <c r="G312" s="292">
        <f>Products!K1545</f>
        <v>9250</v>
      </c>
      <c r="H312" s="292">
        <f>Products!M1545</f>
        <v>9690</v>
      </c>
      <c r="J312" s="353"/>
      <c r="K312" s="348"/>
      <c r="L312" s="342" t="str">
        <f>Products!B1554</f>
        <v>замок Soft</v>
      </c>
      <c r="M312" s="349">
        <f>Products!E1554</f>
        <v>550</v>
      </c>
    </row>
    <row r="313" spans="2:13">
      <c r="B313" s="23" t="str">
        <f>Products!B1546</f>
        <v>3А.1 - 3А.2</v>
      </c>
      <c r="C313" s="165"/>
      <c r="D313" s="193">
        <f>Products!E1546</f>
        <v>7440</v>
      </c>
      <c r="E313" s="187">
        <f>Products!G1546</f>
        <v>8340</v>
      </c>
      <c r="F313" s="187">
        <f>Products!I1546</f>
        <v>8700</v>
      </c>
      <c r="G313" s="187">
        <f>Products!K1546</f>
        <v>9250</v>
      </c>
      <c r="H313" s="187">
        <f>Products!M1546</f>
        <v>9690</v>
      </c>
      <c r="J313" s="353"/>
      <c r="K313" s="348"/>
      <c r="L313" s="342" t="str">
        <f>Products!B1555</f>
        <v>замок Soft чорн.</v>
      </c>
      <c r="M313" s="349">
        <f>Products!E1555</f>
        <v>680.00000000000011</v>
      </c>
    </row>
    <row r="314" spans="2:13">
      <c r="C314" s="34"/>
      <c r="D314" s="34"/>
      <c r="E314" s="34"/>
      <c r="F314" s="31"/>
      <c r="J314" s="353"/>
      <c r="K314" s="348"/>
      <c r="L314" s="342" t="str">
        <f>Products!B1556</f>
        <v>замок Magnet</v>
      </c>
      <c r="M314" s="349">
        <f>Products!E1556</f>
        <v>800.00000000000011</v>
      </c>
    </row>
    <row r="315" spans="2:13">
      <c r="C315" s="34"/>
      <c r="D315" s="34"/>
      <c r="E315" s="34"/>
      <c r="F315" s="31"/>
      <c r="J315" s="353"/>
      <c r="K315" s="348"/>
      <c r="L315" s="342" t="str">
        <f>Products!B1557</f>
        <v>замок Magnet чорн.</v>
      </c>
      <c r="M315" s="349">
        <f>Products!E1557</f>
        <v>1000</v>
      </c>
    </row>
    <row r="316" spans="2:13">
      <c r="C316" s="34"/>
      <c r="D316" s="34"/>
      <c r="E316" s="34"/>
      <c r="F316" s="31"/>
      <c r="J316" s="353"/>
      <c r="K316" s="348"/>
      <c r="L316" s="342" t="str">
        <f>Products!B1558</f>
        <v>ручка-замок (для дверей купе)</v>
      </c>
      <c r="M316" s="349">
        <f>Products!E1558</f>
        <v>560</v>
      </c>
    </row>
    <row r="317" spans="2:13">
      <c r="C317" s="34"/>
      <c r="D317" s="34"/>
      <c r="E317" s="34"/>
      <c r="F317" s="31"/>
      <c r="J317" s="353"/>
      <c r="K317" s="348"/>
      <c r="L317" s="342" t="str">
        <f>Products!B1559</f>
        <v>циліндр несиметричний</v>
      </c>
      <c r="M317" s="349">
        <f>Products!E1559</f>
        <v>380</v>
      </c>
    </row>
    <row r="318" spans="2:13">
      <c r="C318" s="34"/>
      <c r="D318" s="34"/>
      <c r="E318" s="34"/>
      <c r="F318" s="31"/>
      <c r="J318" s="353"/>
      <c r="K318" s="348"/>
      <c r="L318" s="342" t="str">
        <f>Products!B1560</f>
        <v>завіса Prestige (1 шт)</v>
      </c>
      <c r="M318" s="349">
        <f>Products!E1560</f>
        <v>260</v>
      </c>
    </row>
    <row r="319" spans="2:13">
      <c r="C319" s="34"/>
      <c r="D319" s="34"/>
      <c r="E319" s="34"/>
      <c r="F319" s="31"/>
      <c r="J319" s="353"/>
      <c r="K319" s="348"/>
      <c r="L319" s="342" t="str">
        <f>Products!B1561</f>
        <v>накладка на завіси (1 к-т)</v>
      </c>
      <c r="M319" s="349">
        <f>Products!E1561</f>
        <v>80</v>
      </c>
    </row>
    <row r="320" spans="2:13">
      <c r="C320" s="34"/>
      <c r="D320" s="34"/>
      <c r="E320" s="34"/>
      <c r="F320" s="31"/>
      <c r="J320" s="353"/>
      <c r="K320" s="348"/>
      <c r="L320" s="342" t="str">
        <f>Products!B1562</f>
        <v>дверна ручка</v>
      </c>
      <c r="M320" s="349" t="str">
        <f>Products!E1562</f>
        <v>див. Таблицю Ручки</v>
      </c>
    </row>
    <row r="321" spans="1:13" s="31" customFormat="1" ht="12.75" customHeight="1">
      <c r="B321" s="540" t="str">
        <f>Products!B1613</f>
        <v>Полотна збірні: ПОЛО</v>
      </c>
      <c r="C321" s="541"/>
      <c r="D321" s="541"/>
      <c r="E321" s="541"/>
      <c r="F321" s="170"/>
      <c r="G321" s="170"/>
      <c r="H321" s="170"/>
      <c r="I321" s="170"/>
      <c r="J321" s="343"/>
      <c r="K321" s="343"/>
      <c r="L321" s="355"/>
      <c r="M321" s="356"/>
    </row>
    <row r="322" spans="1:13" ht="24.75" customHeight="1">
      <c r="A322" s="31"/>
      <c r="B322" s="537" t="str">
        <f>Products!B1615</f>
        <v>модель</v>
      </c>
      <c r="C322" s="156" t="str">
        <f>Products!C1615</f>
        <v>покриття:</v>
      </c>
      <c r="D322" s="129" t="str">
        <f>Products!D1615</f>
        <v>Verto-CELL</v>
      </c>
      <c r="E322" s="167" t="str">
        <f>Products!F1615</f>
        <v>UNI-MAT</v>
      </c>
      <c r="F322" s="130" t="str">
        <f>Products!H1615</f>
        <v>RESIST</v>
      </c>
      <c r="G322" s="130" t="str">
        <f>Products!J1615</f>
        <v>Verto LINE-3D</v>
      </c>
      <c r="H322" s="130" t="str">
        <f>Products!L1615</f>
        <v>ЕКО Шпон</v>
      </c>
      <c r="I322" s="216"/>
      <c r="J322" s="216"/>
      <c r="K322" s="357"/>
      <c r="L322" s="341" t="str">
        <f>Products!B1625</f>
        <v>полотно розміром 100</v>
      </c>
      <c r="M322" s="358">
        <f>Products!E1625</f>
        <v>720</v>
      </c>
    </row>
    <row r="323" spans="1:13" ht="26.25" customHeight="1">
      <c r="A323" s="31"/>
      <c r="B323" s="538"/>
      <c r="C323" s="157" t="str">
        <f>Products!C1616</f>
        <v>заповнення:</v>
      </c>
      <c r="D323" s="139" t="str">
        <f>Products!D1616</f>
        <v>клеєний сосновий брус</v>
      </c>
      <c r="E323" s="168" t="str">
        <f>Products!F1616</f>
        <v>клеєний сосновий брус</v>
      </c>
      <c r="F323" s="140" t="str">
        <f>Products!H1616</f>
        <v>клеєний сосновий брус</v>
      </c>
      <c r="G323" s="140" t="str">
        <f>Products!J1616</f>
        <v>клеєний сосновий брус</v>
      </c>
      <c r="H323" s="140" t="str">
        <f>Products!L1616</f>
        <v>клеєний сосновий брус</v>
      </c>
      <c r="I323" s="216"/>
      <c r="J323" s="216"/>
      <c r="K323" s="348"/>
      <c r="L323" s="342" t="str">
        <f>Products!B1626</f>
        <v>вентиляційні віддушини (1ряд)</v>
      </c>
      <c r="M323" s="349">
        <f>Products!E1626</f>
        <v>250</v>
      </c>
    </row>
    <row r="324" spans="1:13" ht="12.75" customHeight="1">
      <c r="A324" s="31"/>
      <c r="B324" s="539"/>
      <c r="C324" s="158" t="str">
        <f>Products!C1617</f>
        <v>скління:</v>
      </c>
      <c r="D324" s="137" t="str">
        <f>Products!D1617</f>
        <v>Сатин</v>
      </c>
      <c r="E324" s="161" t="str">
        <f>Products!F1617</f>
        <v>Сатин</v>
      </c>
      <c r="F324" s="126" t="str">
        <f>Products!H1617</f>
        <v>Сатин</v>
      </c>
      <c r="G324" s="126" t="str">
        <f>Products!J1617</f>
        <v>Сатин</v>
      </c>
      <c r="H324" s="126" t="str">
        <f>Products!L1617</f>
        <v>Сатин</v>
      </c>
      <c r="I324" s="216"/>
      <c r="J324" s="216"/>
      <c r="K324" s="348"/>
      <c r="L324" s="342" t="str">
        <f>Products!B1627</f>
        <v>вентиляційний підріз</v>
      </c>
      <c r="M324" s="349">
        <f>Products!E1627</f>
        <v>170.00000000000003</v>
      </c>
    </row>
    <row r="325" spans="1:13">
      <c r="A325" s="31"/>
      <c r="B325" s="13" t="str">
        <f>Products!B1618</f>
        <v>3.0 - 3.6</v>
      </c>
      <c r="C325" s="163"/>
      <c r="D325" s="191">
        <f>Products!E1618</f>
        <v>6440</v>
      </c>
      <c r="E325" s="183">
        <f>Products!G1618</f>
        <v>7150.0000000000009</v>
      </c>
      <c r="F325" s="183">
        <f>Products!I1618</f>
        <v>7500</v>
      </c>
      <c r="G325" s="183">
        <f>Products!K1618</f>
        <v>8110</v>
      </c>
      <c r="H325" s="183">
        <f>Products!M1618</f>
        <v>8540</v>
      </c>
      <c r="J325" s="353"/>
      <c r="K325" s="348"/>
      <c r="L325" s="342" t="str">
        <f>Products!B1628</f>
        <v>скло Графіт / Бронза</v>
      </c>
      <c r="M325" s="349">
        <f>Products!E1628</f>
        <v>550</v>
      </c>
    </row>
    <row r="326" spans="1:13">
      <c r="A326" s="31"/>
      <c r="B326" s="114" t="str">
        <f>Products!B1619</f>
        <v>3А.3</v>
      </c>
      <c r="C326" s="173"/>
      <c r="D326" s="291">
        <f>Products!E1619</f>
        <v>5980.0000000000009</v>
      </c>
      <c r="E326" s="292">
        <f>Products!G1619</f>
        <v>6640.0000000000009</v>
      </c>
      <c r="F326" s="292">
        <f>Products!I1619</f>
        <v>6900</v>
      </c>
      <c r="G326" s="292">
        <f>Products!K1619</f>
        <v>7470</v>
      </c>
      <c r="H326" s="292">
        <f>Products!M1619</f>
        <v>7830</v>
      </c>
      <c r="J326" s="353"/>
      <c r="K326" s="348"/>
      <c r="L326" s="342" t="str">
        <f>Products!B1629</f>
        <v>замок Soft</v>
      </c>
      <c r="M326" s="349">
        <f>Products!E1629</f>
        <v>550</v>
      </c>
    </row>
    <row r="327" spans="1:13">
      <c r="A327" s="31"/>
      <c r="B327" s="114" t="str">
        <f>Products!B1620</f>
        <v>3А.5</v>
      </c>
      <c r="C327" s="173"/>
      <c r="D327" s="291">
        <f>Products!E1620</f>
        <v>5580</v>
      </c>
      <c r="E327" s="292">
        <f>Products!G1620</f>
        <v>6190.0000000000009</v>
      </c>
      <c r="F327" s="292">
        <f>Products!I1620</f>
        <v>6340.0000000000009</v>
      </c>
      <c r="G327" s="292">
        <f>Products!K1620</f>
        <v>6890</v>
      </c>
      <c r="H327" s="292">
        <f>Products!M1620</f>
        <v>7230</v>
      </c>
      <c r="J327" s="353"/>
      <c r="K327" s="348"/>
      <c r="L327" s="342" t="str">
        <f>Products!B1630</f>
        <v>замок Soft чорн.</v>
      </c>
      <c r="M327" s="349">
        <f>Products!E1630</f>
        <v>680.00000000000011</v>
      </c>
    </row>
    <row r="328" spans="1:13">
      <c r="A328" s="31"/>
      <c r="B328" s="23" t="str">
        <f>Products!B1621</f>
        <v>4.3.</v>
      </c>
      <c r="C328" s="165"/>
      <c r="D328" s="193">
        <f>Products!E1621</f>
        <v>5980.0000000000009</v>
      </c>
      <c r="E328" s="187">
        <f>Products!G1621</f>
        <v>6640.0000000000009</v>
      </c>
      <c r="F328" s="187">
        <f>Products!I1621</f>
        <v>6900</v>
      </c>
      <c r="G328" s="187">
        <f>Products!K1621</f>
        <v>7470</v>
      </c>
      <c r="H328" s="187">
        <f>Products!M1621</f>
        <v>7830</v>
      </c>
      <c r="J328" s="353"/>
      <c r="K328" s="348"/>
      <c r="L328" s="342" t="str">
        <f>Products!B1631</f>
        <v>замок Magnet</v>
      </c>
      <c r="M328" s="349">
        <f>Products!E1631</f>
        <v>800.00000000000011</v>
      </c>
    </row>
    <row r="329" spans="1:13">
      <c r="A329" s="31"/>
      <c r="J329" s="353"/>
      <c r="K329" s="348"/>
      <c r="L329" s="342" t="str">
        <f>Products!B1632</f>
        <v>замок Magnet чорн.</v>
      </c>
      <c r="M329" s="349">
        <f>Products!E1632</f>
        <v>1000</v>
      </c>
    </row>
    <row r="330" spans="1:13">
      <c r="A330" s="31"/>
      <c r="B330" s="175"/>
      <c r="C330" s="176"/>
      <c r="D330" s="199"/>
      <c r="E330" s="199"/>
      <c r="F330" s="199"/>
      <c r="G330" s="199"/>
      <c r="J330" s="353"/>
      <c r="K330" s="348"/>
      <c r="L330" s="342" t="str">
        <f>Products!B1633</f>
        <v>ручка-замок (для дверей купе)</v>
      </c>
      <c r="M330" s="349">
        <f>Products!E1633</f>
        <v>560</v>
      </c>
    </row>
    <row r="331" spans="1:13" ht="13.5" customHeight="1">
      <c r="A331" s="31"/>
      <c r="J331" s="353"/>
      <c r="K331" s="348"/>
      <c r="L331" s="342" t="str">
        <f>Products!B1634</f>
        <v>циліндр несиметричний</v>
      </c>
      <c r="M331" s="349">
        <f>Products!E1634</f>
        <v>380</v>
      </c>
    </row>
    <row r="332" spans="1:13" ht="13.5" customHeight="1">
      <c r="A332" s="31"/>
      <c r="J332" s="353"/>
      <c r="K332" s="348"/>
      <c r="L332" s="342" t="str">
        <f>Products!B1635</f>
        <v>завіса Prestige (1 шт)</v>
      </c>
      <c r="M332" s="349">
        <f>Products!E1635</f>
        <v>260</v>
      </c>
    </row>
    <row r="333" spans="1:13" ht="13.8">
      <c r="B333" s="225"/>
      <c r="C333" s="34"/>
      <c r="D333" s="34"/>
      <c r="E333" s="34"/>
      <c r="F333" s="31"/>
      <c r="J333" s="353"/>
      <c r="K333" s="348"/>
      <c r="L333" s="342" t="str">
        <f>Products!B1636</f>
        <v>накладка на завіси (1 к-т)</v>
      </c>
      <c r="M333" s="349">
        <f>Products!E1636</f>
        <v>80</v>
      </c>
    </row>
    <row r="334" spans="1:13" ht="13.8">
      <c r="B334" s="225"/>
      <c r="C334" s="34"/>
      <c r="D334" s="34"/>
      <c r="E334" s="34"/>
      <c r="F334" s="31"/>
      <c r="J334" s="353"/>
      <c r="K334" s="348"/>
      <c r="L334" s="342" t="str">
        <f>Products!B1637</f>
        <v>дверна ручка</v>
      </c>
      <c r="M334" s="349" t="str">
        <f>Products!E1637</f>
        <v>див. Таблицю Ручки</v>
      </c>
    </row>
    <row r="335" spans="1:13" s="31" customFormat="1" ht="12.75" customHeight="1">
      <c r="B335" s="540" t="str">
        <f>TITLE!$C$31</f>
        <v>Полотна скляні: ЛІНЕЯ</v>
      </c>
      <c r="C335" s="541"/>
      <c r="D335" s="541"/>
      <c r="E335" s="541"/>
      <c r="F335" s="170"/>
      <c r="G335" s="170"/>
      <c r="H335" s="170"/>
      <c r="I335" s="170"/>
      <c r="J335" s="343"/>
      <c r="K335" s="343"/>
      <c r="L335" s="355"/>
      <c r="M335" s="356"/>
    </row>
    <row r="336" spans="1:13" ht="12.75" customHeight="1">
      <c r="A336" s="31"/>
      <c r="B336" s="538" t="str">
        <f>Products!B1690</f>
        <v>модель</v>
      </c>
      <c r="C336" s="156" t="str">
        <f>Products!C1690</f>
        <v>покриття:</v>
      </c>
      <c r="D336" s="498" t="str">
        <f>Products!D1690</f>
        <v>VERTO-CELL</v>
      </c>
      <c r="E336" s="499"/>
      <c r="F336" s="500"/>
      <c r="G336" s="46"/>
      <c r="H336" s="216"/>
      <c r="I336" s="216"/>
      <c r="J336" s="216"/>
      <c r="K336" s="357"/>
      <c r="L336" s="341" t="str">
        <f>Products!B1699</f>
        <v>полотно розміром 100</v>
      </c>
      <c r="M336" s="358">
        <f>Products!E1699</f>
        <v>680.00000000000011</v>
      </c>
    </row>
    <row r="337" spans="1:13">
      <c r="A337" s="31"/>
      <c r="B337" s="538"/>
      <c r="C337" s="157" t="str">
        <f>Products!C1691</f>
        <v>заповнення:</v>
      </c>
      <c r="D337" s="505" t="str">
        <f>Products!D1691</f>
        <v>сотове заповнення</v>
      </c>
      <c r="E337" s="520"/>
      <c r="F337" s="506"/>
      <c r="G337" s="47"/>
      <c r="H337" s="216"/>
      <c r="I337" s="216"/>
      <c r="J337" s="216"/>
      <c r="K337" s="348"/>
      <c r="L337" s="342" t="str">
        <f>Products!B1700</f>
        <v>скло Графіт / Бронза</v>
      </c>
      <c r="M337" s="363" t="str">
        <f>Products!E1700</f>
        <v>див. Таблицю Ціни</v>
      </c>
    </row>
    <row r="338" spans="1:13" ht="12.75" customHeight="1">
      <c r="A338" s="31"/>
      <c r="B338" s="539"/>
      <c r="C338" s="158" t="str">
        <f>Products!C1692</f>
        <v>скління:</v>
      </c>
      <c r="D338" s="255" t="str">
        <f>Products!D1692</f>
        <v>Сатин</v>
      </c>
      <c r="E338" s="262" t="str">
        <f>Products!F1692</f>
        <v>Графіт / Бронза</v>
      </c>
      <c r="F338" s="263" t="str">
        <f>Products!H1692</f>
        <v>Триплекс мат/чорн</v>
      </c>
      <c r="G338" s="159"/>
      <c r="H338" s="216"/>
      <c r="I338" s="216"/>
      <c r="J338" s="216"/>
      <c r="K338" s="348"/>
      <c r="L338" s="342" t="str">
        <f>Products!B1701</f>
        <v>скло Триплекс матовий / чорний</v>
      </c>
      <c r="M338" s="363" t="str">
        <f>Products!E1701</f>
        <v>див. Таблицю Ціни</v>
      </c>
    </row>
    <row r="339" spans="1:13">
      <c r="A339" s="31"/>
      <c r="B339" s="13">
        <f>Products!B1693</f>
        <v>1</v>
      </c>
      <c r="C339" s="163"/>
      <c r="D339" s="256">
        <f>Products!E1693</f>
        <v>4840</v>
      </c>
      <c r="E339" s="264">
        <f>Products!G1693</f>
        <v>5570</v>
      </c>
      <c r="F339" s="257">
        <f>Products!I1693</f>
        <v>5960</v>
      </c>
      <c r="G339" s="199"/>
      <c r="H339" s="224"/>
      <c r="I339" s="224"/>
      <c r="J339" s="224"/>
      <c r="K339" s="348"/>
      <c r="L339" s="342" t="str">
        <f>Products!B1702</f>
        <v>замок Soft</v>
      </c>
      <c r="M339" s="363">
        <f>Products!E1702</f>
        <v>550</v>
      </c>
    </row>
    <row r="340" spans="1:13">
      <c r="A340" s="31"/>
      <c r="B340" s="16">
        <f>Products!B1694</f>
        <v>3</v>
      </c>
      <c r="C340" s="164"/>
      <c r="D340" s="258">
        <f>Products!E1694</f>
        <v>6840</v>
      </c>
      <c r="E340" s="265">
        <f>Products!G1694</f>
        <v>7800</v>
      </c>
      <c r="F340" s="259">
        <f>Products!I1694</f>
        <v>8190</v>
      </c>
      <c r="G340" s="199"/>
      <c r="H340" s="224"/>
      <c r="I340" s="224"/>
      <c r="J340" s="224"/>
      <c r="K340" s="348"/>
      <c r="L340" s="342" t="str">
        <f>Products!B1703</f>
        <v>замок Soft чорн.</v>
      </c>
      <c r="M340" s="363">
        <f>Products!E1703</f>
        <v>680.00000000000011</v>
      </c>
    </row>
    <row r="341" spans="1:13">
      <c r="A341" s="31"/>
      <c r="B341" s="23">
        <f>Products!B1695</f>
        <v>4</v>
      </c>
      <c r="C341" s="165"/>
      <c r="D341" s="260">
        <f>Products!E1695</f>
        <v>7220</v>
      </c>
      <c r="E341" s="266">
        <f>Products!G1695</f>
        <v>8320</v>
      </c>
      <c r="F341" s="261">
        <f>Products!I1695</f>
        <v>8900</v>
      </c>
      <c r="G341" s="199"/>
      <c r="H341" s="224"/>
      <c r="I341" s="224"/>
      <c r="J341" s="224"/>
      <c r="K341" s="348"/>
      <c r="L341" s="342" t="str">
        <f>Products!B1704</f>
        <v>замок Magnet</v>
      </c>
      <c r="M341" s="363">
        <f>Products!E1704</f>
        <v>800.00000000000011</v>
      </c>
    </row>
    <row r="342" spans="1:13">
      <c r="A342" s="31"/>
      <c r="G342" s="199"/>
      <c r="H342" s="224"/>
      <c r="I342" s="224"/>
      <c r="J342" s="224"/>
      <c r="K342" s="348"/>
      <c r="L342" s="342" t="str">
        <f>Products!B1705</f>
        <v>замок Magnet чорн.</v>
      </c>
      <c r="M342" s="363">
        <f>Products!E1705</f>
        <v>1000</v>
      </c>
    </row>
    <row r="343" spans="1:13">
      <c r="A343" s="31"/>
      <c r="G343" s="199"/>
      <c r="H343" s="224"/>
      <c r="I343" s="224"/>
      <c r="J343" s="224"/>
      <c r="K343" s="348"/>
      <c r="L343" s="342" t="str">
        <f>Products!B1706</f>
        <v>циліндр несиметричний</v>
      </c>
      <c r="M343" s="363">
        <f>Products!E1706</f>
        <v>380</v>
      </c>
    </row>
    <row r="344" spans="1:13">
      <c r="C344" s="34"/>
      <c r="D344" s="34"/>
      <c r="E344" s="34"/>
      <c r="F344" s="31"/>
      <c r="G344" s="31"/>
      <c r="J344" s="353"/>
      <c r="K344" s="348"/>
      <c r="L344" s="342" t="str">
        <f>Products!B1707</f>
        <v>завіса Prestige (1 шт)</v>
      </c>
      <c r="M344" s="363">
        <f>Products!E1707</f>
        <v>260</v>
      </c>
    </row>
    <row r="345" spans="1:13">
      <c r="C345" s="34"/>
      <c r="D345" s="34"/>
      <c r="E345" s="34"/>
      <c r="F345" s="31"/>
      <c r="G345" s="31"/>
      <c r="J345" s="353"/>
      <c r="K345" s="348"/>
      <c r="L345" s="342" t="str">
        <f>Products!B1708</f>
        <v>накладка на завіси (1 к-т)</v>
      </c>
      <c r="M345" s="363">
        <f>Products!E1708</f>
        <v>80</v>
      </c>
    </row>
    <row r="346" spans="1:13">
      <c r="C346" s="34"/>
      <c r="D346" s="34"/>
      <c r="E346" s="34"/>
      <c r="F346" s="31"/>
      <c r="G346" s="31"/>
      <c r="J346" s="353"/>
      <c r="K346" s="348"/>
      <c r="L346" s="342" t="str">
        <f>Products!B1709</f>
        <v>дверна ручка</v>
      </c>
      <c r="M346" s="363" t="str">
        <f>Products!E1709</f>
        <v>див. Таблицю Ручки</v>
      </c>
    </row>
    <row r="347" spans="1:13">
      <c r="C347" s="34"/>
      <c r="D347" s="34"/>
      <c r="E347" s="34"/>
      <c r="F347" s="31"/>
      <c r="G347" s="31"/>
      <c r="J347" s="353"/>
      <c r="K347" s="348"/>
      <c r="L347" s="342" t="str">
        <f>Products!B1710</f>
        <v>ДСП трубчасте</v>
      </c>
      <c r="M347" s="363">
        <f>Products!E1710</f>
        <v>930</v>
      </c>
    </row>
    <row r="348" spans="1:13" s="31" customFormat="1" ht="12.75" customHeight="1">
      <c r="B348" s="540" t="str">
        <f>TITLE!$C$32</f>
        <v>Полотна скляні: ЛАЙН</v>
      </c>
      <c r="C348" s="541"/>
      <c r="D348" s="541"/>
      <c r="E348" s="541"/>
      <c r="F348" s="170"/>
      <c r="G348" s="170"/>
      <c r="H348" s="170"/>
      <c r="I348" s="170"/>
      <c r="J348" s="343"/>
      <c r="K348" s="343"/>
      <c r="L348" s="355"/>
      <c r="M348" s="356"/>
    </row>
    <row r="349" spans="1:13">
      <c r="A349" s="31"/>
      <c r="B349" s="538" t="str">
        <f>Products!B1763</f>
        <v>модель</v>
      </c>
      <c r="C349" s="156" t="str">
        <f>Products!C1763</f>
        <v>покриття:</v>
      </c>
      <c r="D349" s="128" t="str">
        <f>Products!D1763</f>
        <v>VERTO-CELL</v>
      </c>
      <c r="E349" s="167" t="str">
        <f>Products!F1763</f>
        <v>RESIST</v>
      </c>
      <c r="F349" s="167" t="str">
        <f>Products!H1763</f>
        <v>Verto LINE-3D</v>
      </c>
      <c r="G349" s="167" t="str">
        <f>Products!J1763</f>
        <v>ЕКО Шпон</v>
      </c>
      <c r="H349" s="216"/>
      <c r="I349" s="216"/>
      <c r="J349" s="216"/>
      <c r="K349" s="345"/>
      <c r="L349" s="342" t="str">
        <f>CONCATENATE(Products!B1776," ",Products!C1776)</f>
        <v xml:space="preserve">полотно розміром 100 </v>
      </c>
      <c r="M349" s="358">
        <f>Products!E1776</f>
        <v>680.00000000000011</v>
      </c>
    </row>
    <row r="350" spans="1:13">
      <c r="A350" s="31"/>
      <c r="B350" s="538"/>
      <c r="C350" s="157" t="str">
        <f>Products!C1764</f>
        <v>заповнення:</v>
      </c>
      <c r="D350" s="139" t="str">
        <f>Products!D1764</f>
        <v>сотове заповнення</v>
      </c>
      <c r="E350" s="168" t="str">
        <f>Products!F1764</f>
        <v>сотове заповнення</v>
      </c>
      <c r="F350" s="168" t="str">
        <f>Products!H1764</f>
        <v>сотове заповнення</v>
      </c>
      <c r="G350" s="168" t="str">
        <f>Products!J1764</f>
        <v>сотове заповнення</v>
      </c>
      <c r="H350" s="216"/>
      <c r="I350" s="216"/>
      <c r="J350" s="216"/>
      <c r="K350" s="345"/>
      <c r="L350" s="342" t="str">
        <f>CONCATENATE(Products!B1777," ",Products!C1777)</f>
        <v xml:space="preserve">скло Триплекс матовий / чорний </v>
      </c>
      <c r="M350" s="349">
        <f>Products!E1777</f>
        <v>1060</v>
      </c>
    </row>
    <row r="351" spans="1:13" ht="12.75" customHeight="1">
      <c r="A351" s="31"/>
      <c r="B351" s="539"/>
      <c r="C351" s="158" t="str">
        <f>Products!C1765</f>
        <v>скління:</v>
      </c>
      <c r="D351" s="137" t="str">
        <f>Products!D1765</f>
        <v>Малюнок / Сатин (1)</v>
      </c>
      <c r="E351" s="174" t="str">
        <f>Products!F1765</f>
        <v>Малюнок / Сатин (1)</v>
      </c>
      <c r="F351" s="174" t="str">
        <f>Products!H1765</f>
        <v>Малюнок / Сатин (1)</v>
      </c>
      <c r="G351" s="174" t="str">
        <f>Products!J1765</f>
        <v>Малюнок / Сатин (1)</v>
      </c>
      <c r="H351" s="216"/>
      <c r="I351" s="216"/>
      <c r="J351" s="216"/>
      <c r="K351" s="345"/>
      <c r="L351" s="342" t="str">
        <f>CONCATENATE(Products!B1778," ",Products!C1778)</f>
        <v xml:space="preserve">скло Графіт / Бронза </v>
      </c>
      <c r="M351" s="349">
        <f>Products!E1778</f>
        <v>780</v>
      </c>
    </row>
    <row r="352" spans="1:13">
      <c r="A352" s="31"/>
      <c r="B352" s="13">
        <f>Products!B1766</f>
        <v>1</v>
      </c>
      <c r="C352" s="163"/>
      <c r="D352" s="191">
        <f>Products!E1766</f>
        <v>7240.0000000000009</v>
      </c>
      <c r="E352" s="183">
        <f>Products!G1766</f>
        <v>7820</v>
      </c>
      <c r="F352" s="183">
        <f>Products!I1766</f>
        <v>8160</v>
      </c>
      <c r="G352" s="183">
        <f>Products!K1766</f>
        <v>8570</v>
      </c>
      <c r="H352" s="224"/>
      <c r="I352" s="224"/>
      <c r="J352" s="224"/>
      <c r="K352" s="345"/>
      <c r="L352" s="342" t="str">
        <f>CONCATENATE(Products!B1779," ",Products!C1779)</f>
        <v xml:space="preserve">замок Soft </v>
      </c>
      <c r="M352" s="349">
        <f>Products!E1779</f>
        <v>550</v>
      </c>
    </row>
    <row r="353" spans="1:13">
      <c r="A353" s="31"/>
      <c r="B353" s="16">
        <f>Products!B1767</f>
        <v>2</v>
      </c>
      <c r="C353" s="164"/>
      <c r="D353" s="192">
        <f>Products!E1767</f>
        <v>8040</v>
      </c>
      <c r="E353" s="185">
        <f>Products!G1767</f>
        <v>8590</v>
      </c>
      <c r="F353" s="185">
        <f>Products!I1767</f>
        <v>8970</v>
      </c>
      <c r="G353" s="185">
        <f>Products!K1767</f>
        <v>9400</v>
      </c>
      <c r="H353" s="228"/>
      <c r="I353" s="228"/>
      <c r="J353" s="228"/>
      <c r="K353" s="345"/>
      <c r="L353" s="342" t="str">
        <f>CONCATENATE(Products!B1780," ",Products!C1780)</f>
        <v xml:space="preserve">замок Soft чорн. </v>
      </c>
      <c r="M353" s="349">
        <f>Products!E1780</f>
        <v>680.00000000000011</v>
      </c>
    </row>
    <row r="354" spans="1:13">
      <c r="A354" s="31"/>
      <c r="B354" s="16">
        <f>Products!B1768</f>
        <v>3</v>
      </c>
      <c r="C354" s="164"/>
      <c r="D354" s="192">
        <f>Products!E1768</f>
        <v>8040</v>
      </c>
      <c r="E354" s="185">
        <f>Products!G1768</f>
        <v>8590</v>
      </c>
      <c r="F354" s="185">
        <f>Products!I1768</f>
        <v>8970</v>
      </c>
      <c r="G354" s="185">
        <f>Products!K1768</f>
        <v>9400</v>
      </c>
      <c r="H354" s="224"/>
      <c r="I354" s="224"/>
      <c r="J354" s="224"/>
      <c r="K354" s="345"/>
      <c r="L354" s="342" t="str">
        <f>CONCATENATE(Products!B1781," ",Products!C1781)</f>
        <v xml:space="preserve">замок Magnet </v>
      </c>
      <c r="M354" s="349">
        <f>Products!E1781</f>
        <v>800.00000000000011</v>
      </c>
    </row>
    <row r="355" spans="1:13">
      <c r="A355" s="31"/>
      <c r="B355" s="16">
        <f>Products!B1769</f>
        <v>4</v>
      </c>
      <c r="C355" s="164"/>
      <c r="D355" s="192">
        <f>Products!E1769</f>
        <v>8040</v>
      </c>
      <c r="E355" s="185">
        <f>Products!G1769</f>
        <v>8590</v>
      </c>
      <c r="F355" s="185">
        <f>Products!I1769</f>
        <v>8970</v>
      </c>
      <c r="G355" s="185">
        <f>Products!K1769</f>
        <v>9400</v>
      </c>
      <c r="H355" s="224"/>
      <c r="I355" s="224"/>
      <c r="J355" s="224"/>
      <c r="K355" s="345"/>
      <c r="L355" s="342" t="str">
        <f>CONCATENATE(Products!B1782," ",Products!C1782)</f>
        <v xml:space="preserve">замок Magnet чорн. </v>
      </c>
      <c r="M355" s="349">
        <f>Products!E1782</f>
        <v>1000</v>
      </c>
    </row>
    <row r="356" spans="1:13">
      <c r="A356" s="31"/>
      <c r="B356" s="16">
        <f>Products!B1770</f>
        <v>5</v>
      </c>
      <c r="C356" s="164"/>
      <c r="D356" s="192">
        <f>Products!E1770</f>
        <v>8040</v>
      </c>
      <c r="E356" s="185">
        <f>Products!G1770</f>
        <v>8590</v>
      </c>
      <c r="F356" s="185">
        <f>Products!I1770</f>
        <v>8970</v>
      </c>
      <c r="G356" s="185">
        <f>Products!K1770</f>
        <v>9400</v>
      </c>
      <c r="H356" s="224"/>
      <c r="I356" s="224"/>
      <c r="J356" s="224"/>
      <c r="K356" s="345"/>
      <c r="L356" s="342" t="str">
        <f>CONCATENATE(Products!B1783," ",Products!C1783)</f>
        <v xml:space="preserve">циліндр несиметричний </v>
      </c>
      <c r="M356" s="349">
        <f>Products!E1783</f>
        <v>380</v>
      </c>
    </row>
    <row r="357" spans="1:13">
      <c r="A357" s="31"/>
      <c r="B357" s="16">
        <f>Products!B1771</f>
        <v>6</v>
      </c>
      <c r="C357" s="164"/>
      <c r="D357" s="192">
        <f>Products!E1771</f>
        <v>8040</v>
      </c>
      <c r="E357" s="185">
        <f>Products!G1771</f>
        <v>8590</v>
      </c>
      <c r="F357" s="185">
        <f>Products!I1771</f>
        <v>8970</v>
      </c>
      <c r="G357" s="185">
        <f>Products!K1771</f>
        <v>9400</v>
      </c>
      <c r="H357" s="224"/>
      <c r="I357" s="224"/>
      <c r="J357" s="224"/>
      <c r="K357" s="345"/>
      <c r="L357" s="342" t="str">
        <f>CONCATENATE(Products!B1784," ",Products!C1784)</f>
        <v xml:space="preserve">завіса Prestige (1 шт) </v>
      </c>
      <c r="M357" s="349">
        <f>Products!E1784</f>
        <v>260</v>
      </c>
    </row>
    <row r="358" spans="1:13">
      <c r="A358" s="31"/>
      <c r="B358" s="23">
        <f>Products!B1772</f>
        <v>7</v>
      </c>
      <c r="C358" s="165"/>
      <c r="D358" s="193">
        <f>Products!E1772</f>
        <v>8040</v>
      </c>
      <c r="E358" s="187">
        <f>Products!G1772</f>
        <v>8590</v>
      </c>
      <c r="F358" s="187">
        <f>Products!I1772</f>
        <v>8970</v>
      </c>
      <c r="G358" s="187">
        <f>Products!K1772</f>
        <v>9400</v>
      </c>
      <c r="H358" s="224"/>
      <c r="I358" s="224"/>
      <c r="J358" s="224"/>
      <c r="K358" s="345"/>
      <c r="L358" s="342" t="str">
        <f>CONCATENATE(Products!B1785," ",Products!C1785)</f>
        <v xml:space="preserve">накладка на завіси (1 к-т) </v>
      </c>
      <c r="M358" s="349">
        <f>Products!E1785</f>
        <v>80</v>
      </c>
    </row>
    <row r="359" spans="1:13">
      <c r="A359" s="31"/>
      <c r="B359" s="175"/>
      <c r="C359" s="176"/>
      <c r="D359" s="199"/>
      <c r="E359" s="199"/>
      <c r="F359" s="199"/>
      <c r="G359" s="31"/>
      <c r="H359" s="224"/>
      <c r="I359" s="224"/>
      <c r="J359" s="224"/>
      <c r="K359" s="345"/>
      <c r="L359" s="342" t="str">
        <f>CONCATENATE(Products!B1786," ",Products!C1786)</f>
        <v xml:space="preserve">дверна ручка </v>
      </c>
      <c r="M359" s="349" t="str">
        <f>Products!E1786</f>
        <v>див. Таблицю Ручки</v>
      </c>
    </row>
    <row r="360" spans="1:13">
      <c r="A360" s="31"/>
      <c r="B360" s="175"/>
      <c r="C360" s="176"/>
      <c r="D360" s="199"/>
      <c r="E360" s="199"/>
      <c r="F360" s="199"/>
      <c r="G360" s="31"/>
      <c r="H360" s="224"/>
      <c r="I360" s="224"/>
      <c r="J360" s="224"/>
      <c r="K360" s="345"/>
      <c r="L360" s="342" t="str">
        <f>CONCATENATE(Products!B1787," ",Products!C1787)</f>
        <v xml:space="preserve">ДСП трубчасте </v>
      </c>
      <c r="M360" s="349">
        <f>Products!E1787</f>
        <v>930</v>
      </c>
    </row>
    <row r="361" spans="1:13" s="31" customFormat="1" ht="12.75" customHeight="1">
      <c r="B361" s="540" t="str">
        <f>TITLE!$C$33</f>
        <v>Полотна скляні: ЕЛЕГАНТ</v>
      </c>
      <c r="C361" s="541"/>
      <c r="D361" s="541"/>
      <c r="E361" s="541"/>
      <c r="F361" s="170"/>
      <c r="G361" s="170"/>
      <c r="H361" s="170"/>
      <c r="I361" s="170"/>
      <c r="J361" s="343"/>
      <c r="K361" s="343"/>
      <c r="L361" s="355"/>
      <c r="M361" s="356"/>
    </row>
    <row r="362" spans="1:13" ht="12.75" customHeight="1">
      <c r="A362" s="31"/>
      <c r="B362" s="538" t="str">
        <f>Products!B1840</f>
        <v>модель</v>
      </c>
      <c r="C362" s="156" t="str">
        <f>Products!C1840</f>
        <v>покриття:</v>
      </c>
      <c r="D362" s="130" t="str">
        <f>Products!D1840</f>
        <v>VERTO-CELL</v>
      </c>
      <c r="E362" s="130" t="str">
        <f>Products!F1840</f>
        <v>RESIST</v>
      </c>
      <c r="F362" s="130" t="str">
        <f>Products!H1840</f>
        <v>Verto LINE-3D</v>
      </c>
      <c r="G362" s="130" t="str">
        <f>Products!J1840</f>
        <v>ЕКО Шпон</v>
      </c>
      <c r="H362" s="216"/>
      <c r="I362" s="216"/>
      <c r="J362" s="216"/>
      <c r="K362" s="357"/>
      <c r="L362" s="341" t="str">
        <f>CONCATENATE(Products!B1853," ",Products!C1853)</f>
        <v xml:space="preserve">скло Триплекс матовий / чорний </v>
      </c>
      <c r="M362" s="358">
        <f>Products!E1853</f>
        <v>1350</v>
      </c>
    </row>
    <row r="363" spans="1:13" ht="24.75" customHeight="1">
      <c r="A363" s="31"/>
      <c r="B363" s="538"/>
      <c r="C363" s="157" t="str">
        <f>Products!C1841</f>
        <v>заповнення:</v>
      </c>
      <c r="D363" s="140" t="str">
        <f>Products!D1841</f>
        <v>клеєний сосновий брус</v>
      </c>
      <c r="E363" s="140" t="str">
        <f>Products!F1841</f>
        <v>клеєний сосновий брус</v>
      </c>
      <c r="F363" s="140" t="str">
        <f>Products!H1841</f>
        <v>клеєний сосновий брус</v>
      </c>
      <c r="G363" s="140" t="str">
        <f>Products!J1841</f>
        <v>клеєний сосновий брус</v>
      </c>
      <c r="H363" s="216"/>
      <c r="I363" s="216"/>
      <c r="J363" s="216"/>
      <c r="K363" s="348"/>
      <c r="L363" s="342" t="str">
        <f>CONCATENATE(Products!B1854," ",Products!C1854)</f>
        <v xml:space="preserve">скло Графіт / Бронза </v>
      </c>
      <c r="M363" s="349">
        <f>Products!E1854</f>
        <v>920.00000000000011</v>
      </c>
    </row>
    <row r="364" spans="1:13" ht="12.75" customHeight="1">
      <c r="A364" s="31"/>
      <c r="B364" s="539"/>
      <c r="C364" s="158" t="str">
        <f>Products!C1842</f>
        <v>скління:</v>
      </c>
      <c r="D364" s="126" t="str">
        <f>Products!D1842</f>
        <v>Малюнок / Сатин (1)</v>
      </c>
      <c r="E364" s="126" t="str">
        <f>Products!F1842</f>
        <v>Малюнок / Сатин (1)</v>
      </c>
      <c r="F364" s="126" t="str">
        <f>Products!H1842</f>
        <v>Малюнок / Сатин (1)</v>
      </c>
      <c r="G364" s="126" t="str">
        <f>Products!J1842</f>
        <v>Малюнок / Сатин (1)</v>
      </c>
      <c r="H364" s="216"/>
      <c r="I364" s="216"/>
      <c r="J364" s="216"/>
      <c r="K364" s="348"/>
      <c r="L364" s="342" t="str">
        <f>CONCATENATE(Products!B1855," ",Products!C1855)</f>
        <v xml:space="preserve">замок Soft </v>
      </c>
      <c r="M364" s="349">
        <f>Products!E1855</f>
        <v>560</v>
      </c>
    </row>
    <row r="365" spans="1:13">
      <c r="A365" s="31"/>
      <c r="B365" s="13">
        <f>Products!B1843</f>
        <v>1</v>
      </c>
      <c r="C365" s="163"/>
      <c r="D365" s="184">
        <f>Products!E1843</f>
        <v>7800</v>
      </c>
      <c r="E365" s="184">
        <f>Products!G1843</f>
        <v>8720</v>
      </c>
      <c r="F365" s="184">
        <f>Products!I1843</f>
        <v>9150</v>
      </c>
      <c r="G365" s="184">
        <f>Products!K1843</f>
        <v>9590</v>
      </c>
      <c r="H365" s="224"/>
      <c r="I365" s="224"/>
      <c r="J365" s="224"/>
      <c r="K365" s="348"/>
      <c r="L365" s="342" t="str">
        <f>CONCATENATE(Products!B1856," ",Products!C1856)</f>
        <v xml:space="preserve">замок Soft чорн. </v>
      </c>
      <c r="M365" s="349">
        <f>Products!E1856</f>
        <v>680.00000000000011</v>
      </c>
    </row>
    <row r="366" spans="1:13">
      <c r="A366" s="31"/>
      <c r="B366" s="16">
        <f>Products!B1844</f>
        <v>2</v>
      </c>
      <c r="C366" s="164"/>
      <c r="D366" s="186">
        <f>Products!E1844</f>
        <v>8560</v>
      </c>
      <c r="E366" s="186">
        <f>Products!G1844</f>
        <v>9590</v>
      </c>
      <c r="F366" s="186">
        <f>Products!I1844</f>
        <v>10000</v>
      </c>
      <c r="G366" s="186">
        <f>Products!K1844</f>
        <v>10440</v>
      </c>
      <c r="H366" s="228"/>
      <c r="I366" s="228"/>
      <c r="J366" s="228"/>
      <c r="K366" s="348"/>
      <c r="L366" s="342" t="str">
        <f>CONCATENATE(Products!B1857," ",Products!C1857)</f>
        <v xml:space="preserve">замок Magnet </v>
      </c>
      <c r="M366" s="349">
        <f>Products!E1857</f>
        <v>800.00000000000011</v>
      </c>
    </row>
    <row r="367" spans="1:13">
      <c r="A367" s="31"/>
      <c r="B367" s="16">
        <f>Products!B1845</f>
        <v>3</v>
      </c>
      <c r="C367" s="164"/>
      <c r="D367" s="186">
        <f>Products!E1845</f>
        <v>8560</v>
      </c>
      <c r="E367" s="186">
        <f>Products!G1845</f>
        <v>9590</v>
      </c>
      <c r="F367" s="186">
        <f>Products!I1845</f>
        <v>10000</v>
      </c>
      <c r="G367" s="186">
        <f>Products!K1845</f>
        <v>10440</v>
      </c>
      <c r="H367" s="224"/>
      <c r="I367" s="224"/>
      <c r="J367" s="224"/>
      <c r="K367" s="348"/>
      <c r="L367" s="342" t="str">
        <f>CONCATENATE(Products!B1858," ",Products!C1858)</f>
        <v xml:space="preserve">замок Magnet чорн. </v>
      </c>
      <c r="M367" s="349">
        <f>Products!E1858</f>
        <v>1000</v>
      </c>
    </row>
    <row r="368" spans="1:13">
      <c r="A368" s="31"/>
      <c r="B368" s="16">
        <f>Products!B1846</f>
        <v>4</v>
      </c>
      <c r="C368" s="164"/>
      <c r="D368" s="186">
        <f>Products!E1846</f>
        <v>8560</v>
      </c>
      <c r="E368" s="186">
        <f>Products!G1846</f>
        <v>9590</v>
      </c>
      <c r="F368" s="186">
        <f>Products!I1846</f>
        <v>10000</v>
      </c>
      <c r="G368" s="186">
        <f>Products!K1846</f>
        <v>10440</v>
      </c>
      <c r="H368" s="224"/>
      <c r="I368" s="224"/>
      <c r="J368" s="224"/>
      <c r="K368" s="348"/>
      <c r="L368" s="342" t="str">
        <f>CONCATENATE(Products!B1859," ",Products!C1859)</f>
        <v xml:space="preserve">циліндр несиметричний </v>
      </c>
      <c r="M368" s="349">
        <f>Products!E1859</f>
        <v>390</v>
      </c>
    </row>
    <row r="369" spans="1:13">
      <c r="A369" s="31"/>
      <c r="B369" s="16">
        <f>Products!B1847</f>
        <v>5</v>
      </c>
      <c r="C369" s="164"/>
      <c r="D369" s="186">
        <f>Products!E1847</f>
        <v>8560</v>
      </c>
      <c r="E369" s="186">
        <f>Products!G1847</f>
        <v>9590</v>
      </c>
      <c r="F369" s="186">
        <f>Products!I1847</f>
        <v>10000</v>
      </c>
      <c r="G369" s="186">
        <f>Products!K1847</f>
        <v>10440</v>
      </c>
      <c r="H369" s="224"/>
      <c r="I369" s="224"/>
      <c r="J369" s="224"/>
      <c r="K369" s="348"/>
      <c r="L369" s="342" t="str">
        <f>CONCATENATE(Products!B1860," ",Products!C1860)</f>
        <v xml:space="preserve">завіса Prestige (1 шт) </v>
      </c>
      <c r="M369" s="349">
        <f>Products!E1860</f>
        <v>260</v>
      </c>
    </row>
    <row r="370" spans="1:13">
      <c r="A370" s="31"/>
      <c r="B370" s="16">
        <f>Products!B1848</f>
        <v>6</v>
      </c>
      <c r="C370" s="164"/>
      <c r="D370" s="186">
        <f>Products!E1848</f>
        <v>8560</v>
      </c>
      <c r="E370" s="186">
        <f>Products!G1848</f>
        <v>9590</v>
      </c>
      <c r="F370" s="186">
        <f>Products!I1848</f>
        <v>10000</v>
      </c>
      <c r="G370" s="186">
        <f>Products!K1848</f>
        <v>10440</v>
      </c>
      <c r="H370" s="224"/>
      <c r="I370" s="224"/>
      <c r="J370" s="224"/>
      <c r="K370" s="348"/>
      <c r="L370" s="342" t="str">
        <f>CONCATENATE(Products!B1861," ",Products!C1861)</f>
        <v xml:space="preserve">накладка на завіси (1 к-т) </v>
      </c>
      <c r="M370" s="349">
        <f>Products!E1861</f>
        <v>80</v>
      </c>
    </row>
    <row r="371" spans="1:13">
      <c r="A371" s="31"/>
      <c r="B371" s="23">
        <f>Products!B1849</f>
        <v>7</v>
      </c>
      <c r="C371" s="165"/>
      <c r="D371" s="188">
        <f>Products!E1849</f>
        <v>8560</v>
      </c>
      <c r="E371" s="188">
        <f>Products!G1849</f>
        <v>9590</v>
      </c>
      <c r="F371" s="188">
        <f>Products!I1849</f>
        <v>10000</v>
      </c>
      <c r="G371" s="188">
        <f>Products!K1849</f>
        <v>10440</v>
      </c>
      <c r="H371" s="224"/>
      <c r="I371" s="224"/>
      <c r="J371" s="224"/>
      <c r="K371" s="348"/>
      <c r="L371" s="342" t="str">
        <f>CONCATENATE(Products!B1862," ",Products!C1862)</f>
        <v xml:space="preserve">дверна ручка </v>
      </c>
      <c r="M371" s="349" t="str">
        <f>Products!E1862</f>
        <v>див. Таблицю Ручки</v>
      </c>
    </row>
    <row r="372" spans="1:13">
      <c r="C372" s="34"/>
      <c r="D372" s="34"/>
      <c r="E372" s="10"/>
      <c r="F372" s="31"/>
      <c r="G372" s="31"/>
      <c r="J372" s="353"/>
    </row>
    <row r="373" spans="1:13" s="31" customFormat="1" ht="12.75" customHeight="1">
      <c r="B373" s="540" t="str">
        <f>TITLE!$C$34</f>
        <v>Полотна скляні: ГЛАСФОРД</v>
      </c>
      <c r="C373" s="541"/>
      <c r="D373" s="541"/>
      <c r="E373" s="541"/>
      <c r="F373" s="170"/>
      <c r="G373" s="170"/>
      <c r="H373" s="170"/>
      <c r="I373" s="170"/>
      <c r="J373" s="343"/>
      <c r="K373" s="343"/>
      <c r="L373" s="355"/>
      <c r="M373" s="356"/>
    </row>
    <row r="374" spans="1:13">
      <c r="A374" s="31"/>
      <c r="B374" s="538" t="str">
        <f>Products!B1915</f>
        <v>модель</v>
      </c>
      <c r="C374" s="156" t="str">
        <f>Products!C1915</f>
        <v>покриття:</v>
      </c>
      <c r="D374" s="130" t="str">
        <f>Products!D1915</f>
        <v>СКЛО</v>
      </c>
      <c r="E374" s="10"/>
      <c r="F374" s="31"/>
      <c r="G374" s="31"/>
      <c r="H374" s="216"/>
      <c r="I374" s="216"/>
      <c r="J374" s="216"/>
      <c r="K374" s="345"/>
      <c r="L374" s="341" t="str">
        <f>CONCATENATE(Products!B1926," ",Products!C1926)</f>
        <v xml:space="preserve">полотно розміром 100 </v>
      </c>
      <c r="M374" s="358">
        <f>Products!E1926</f>
        <v>3300</v>
      </c>
    </row>
    <row r="375" spans="1:13">
      <c r="A375" s="31"/>
      <c r="B375" s="538"/>
      <c r="C375" s="157" t="str">
        <f>Products!C1916</f>
        <v>заповнення:</v>
      </c>
      <c r="D375" s="140" t="str">
        <f>Products!D1916</f>
        <v>гартоване скло</v>
      </c>
      <c r="E375" s="10"/>
      <c r="F375" s="31"/>
      <c r="G375" s="31"/>
      <c r="H375" s="216"/>
      <c r="I375" s="216"/>
      <c r="J375" s="216"/>
      <c r="K375" s="348"/>
      <c r="L375" s="342" t="str">
        <f>CONCATENATE(Products!B1927," ",Products!C1927)</f>
        <v xml:space="preserve">скло Триплекс матовий / чорний </v>
      </c>
      <c r="M375" s="349">
        <f>Products!E1927</f>
        <v>2070</v>
      </c>
    </row>
    <row r="376" spans="1:13" ht="12.75" customHeight="1">
      <c r="A376" s="31"/>
      <c r="B376" s="539"/>
      <c r="C376" s="158" t="str">
        <f>Products!C1917</f>
        <v>скління:</v>
      </c>
      <c r="D376" s="126" t="str">
        <f>Products!D1917</f>
        <v>Малюнок / Сатин (1)</v>
      </c>
      <c r="E376" s="10"/>
      <c r="F376" s="31"/>
      <c r="G376" s="31"/>
      <c r="H376" s="216"/>
      <c r="I376" s="216"/>
      <c r="J376" s="216"/>
      <c r="K376" s="348"/>
      <c r="L376" s="342" t="str">
        <f>CONCATENATE(Products!B1928," ",Products!C1928)</f>
        <v xml:space="preserve">скло Графіт / Бронза </v>
      </c>
      <c r="M376" s="349">
        <f>Products!E1928</f>
        <v>1650</v>
      </c>
    </row>
    <row r="377" spans="1:13">
      <c r="A377" s="31"/>
      <c r="B377" s="13">
        <f>Products!B1918</f>
        <v>1</v>
      </c>
      <c r="C377" s="163"/>
      <c r="D377" s="184">
        <f>Products!E1918</f>
        <v>16500</v>
      </c>
      <c r="E377" s="10"/>
      <c r="F377" s="230"/>
      <c r="G377" s="227"/>
      <c r="H377" s="224"/>
      <c r="I377" s="224"/>
      <c r="J377" s="224"/>
      <c r="K377" s="348"/>
      <c r="L377" s="342" t="str">
        <f>CONCATENATE(Products!B1929," ",Products!C1929)</f>
        <v xml:space="preserve">скло Дзеркало </v>
      </c>
      <c r="M377" s="349">
        <f>Products!E1929</f>
        <v>5400</v>
      </c>
    </row>
    <row r="378" spans="1:13">
      <c r="A378" s="31"/>
      <c r="B378" s="16">
        <f>Products!B1919</f>
        <v>2</v>
      </c>
      <c r="C378" s="164"/>
      <c r="D378" s="186">
        <f>Products!E1919</f>
        <v>17250</v>
      </c>
      <c r="E378" s="10"/>
      <c r="F378" s="230"/>
      <c r="G378" s="227"/>
      <c r="H378" s="228"/>
      <c r="I378" s="228"/>
      <c r="J378" s="228"/>
      <c r="K378" s="348"/>
      <c r="L378" s="342" t="str">
        <f>CONCATENATE(Products!B1930," ",Products!C1930)</f>
        <v xml:space="preserve">замок Glass під ключ / циліндр </v>
      </c>
      <c r="M378" s="349">
        <f>Products!E1930</f>
        <v>1240.0000000000002</v>
      </c>
    </row>
    <row r="379" spans="1:13">
      <c r="A379" s="31"/>
      <c r="B379" s="16">
        <f>Products!B1920</f>
        <v>3</v>
      </c>
      <c r="C379" s="164"/>
      <c r="D379" s="186">
        <f>Products!E1920</f>
        <v>17250</v>
      </c>
      <c r="E379" s="10"/>
      <c r="F379" s="230"/>
      <c r="G379" s="31"/>
      <c r="H379" s="224"/>
      <c r="I379" s="224"/>
      <c r="J379" s="224"/>
      <c r="K379" s="348"/>
      <c r="L379" s="342" t="str">
        <f>CONCATENATE(Products!B1931," ",Products!C1931)</f>
        <v xml:space="preserve">замок Glass сантехнічний </v>
      </c>
      <c r="M379" s="354">
        <f>Products!E1931</f>
        <v>2940</v>
      </c>
    </row>
    <row r="380" spans="1:13">
      <c r="A380" s="31"/>
      <c r="B380" s="16">
        <f>Products!B1921</f>
        <v>4</v>
      </c>
      <c r="C380" s="164"/>
      <c r="D380" s="186">
        <f>Products!E1921</f>
        <v>17250</v>
      </c>
      <c r="E380" s="10"/>
      <c r="F380" s="230"/>
      <c r="G380" s="31"/>
      <c r="H380" s="224"/>
      <c r="I380" s="224"/>
      <c r="J380" s="224"/>
      <c r="K380" s="216"/>
      <c r="L380" s="364"/>
      <c r="M380" s="365"/>
    </row>
    <row r="381" spans="1:13">
      <c r="A381" s="31"/>
      <c r="B381" s="23">
        <f>Products!B1922</f>
        <v>5</v>
      </c>
      <c r="C381" s="165"/>
      <c r="D381" s="188">
        <f>Products!E1922</f>
        <v>17250</v>
      </c>
      <c r="E381" s="10"/>
      <c r="F381" s="230"/>
      <c r="G381" s="31"/>
      <c r="H381" s="224"/>
      <c r="I381" s="224"/>
      <c r="J381" s="224"/>
      <c r="K381" s="216"/>
      <c r="L381" s="364"/>
      <c r="M381" s="365"/>
    </row>
    <row r="382" spans="1:13">
      <c r="C382" s="34"/>
      <c r="D382" s="34"/>
      <c r="E382" s="10"/>
      <c r="F382" s="31"/>
      <c r="G382" s="31"/>
      <c r="J382" s="353"/>
      <c r="K382" s="353"/>
      <c r="L382" s="353"/>
      <c r="M382" s="353"/>
    </row>
    <row r="383" spans="1:13">
      <c r="B383" s="542" t="str">
        <f>Products!B1981</f>
        <v>Полотна: ДОБОР LADA</v>
      </c>
      <c r="C383" s="541"/>
      <c r="D383" s="541"/>
      <c r="E383" s="541"/>
      <c r="F383" s="170"/>
      <c r="G383" s="170"/>
      <c r="H383" s="170"/>
      <c r="I383" s="170"/>
      <c r="J383" s="343"/>
      <c r="K383" s="343"/>
      <c r="L383" s="355"/>
      <c r="M383" s="356"/>
    </row>
    <row r="384" spans="1:13">
      <c r="B384" s="537" t="str">
        <f>Products!B1983</f>
        <v>модель</v>
      </c>
      <c r="C384" s="156" t="str">
        <f>Products!C1983</f>
        <v>покриття:</v>
      </c>
      <c r="D384" s="128" t="str">
        <f>Products!D1983</f>
        <v>Verto-CELL</v>
      </c>
      <c r="E384" s="167" t="str">
        <f>Products!F1983</f>
        <v>UNI-MAT</v>
      </c>
      <c r="F384" s="167" t="str">
        <f>Products!H1983</f>
        <v>RESIST</v>
      </c>
      <c r="G384" s="130" t="str">
        <f>Products!J1983</f>
        <v>Verto LINE-3D</v>
      </c>
      <c r="H384" s="130" t="str">
        <f>Products!L1983</f>
        <v>ЕКО Шпон</v>
      </c>
      <c r="I384" s="216"/>
      <c r="J384" s="216"/>
      <c r="K384" s="357"/>
      <c r="L384" s="341" t="str">
        <f>Products!B1994</f>
        <v>скло Графіт / Бронза</v>
      </c>
      <c r="M384" s="358">
        <f>Products!E1994</f>
        <v>510</v>
      </c>
    </row>
    <row r="385" spans="1:13" ht="24" customHeight="1">
      <c r="B385" s="538"/>
      <c r="C385" s="157" t="str">
        <f>Products!C1984</f>
        <v>заповнення:</v>
      </c>
      <c r="D385" s="138" t="str">
        <f>Products!D1984</f>
        <v>клеєний сосновий брус</v>
      </c>
      <c r="E385" s="168" t="str">
        <f>Products!F1984</f>
        <v>клеєний сосновий брус</v>
      </c>
      <c r="F385" s="168" t="str">
        <f>Products!H1984</f>
        <v>клеєний сосновий брус</v>
      </c>
      <c r="G385" s="140" t="str">
        <f>Products!J1984</f>
        <v>клеєний сосновий брус</v>
      </c>
      <c r="H385" s="140" t="str">
        <f>Products!L1984</f>
        <v>клеєний сосновий брус</v>
      </c>
      <c r="I385" s="216"/>
      <c r="J385" s="216"/>
      <c r="K385" s="348"/>
      <c r="L385" s="342" t="str">
        <f>Products!B1995</f>
        <v>скло Lacobel чорне</v>
      </c>
      <c r="M385" s="349">
        <f>Products!E1995</f>
        <v>550</v>
      </c>
    </row>
    <row r="386" spans="1:13">
      <c r="B386" s="539"/>
      <c r="C386" s="158" t="str">
        <f>Products!C1985</f>
        <v>скління:</v>
      </c>
      <c r="D386" s="125" t="str">
        <f>Products!D1985</f>
        <v>Сатин</v>
      </c>
      <c r="E386" s="161" t="str">
        <f>Products!F1985</f>
        <v>Сатин</v>
      </c>
      <c r="F386" s="161" t="str">
        <f>Products!H1985</f>
        <v>Сатин</v>
      </c>
      <c r="G386" s="126" t="str">
        <f>Products!J1985</f>
        <v>Сатин</v>
      </c>
      <c r="H386" s="126" t="str">
        <f>Products!L1985</f>
        <v>Сатин</v>
      </c>
      <c r="I386" s="216"/>
      <c r="J386" s="216"/>
      <c r="K386" s="348"/>
      <c r="L386" s="342" t="str">
        <f>Products!B1996</f>
        <v>завіса Prestige (1 шт)</v>
      </c>
      <c r="M386" s="349">
        <f>Products!E1996</f>
        <v>260</v>
      </c>
    </row>
    <row r="387" spans="1:13">
      <c r="B387" s="13" t="str">
        <f>Products!B1986</f>
        <v>L1.0 - 1.1</v>
      </c>
      <c r="C387" s="163"/>
      <c r="D387" s="191">
        <f>Products!E1986</f>
        <v>5920.0000000000009</v>
      </c>
      <c r="E387" s="183">
        <f>Products!G1986</f>
        <v>6790.0000000000009</v>
      </c>
      <c r="F387" s="183">
        <f>Products!I1986</f>
        <v>7010</v>
      </c>
      <c r="G387" s="183">
        <f>Products!K1986</f>
        <v>7440</v>
      </c>
      <c r="H387" s="183">
        <f>Products!M1986</f>
        <v>7720</v>
      </c>
      <c r="J387" s="353"/>
      <c r="K387" s="348"/>
      <c r="L387" s="342" t="str">
        <f>Products!B1997</f>
        <v>накладка на завіси (1 к-т)</v>
      </c>
      <c r="M387" s="349">
        <f>Products!E1997</f>
        <v>80</v>
      </c>
    </row>
    <row r="388" spans="1:13">
      <c r="B388" s="114" t="str">
        <f>Products!B1987</f>
        <v>L3.0 - 3.2</v>
      </c>
      <c r="C388" s="173"/>
      <c r="D388" s="291">
        <f>Products!E1987</f>
        <v>6040.0000000000009</v>
      </c>
      <c r="E388" s="292">
        <f>Products!G1987</f>
        <v>6920</v>
      </c>
      <c r="F388" s="292">
        <f>Products!I1987</f>
        <v>7160</v>
      </c>
      <c r="G388" s="292">
        <f>Products!K1987</f>
        <v>7590</v>
      </c>
      <c r="H388" s="292">
        <f>Products!M1987</f>
        <v>8350</v>
      </c>
      <c r="J388" s="353"/>
    </row>
    <row r="389" spans="1:13">
      <c r="B389" s="114" t="str">
        <f>Products!B1988</f>
        <v>L4.0 - 4.1</v>
      </c>
      <c r="C389" s="173"/>
      <c r="D389" s="291">
        <f>Products!E1988</f>
        <v>5920.0000000000009</v>
      </c>
      <c r="E389" s="292">
        <f>Products!G1988</f>
        <v>6780</v>
      </c>
      <c r="F389" s="292">
        <f>Products!I1988</f>
        <v>7010</v>
      </c>
      <c r="G389" s="292">
        <f>Products!K1988</f>
        <v>7440</v>
      </c>
      <c r="H389" s="292">
        <f>Products!M1988</f>
        <v>7720</v>
      </c>
      <c r="J389" s="353"/>
      <c r="K389" s="216"/>
      <c r="L389" s="364"/>
      <c r="M389" s="365"/>
    </row>
    <row r="390" spans="1:13">
      <c r="B390" s="114" t="str">
        <f>Products!B1989</f>
        <v>L5.0 - 5.1</v>
      </c>
      <c r="C390" s="173"/>
      <c r="D390" s="291">
        <f>Products!E1989</f>
        <v>6130.0000000000009</v>
      </c>
      <c r="E390" s="292">
        <f>Products!G1989</f>
        <v>7050</v>
      </c>
      <c r="F390" s="292">
        <f>Products!I1989</f>
        <v>7240.0000000000009</v>
      </c>
      <c r="G390" s="292">
        <f>Products!K1989</f>
        <v>7660</v>
      </c>
      <c r="H390" s="292">
        <f>Products!M1989</f>
        <v>7910</v>
      </c>
      <c r="J390" s="353"/>
      <c r="K390" s="216"/>
      <c r="L390" s="364"/>
      <c r="M390" s="365"/>
    </row>
    <row r="391" spans="1:13">
      <c r="B391" s="23" t="str">
        <f>Products!B1990</f>
        <v>L6.0 - 6.1</v>
      </c>
      <c r="C391" s="165"/>
      <c r="D391" s="187">
        <f>Products!E1990</f>
        <v>6350</v>
      </c>
      <c r="E391" s="187">
        <f>Products!G1990</f>
        <v>7280</v>
      </c>
      <c r="F391" s="187">
        <f>Products!I1990</f>
        <v>7460</v>
      </c>
      <c r="G391" s="187">
        <f>Products!K1990</f>
        <v>7910</v>
      </c>
      <c r="H391" s="187">
        <f>Products!M1990</f>
        <v>8150</v>
      </c>
      <c r="J391" s="353"/>
      <c r="K391" s="216"/>
      <c r="L391" s="364"/>
      <c r="M391" s="365"/>
    </row>
    <row r="392" spans="1:13">
      <c r="C392" s="34"/>
      <c r="D392" s="34"/>
      <c r="E392" s="10"/>
      <c r="F392" s="31"/>
      <c r="G392" s="31"/>
      <c r="J392" s="353"/>
      <c r="K392" s="353"/>
      <c r="L392" s="353"/>
      <c r="M392" s="353"/>
    </row>
    <row r="393" spans="1:13" s="31" customFormat="1">
      <c r="B393" s="553" t="str">
        <f>Products!B2048</f>
        <v>Полотна: ДОБОРИ</v>
      </c>
      <c r="C393" s="554"/>
      <c r="D393" s="554"/>
      <c r="E393" s="554"/>
      <c r="F393" s="170"/>
      <c r="G393" s="170"/>
      <c r="H393" s="170"/>
      <c r="I393" s="170"/>
      <c r="J393" s="343"/>
      <c r="K393" s="343"/>
      <c r="L393" s="551"/>
      <c r="M393" s="552"/>
    </row>
    <row r="394" spans="1:13">
      <c r="A394" s="31"/>
      <c r="B394" s="538" t="str">
        <f>Products!B2050</f>
        <v>модель</v>
      </c>
      <c r="C394" s="166" t="str">
        <f>Products!C2050</f>
        <v>покриття:</v>
      </c>
      <c r="D394" s="162" t="str">
        <f>Products!D2050</f>
        <v>SIMPL / V-CELL</v>
      </c>
      <c r="E394" s="167" t="str">
        <f>Products!F2050</f>
        <v>UNI-MAT</v>
      </c>
      <c r="F394" s="167" t="str">
        <f>Products!H2050</f>
        <v>RESIST</v>
      </c>
      <c r="G394" s="46"/>
      <c r="H394" s="216"/>
      <c r="I394" s="216"/>
      <c r="J394" s="216"/>
      <c r="K394" s="345"/>
      <c r="L394" s="342" t="str">
        <f>CONCATENATE(Products!B2058," ",Products!C2058)</f>
        <v xml:space="preserve">третя завіса </v>
      </c>
      <c r="M394" s="358">
        <f>Products!E2058</f>
        <v>80</v>
      </c>
    </row>
    <row r="395" spans="1:13">
      <c r="A395" s="31"/>
      <c r="B395" s="538"/>
      <c r="C395" s="157" t="str">
        <f>Products!C2051</f>
        <v>заповнення:</v>
      </c>
      <c r="D395" s="139" t="str">
        <f>Products!D2051</f>
        <v>сотове заповнення</v>
      </c>
      <c r="E395" s="168" t="str">
        <f>Products!F2051</f>
        <v>сотове заповнення</v>
      </c>
      <c r="F395" s="168" t="str">
        <f>Products!H2051</f>
        <v>сотове заповнення</v>
      </c>
      <c r="G395" s="146"/>
      <c r="H395" s="216"/>
      <c r="I395" s="216"/>
      <c r="J395" s="216"/>
      <c r="K395" s="345"/>
      <c r="L395" s="342" t="str">
        <f>CONCATENATE(Products!B2059," ",Products!C2059)</f>
        <v>скло Триплекс матовий / чорний мод.Б</v>
      </c>
      <c r="M395" s="349">
        <f>Products!E2059</f>
        <v>1130</v>
      </c>
    </row>
    <row r="396" spans="1:13" ht="12.75" customHeight="1">
      <c r="A396" s="31"/>
      <c r="B396" s="539"/>
      <c r="C396" s="158" t="str">
        <f>Products!C2052</f>
        <v>скління:</v>
      </c>
      <c r="D396" s="137" t="str">
        <f>Products!D2052</f>
        <v>Сатин (Б)</v>
      </c>
      <c r="E396" s="174" t="str">
        <f>Products!F2052</f>
        <v>Сатин (Б)</v>
      </c>
      <c r="F396" s="174" t="str">
        <f>Products!H2052</f>
        <v>Сатин (Б)</v>
      </c>
      <c r="G396" s="160"/>
      <c r="H396" s="216"/>
      <c r="I396" s="216"/>
      <c r="J396" s="216"/>
      <c r="K396" s="345"/>
      <c r="L396" s="342" t="str">
        <f>CONCATENATE(Products!B2060," ",Products!C2060)</f>
        <v>скло Графіт / Бронза мод.Б</v>
      </c>
      <c r="M396" s="349">
        <f>Products!E2060</f>
        <v>740.00000000000011</v>
      </c>
    </row>
    <row r="397" spans="1:13">
      <c r="A397" s="31"/>
      <c r="B397" s="13" t="str">
        <f>Products!B2053</f>
        <v>А</v>
      </c>
      <c r="C397" s="163"/>
      <c r="D397" s="196">
        <f>Products!E2053</f>
        <v>2310</v>
      </c>
      <c r="E397" s="183">
        <f>Products!G2053</f>
        <v>2660.0000000000005</v>
      </c>
      <c r="F397" s="183">
        <f>Products!I2053</f>
        <v>2950</v>
      </c>
      <c r="G397" s="97"/>
      <c r="H397" s="224"/>
      <c r="I397" s="224"/>
      <c r="J397" s="224"/>
      <c r="K397" s="345"/>
      <c r="L397" s="342" t="str">
        <f>CONCATENATE(Products!B2061," ",Products!C2061)</f>
        <v xml:space="preserve">завіса Prestige (1 шт) </v>
      </c>
      <c r="M397" s="349">
        <f>Products!E2061</f>
        <v>260</v>
      </c>
    </row>
    <row r="398" spans="1:13">
      <c r="A398" s="31"/>
      <c r="B398" s="23" t="str">
        <f>Products!B2054</f>
        <v>Б</v>
      </c>
      <c r="C398" s="165"/>
      <c r="D398" s="193">
        <f>Products!E2054</f>
        <v>4630</v>
      </c>
      <c r="E398" s="187">
        <f>Products!G2054</f>
        <v>5150</v>
      </c>
      <c r="F398" s="187">
        <f>Products!I2054</f>
        <v>5320.0000000000009</v>
      </c>
      <c r="G398" s="97"/>
      <c r="H398" s="224"/>
      <c r="I398" s="224"/>
      <c r="J398" s="224"/>
      <c r="K398" s="345"/>
      <c r="L398" s="342" t="str">
        <f>CONCATENATE(Products!B2062," ",Products!C2062)</f>
        <v xml:space="preserve">накладка на завіси (1 к-т) </v>
      </c>
      <c r="M398" s="349">
        <f>Products!E2062</f>
        <v>80</v>
      </c>
    </row>
    <row r="399" spans="1:13">
      <c r="A399" s="31"/>
      <c r="B399" s="175"/>
      <c r="C399" s="176"/>
      <c r="D399" s="97"/>
      <c r="E399" s="97"/>
      <c r="F399" s="97"/>
      <c r="G399" s="97"/>
      <c r="H399" s="224"/>
      <c r="I399" s="224"/>
      <c r="J399" s="224"/>
      <c r="K399" s="345"/>
      <c r="L399" s="342" t="str">
        <f>CONCATENATE(Products!B2063," ",Products!C2063)</f>
        <v>ДСП трубчасте мод.A</v>
      </c>
      <c r="M399" s="349">
        <f>Products!E2063</f>
        <v>930</v>
      </c>
    </row>
    <row r="400" spans="1:13">
      <c r="C400" s="34"/>
      <c r="D400" s="34"/>
      <c r="E400" s="10"/>
      <c r="F400" s="31"/>
      <c r="G400" s="31"/>
      <c r="J400" s="353"/>
    </row>
    <row r="401" spans="1:13" s="31" customFormat="1" ht="12.75" customHeight="1">
      <c r="B401" s="542" t="str">
        <f>TITLE!$C$39</f>
        <v>Розсувна система Verto-SLIDE</v>
      </c>
      <c r="C401" s="548"/>
      <c r="D401" s="548"/>
      <c r="E401" s="548"/>
      <c r="F401" s="170"/>
      <c r="G401" s="170"/>
      <c r="H401" s="170"/>
      <c r="I401" s="170"/>
      <c r="J401" s="343"/>
      <c r="K401" s="355"/>
      <c r="L401" s="355"/>
      <c r="M401" s="356"/>
    </row>
    <row r="402" spans="1:13" ht="24.75" customHeight="1">
      <c r="A402" s="31"/>
      <c r="B402" s="555" t="str">
        <f>Products!B2116</f>
        <v>(без полотна)</v>
      </c>
      <c r="C402" s="156" t="str">
        <f>Products!C2116</f>
        <v>покриття:</v>
      </c>
      <c r="D402" s="129" t="str">
        <f>Products!D2116</f>
        <v>SIMPL / V-CELL</v>
      </c>
      <c r="E402" s="167" t="str">
        <f>Products!F2116</f>
        <v>UNI-MAT</v>
      </c>
      <c r="F402" s="167" t="str">
        <f>Products!H2116</f>
        <v>RESIST</v>
      </c>
      <c r="G402" s="167" t="str">
        <f>Products!J2116</f>
        <v>Verto LINE-3D</v>
      </c>
      <c r="H402" s="167" t="str">
        <f>Products!L2116</f>
        <v>ЕКО Шпон / ЛОФТ</v>
      </c>
      <c r="I402" s="47"/>
      <c r="J402" s="47"/>
      <c r="K402" s="345"/>
      <c r="L402" s="342" t="str">
        <f>Products!B2122</f>
        <v>відповідна планка замка</v>
      </c>
      <c r="M402" s="366">
        <f>Products!E2122</f>
        <v>110</v>
      </c>
    </row>
    <row r="403" spans="1:13" ht="12.75" customHeight="1">
      <c r="A403" s="31"/>
      <c r="B403" s="556"/>
      <c r="C403" s="158" t="str">
        <f>Products!C2117</f>
        <v>виконання:</v>
      </c>
      <c r="D403" s="137" t="str">
        <f>Products!D2117</f>
        <v>одностулкове</v>
      </c>
      <c r="E403" s="161" t="str">
        <f>Products!F2117</f>
        <v>одностулкове</v>
      </c>
      <c r="F403" s="161" t="str">
        <f>Products!H2117</f>
        <v>одностулкове</v>
      </c>
      <c r="G403" s="161" t="str">
        <f>Products!J2117</f>
        <v>одностулкове</v>
      </c>
      <c r="H403" s="161" t="str">
        <f>Products!L2117</f>
        <v>одностулкове</v>
      </c>
      <c r="I403" s="47"/>
      <c r="J403" s="47"/>
      <c r="K403" s="46"/>
      <c r="L403" s="353"/>
      <c r="M403" s="353"/>
    </row>
    <row r="404" spans="1:13">
      <c r="A404" s="31"/>
      <c r="B404" s="49" t="str">
        <f>Products!B2118</f>
        <v>Розсувна система</v>
      </c>
      <c r="C404" s="50"/>
      <c r="D404" s="197">
        <f>Products!E2118</f>
        <v>3780</v>
      </c>
      <c r="E404" s="195">
        <f>Products!G2118</f>
        <v>3920</v>
      </c>
      <c r="F404" s="195">
        <f>Products!I2118</f>
        <v>4030</v>
      </c>
      <c r="G404" s="195">
        <f>Products!K2118</f>
        <v>4370</v>
      </c>
      <c r="H404" s="195">
        <f>Products!M2118</f>
        <v>4620</v>
      </c>
      <c r="I404" s="29"/>
      <c r="J404" s="29"/>
      <c r="K404" s="46"/>
      <c r="L404" s="353"/>
      <c r="M404" s="353"/>
    </row>
    <row r="405" spans="1:13">
      <c r="C405" s="34"/>
      <c r="D405" s="34"/>
      <c r="E405" s="34"/>
      <c r="J405" s="353"/>
      <c r="K405" s="353"/>
      <c r="L405" s="353"/>
      <c r="M405" s="353"/>
    </row>
    <row r="406" spans="1:13" s="31" customFormat="1" ht="12.75" customHeight="1">
      <c r="B406" s="542" t="str">
        <f>TITLE!$C$42</f>
        <v>Дверна коробка STANDARD</v>
      </c>
      <c r="C406" s="548"/>
      <c r="D406" s="548"/>
      <c r="E406" s="548"/>
      <c r="F406" s="295" t="str">
        <f>Products!E2173</f>
        <v>Для Дверних Полотен з Фальцем</v>
      </c>
      <c r="G406" s="170"/>
      <c r="H406" s="170"/>
      <c r="I406" s="170"/>
      <c r="J406" s="343"/>
      <c r="K406" s="343"/>
      <c r="L406" s="355"/>
      <c r="M406" s="356"/>
    </row>
    <row r="407" spans="1:13" ht="26.25" customHeight="1">
      <c r="A407" s="31"/>
      <c r="B407" s="538" t="str">
        <f>Products!B2175</f>
        <v>модель</v>
      </c>
      <c r="C407" s="156" t="str">
        <f>Products!C2175</f>
        <v>покриття:</v>
      </c>
      <c r="D407" s="499" t="str">
        <f>Products!D2175</f>
        <v>SIMPLEX / VERTO-CELL</v>
      </c>
      <c r="E407" s="500"/>
      <c r="F407" s="499" t="str">
        <f>Products!H2175</f>
        <v>UNI-MAT</v>
      </c>
      <c r="G407" s="500"/>
      <c r="H407" s="499" t="str">
        <f>Products!L2175</f>
        <v>RESIST</v>
      </c>
      <c r="I407" s="500"/>
      <c r="J407" s="499" t="str">
        <f>Products!P2175</f>
        <v>Verto LINE-3D</v>
      </c>
      <c r="K407" s="500"/>
      <c r="L407" s="499" t="str">
        <f>Products!T2175</f>
        <v>ЕКО Шпон / LOFT</v>
      </c>
      <c r="M407" s="500"/>
    </row>
    <row r="408" spans="1:13" ht="12.75" customHeight="1">
      <c r="A408" s="31"/>
      <c r="B408" s="538"/>
      <c r="C408" s="158" t="str">
        <f>Products!C2176</f>
        <v>виконання:</v>
      </c>
      <c r="D408" s="255" t="str">
        <f>Products!D2176</f>
        <v>одностулкове</v>
      </c>
      <c r="E408" s="263" t="str">
        <f>Products!F2176</f>
        <v>двостулкові</v>
      </c>
      <c r="F408" s="255" t="str">
        <f>Products!H2176</f>
        <v>одностулкове</v>
      </c>
      <c r="G408" s="263" t="str">
        <f>Products!J2176</f>
        <v>двостулкові</v>
      </c>
      <c r="H408" s="255" t="str">
        <f>Products!L2176</f>
        <v>одностулкове</v>
      </c>
      <c r="I408" s="263" t="str">
        <f>Products!N2176</f>
        <v>двостулкові</v>
      </c>
      <c r="J408" s="255" t="str">
        <f>Products!P2176</f>
        <v>одностулкове</v>
      </c>
      <c r="K408" s="263" t="str">
        <f>Products!R2176</f>
        <v>двостулкові</v>
      </c>
      <c r="L408" s="255" t="str">
        <f>Products!T2176</f>
        <v>одностулкове</v>
      </c>
      <c r="M408" s="263" t="str">
        <f>Products!V2176</f>
        <v>двостулкові</v>
      </c>
    </row>
    <row r="409" spans="1:13">
      <c r="A409" s="31"/>
      <c r="B409" s="13" t="str">
        <f>Products!B2177</f>
        <v>Коробка МДФ 80 мм</v>
      </c>
      <c r="C409" s="179"/>
      <c r="D409" s="256">
        <f>Products!E2177</f>
        <v>1830</v>
      </c>
      <c r="E409" s="257">
        <f>Products!G2177</f>
        <v>2560</v>
      </c>
      <c r="F409" s="256">
        <f>Products!I2177</f>
        <v>2070</v>
      </c>
      <c r="G409" s="257">
        <f>Products!K2177</f>
        <v>2890</v>
      </c>
      <c r="H409" s="256">
        <f>Products!M2177</f>
        <v>2150</v>
      </c>
      <c r="I409" s="256">
        <f>Products!O2177</f>
        <v>3010</v>
      </c>
      <c r="J409" s="367">
        <f>Products!Q2177</f>
        <v>2370</v>
      </c>
      <c r="K409" s="368">
        <f>Products!S2177</f>
        <v>3320.0000000000005</v>
      </c>
      <c r="L409" s="367">
        <f>Products!U2177</f>
        <v>2550</v>
      </c>
      <c r="M409" s="368">
        <f>Products!W2177</f>
        <v>3570</v>
      </c>
    </row>
    <row r="410" spans="1:13">
      <c r="A410" s="31"/>
      <c r="B410" s="23" t="str">
        <f>Products!B2178</f>
        <v>Коробка Дерев'яна 80 мм</v>
      </c>
      <c r="C410" s="285"/>
      <c r="D410" s="260">
        <f>Products!E2178</f>
        <v>2220</v>
      </c>
      <c r="E410" s="261">
        <f>Products!G2178</f>
        <v>3080.0000000000005</v>
      </c>
      <c r="F410" s="260">
        <f>Products!I2178</f>
        <v>2520</v>
      </c>
      <c r="G410" s="261">
        <f>Products!K2178</f>
        <v>3530.0000000000005</v>
      </c>
      <c r="H410" s="260">
        <f>Products!M2178</f>
        <v>2680</v>
      </c>
      <c r="I410" s="260">
        <f>Products!O2178</f>
        <v>3750</v>
      </c>
      <c r="J410" s="369">
        <f>Products!Q2178</f>
        <v>2940</v>
      </c>
      <c r="K410" s="370">
        <f>Products!S2178</f>
        <v>4110</v>
      </c>
      <c r="L410" s="369">
        <f>Products!U2178</f>
        <v>3240</v>
      </c>
      <c r="M410" s="370">
        <f>Products!W2178</f>
        <v>4530</v>
      </c>
    </row>
    <row r="411" spans="1:13" s="145" customFormat="1">
      <c r="B411" s="54" t="str">
        <f>Products!B2179</f>
        <v>ЛИШТВА</v>
      </c>
      <c r="C411" s="55"/>
      <c r="D411" s="199"/>
      <c r="E411" s="199"/>
      <c r="F411" s="199"/>
      <c r="G411" s="199"/>
      <c r="H411" s="200"/>
      <c r="I411" s="200"/>
      <c r="J411" s="200"/>
      <c r="K411" s="200"/>
      <c r="L411" s="200"/>
      <c r="M411" s="200"/>
    </row>
    <row r="412" spans="1:13">
      <c r="A412" s="31"/>
      <c r="B412" s="13" t="str">
        <f>Products!B2180</f>
        <v>Прямокутна (1 к-т) 60 мм</v>
      </c>
      <c r="C412" s="177"/>
      <c r="D412" s="256">
        <f>Products!E2180</f>
        <v>510</v>
      </c>
      <c r="E412" s="257">
        <f>Products!G2180</f>
        <v>660</v>
      </c>
      <c r="F412" s="256">
        <f>Products!I2180</f>
        <v>590</v>
      </c>
      <c r="G412" s="301">
        <f>Products!K2180</f>
        <v>760</v>
      </c>
      <c r="H412" s="256">
        <f>Products!M2180</f>
        <v>690</v>
      </c>
      <c r="I412" s="256">
        <f>Products!O2180</f>
        <v>890.00000000000011</v>
      </c>
      <c r="J412" s="367">
        <f>Products!Q2180</f>
        <v>790</v>
      </c>
      <c r="K412" s="368">
        <f>Products!S2180</f>
        <v>1030</v>
      </c>
      <c r="L412" s="367">
        <f>Products!U2180</f>
        <v>860.00000000000011</v>
      </c>
      <c r="M412" s="368">
        <f>Products!W2180</f>
        <v>1120</v>
      </c>
    </row>
    <row r="413" spans="1:13">
      <c r="A413" s="31"/>
      <c r="B413" s="23" t="str">
        <f>Products!B2181</f>
        <v>Прямокутна (1 к-т) 80 мм</v>
      </c>
      <c r="C413" s="178"/>
      <c r="D413" s="266">
        <f>Products!E2181</f>
        <v>600</v>
      </c>
      <c r="E413" s="188">
        <f>Products!G2181</f>
        <v>770.00000000000011</v>
      </c>
      <c r="F413" s="330">
        <f>Products!I2181</f>
        <v>700</v>
      </c>
      <c r="G413" s="261">
        <f>Products!K2181</f>
        <v>900</v>
      </c>
      <c r="H413" s="331">
        <f>Products!M2181</f>
        <v>850</v>
      </c>
      <c r="I413" s="331">
        <f>Products!O2181</f>
        <v>1100</v>
      </c>
      <c r="J413" s="371">
        <f>Products!Q2181</f>
        <v>970</v>
      </c>
      <c r="K413" s="372">
        <f>Products!S2181</f>
        <v>1250</v>
      </c>
      <c r="L413" s="371">
        <f>Products!U2181</f>
        <v>1040</v>
      </c>
      <c r="M413" s="372">
        <f>Products!W2181</f>
        <v>1350</v>
      </c>
    </row>
    <row r="414" spans="1:13" s="145" customFormat="1">
      <c r="B414" s="54" t="str">
        <f>Products!B2182</f>
        <v>ДОБІРНІ ПЛАНКИ</v>
      </c>
      <c r="C414" s="55"/>
      <c r="D414" s="199"/>
      <c r="E414" s="199"/>
      <c r="F414" s="199"/>
      <c r="G414" s="199"/>
      <c r="H414" s="200"/>
      <c r="I414" s="200"/>
      <c r="J414" s="200"/>
      <c r="K414" s="200"/>
      <c r="L414" s="200"/>
      <c r="M414" s="200"/>
    </row>
    <row r="415" spans="1:13">
      <c r="A415" s="31"/>
      <c r="B415" s="13" t="str">
        <f>Products!B2183</f>
        <v>Планка (1 к-т) 60 мм</v>
      </c>
      <c r="C415" s="177"/>
      <c r="D415" s="256">
        <f>Products!E2183</f>
        <v>510</v>
      </c>
      <c r="E415" s="257">
        <f>Products!G2183</f>
        <v>660</v>
      </c>
      <c r="F415" s="256">
        <f>Products!I2183</f>
        <v>590</v>
      </c>
      <c r="G415" s="301">
        <f>Products!K2183</f>
        <v>760</v>
      </c>
      <c r="H415" s="256">
        <f>Products!M2183</f>
        <v>690</v>
      </c>
      <c r="I415" s="256">
        <f>Products!O2183</f>
        <v>890.00000000000011</v>
      </c>
      <c r="J415" s="367">
        <f>Products!Q2183</f>
        <v>790</v>
      </c>
      <c r="K415" s="368">
        <f>Products!S2183</f>
        <v>1030</v>
      </c>
      <c r="L415" s="367">
        <f>Products!U2183</f>
        <v>860.00000000000011</v>
      </c>
      <c r="M415" s="368">
        <f>Products!W2183</f>
        <v>1120</v>
      </c>
    </row>
    <row r="416" spans="1:13">
      <c r="A416" s="31"/>
      <c r="B416" s="16" t="str">
        <f>Products!B2184</f>
        <v>Планка (1 к-т) 110 мм</v>
      </c>
      <c r="C416" s="180"/>
      <c r="D416" s="265">
        <f>Products!E2184</f>
        <v>790</v>
      </c>
      <c r="E416" s="186">
        <f>Products!G2184</f>
        <v>1030</v>
      </c>
      <c r="F416" s="300">
        <f>Products!I2184</f>
        <v>920.00000000000011</v>
      </c>
      <c r="G416" s="259">
        <f>Products!K2184</f>
        <v>1150</v>
      </c>
      <c r="H416" s="303">
        <f>Products!M2184</f>
        <v>1040</v>
      </c>
      <c r="I416" s="303">
        <f>Products!O2184</f>
        <v>1360.0000000000002</v>
      </c>
      <c r="J416" s="373">
        <f>Products!Q2184</f>
        <v>1220</v>
      </c>
      <c r="K416" s="374">
        <f>Products!S2184</f>
        <v>1590</v>
      </c>
      <c r="L416" s="373">
        <f>Products!U2184</f>
        <v>1310</v>
      </c>
      <c r="M416" s="374">
        <f>Products!W2184</f>
        <v>1710</v>
      </c>
    </row>
    <row r="417" spans="1:13">
      <c r="A417" s="31"/>
      <c r="B417" s="23" t="str">
        <f>Products!B2185</f>
        <v>Планка (1 к-т) 200 мм</v>
      </c>
      <c r="C417" s="285"/>
      <c r="D417" s="260">
        <f>Products!E2185</f>
        <v>1540.0000000000002</v>
      </c>
      <c r="E417" s="261">
        <f>Products!G2185</f>
        <v>2000</v>
      </c>
      <c r="F417" s="260">
        <f>Products!I2185</f>
        <v>1770</v>
      </c>
      <c r="G417" s="302">
        <f>Products!K2185</f>
        <v>2320</v>
      </c>
      <c r="H417" s="260">
        <f>Products!M2185</f>
        <v>2100</v>
      </c>
      <c r="I417" s="260">
        <f>Products!O2185</f>
        <v>2740</v>
      </c>
      <c r="J417" s="369">
        <f>Products!Q2185</f>
        <v>2420</v>
      </c>
      <c r="K417" s="370">
        <f>Products!S2185</f>
        <v>3150</v>
      </c>
      <c r="L417" s="369">
        <f>Products!U2185</f>
        <v>2590</v>
      </c>
      <c r="M417" s="370">
        <f>Products!W2185</f>
        <v>3360</v>
      </c>
    </row>
    <row r="418" spans="1:13">
      <c r="C418" s="34"/>
      <c r="D418" s="34"/>
      <c r="E418" s="10"/>
      <c r="F418" s="31"/>
      <c r="G418" s="31"/>
      <c r="H418" s="145"/>
      <c r="I418" s="145"/>
      <c r="J418" s="375"/>
      <c r="K418" s="375"/>
      <c r="L418" s="353"/>
      <c r="M418" s="353"/>
    </row>
    <row r="419" spans="1:13">
      <c r="B419" s="226"/>
      <c r="C419" s="231" t="str">
        <f>Products!B2189</f>
        <v>третя завіса</v>
      </c>
      <c r="D419" s="183">
        <f>Products!E2189</f>
        <v>80</v>
      </c>
      <c r="E419" s="10"/>
      <c r="F419" s="31"/>
      <c r="G419" s="31"/>
      <c r="H419" s="145"/>
      <c r="I419" s="145"/>
      <c r="J419" s="375"/>
      <c r="K419" s="375"/>
      <c r="L419" s="353"/>
      <c r="M419" s="353"/>
    </row>
    <row r="420" spans="1:13">
      <c r="B420" s="226"/>
      <c r="C420" s="231" t="str">
        <f>Products!B2190</f>
        <v>поріг сосновий</v>
      </c>
      <c r="D420" s="187">
        <f>Products!E2190</f>
        <v>550</v>
      </c>
      <c r="E420" s="10"/>
      <c r="F420" s="31"/>
      <c r="G420" s="31"/>
      <c r="H420" s="145"/>
      <c r="I420" s="145"/>
      <c r="J420" s="375"/>
      <c r="K420" s="375"/>
      <c r="L420" s="353"/>
      <c r="M420" s="353"/>
    </row>
    <row r="421" spans="1:13">
      <c r="C421" s="34"/>
      <c r="D421" s="34"/>
      <c r="E421" s="10"/>
      <c r="F421" s="31"/>
      <c r="G421" s="31"/>
      <c r="H421" s="145"/>
      <c r="I421" s="145"/>
      <c r="J421" s="375"/>
      <c r="K421" s="375"/>
      <c r="L421" s="353"/>
      <c r="M421" s="353"/>
    </row>
    <row r="422" spans="1:13" s="31" customFormat="1">
      <c r="B422" s="542" t="str">
        <f>TITLE!$C$43</f>
        <v>Дверна коробка Verto-FIT</v>
      </c>
      <c r="C422" s="548"/>
      <c r="D422" s="548"/>
      <c r="E422" s="548"/>
      <c r="F422" s="295" t="str">
        <f>Products!E2241</f>
        <v>Для Дверних Полотен з Фальцем</v>
      </c>
      <c r="G422" s="170"/>
      <c r="H422" s="170"/>
      <c r="I422" s="170"/>
      <c r="J422" s="343"/>
      <c r="K422" s="343"/>
      <c r="L422" s="355"/>
      <c r="M422" s="356"/>
    </row>
    <row r="423" spans="1:13" ht="26.25" customHeight="1">
      <c r="A423" s="31"/>
      <c r="B423" s="538" t="str">
        <f>Products!B2243</f>
        <v>модель</v>
      </c>
      <c r="C423" s="156" t="str">
        <f>Products!C2243</f>
        <v>покриття:</v>
      </c>
      <c r="D423" s="499" t="str">
        <f>Products!D2243</f>
        <v xml:space="preserve">SIMPLEX / VERTO-CELL </v>
      </c>
      <c r="E423" s="500"/>
      <c r="F423" s="499" t="str">
        <f>Products!H2243</f>
        <v>UNI-MAT</v>
      </c>
      <c r="G423" s="500"/>
      <c r="H423" s="499" t="str">
        <f>Products!L2243</f>
        <v>RESIST</v>
      </c>
      <c r="I423" s="500"/>
      <c r="J423" s="499" t="str">
        <f>Products!P2243</f>
        <v>Verto LINE-3D</v>
      </c>
      <c r="K423" s="500"/>
      <c r="L423" s="499" t="str">
        <f>Products!T2243</f>
        <v>ЕКО Шпон / LOFT</v>
      </c>
      <c r="M423" s="500"/>
    </row>
    <row r="424" spans="1:13" ht="12.75" customHeight="1">
      <c r="A424" s="31"/>
      <c r="B424" s="539"/>
      <c r="C424" s="158" t="str">
        <f>Products!C2244</f>
        <v>виконання:</v>
      </c>
      <c r="D424" s="255" t="str">
        <f>Products!D2244</f>
        <v>одностулкове</v>
      </c>
      <c r="E424" s="263" t="str">
        <f>Products!F2244</f>
        <v>двостулкові</v>
      </c>
      <c r="F424" s="255" t="str">
        <f>Products!H2244</f>
        <v>одностулкове</v>
      </c>
      <c r="G424" s="263" t="str">
        <f>Products!J2244</f>
        <v>двостулкові</v>
      </c>
      <c r="H424" s="255" t="str">
        <f>Products!L2244</f>
        <v>одностулкове</v>
      </c>
      <c r="I424" s="255" t="str">
        <f>Products!N2244</f>
        <v>двостулкові</v>
      </c>
      <c r="J424" s="255" t="str">
        <f>Products!P2244</f>
        <v>одностулкове</v>
      </c>
      <c r="K424" s="263" t="str">
        <f>Products!R2244</f>
        <v>двостулкові</v>
      </c>
      <c r="L424" s="255" t="str">
        <f>Products!T2244</f>
        <v>одностулкове</v>
      </c>
      <c r="M424" s="263" t="str">
        <f>Products!V2244</f>
        <v>двостулкові</v>
      </c>
    </row>
    <row r="425" spans="1:13">
      <c r="A425" s="31"/>
      <c r="B425" s="13" t="str">
        <f>Products!B2245</f>
        <v>A (75 - 95 мм)</v>
      </c>
      <c r="C425" s="179"/>
      <c r="D425" s="256">
        <f>Products!E2245</f>
        <v>2980</v>
      </c>
      <c r="E425" s="257">
        <f>Products!G2245</f>
        <v>4170</v>
      </c>
      <c r="F425" s="256">
        <f>Products!I2245</f>
        <v>3440.0000000000005</v>
      </c>
      <c r="G425" s="257">
        <f>Products!K2245</f>
        <v>4820</v>
      </c>
      <c r="H425" s="256">
        <f>Products!M2245</f>
        <v>3570</v>
      </c>
      <c r="I425" s="256">
        <f>Products!O2245</f>
        <v>4990.0000000000009</v>
      </c>
      <c r="J425" s="367">
        <f>Products!Q2245</f>
        <v>3800</v>
      </c>
      <c r="K425" s="368">
        <f>Products!S2245</f>
        <v>5320.0000000000009</v>
      </c>
      <c r="L425" s="367">
        <f>Products!U2245</f>
        <v>4060</v>
      </c>
      <c r="M425" s="368">
        <f>Products!W2245</f>
        <v>5980.0000000000009</v>
      </c>
    </row>
    <row r="426" spans="1:13">
      <c r="A426" s="31"/>
      <c r="B426" s="16" t="str">
        <f>Products!B2246</f>
        <v>B (95 - 115 мм)</v>
      </c>
      <c r="C426" s="180"/>
      <c r="D426" s="258">
        <f>Products!E2246</f>
        <v>3160</v>
      </c>
      <c r="E426" s="259">
        <f>Products!G2246</f>
        <v>4420</v>
      </c>
      <c r="F426" s="258">
        <f>Products!I2246</f>
        <v>3640</v>
      </c>
      <c r="G426" s="259">
        <f>Products!K2246</f>
        <v>5100</v>
      </c>
      <c r="H426" s="258">
        <f>Products!M2246</f>
        <v>3800</v>
      </c>
      <c r="I426" s="258">
        <f>Products!O2246</f>
        <v>5310</v>
      </c>
      <c r="J426" s="376">
        <f>Products!Q2246</f>
        <v>4020</v>
      </c>
      <c r="K426" s="377">
        <f>Products!S2246</f>
        <v>5620.0000000000009</v>
      </c>
      <c r="L426" s="376">
        <f>Products!U2246</f>
        <v>4300</v>
      </c>
      <c r="M426" s="377">
        <f>Products!W2246</f>
        <v>6020</v>
      </c>
    </row>
    <row r="427" spans="1:13">
      <c r="A427" s="31"/>
      <c r="B427" s="16" t="str">
        <f>Products!B2247</f>
        <v>B+ (100 - 120 мм)</v>
      </c>
      <c r="C427" s="180"/>
      <c r="D427" s="258">
        <f>Products!E2247</f>
        <v>3280</v>
      </c>
      <c r="E427" s="259">
        <f>Products!G2247</f>
        <v>4590</v>
      </c>
      <c r="F427" s="258">
        <f>Products!I2247</f>
        <v>3760</v>
      </c>
      <c r="G427" s="259">
        <f>Products!K2247</f>
        <v>5270</v>
      </c>
      <c r="H427" s="258">
        <f>Products!M2247</f>
        <v>3910</v>
      </c>
      <c r="I427" s="258">
        <f>Products!O2247</f>
        <v>5470.0000000000009</v>
      </c>
      <c r="J427" s="376">
        <f>Products!Q2247</f>
        <v>4140</v>
      </c>
      <c r="K427" s="377">
        <f>Products!S2247</f>
        <v>5790</v>
      </c>
      <c r="L427" s="376">
        <f>Products!U2247</f>
        <v>4420</v>
      </c>
      <c r="M427" s="377">
        <f>Products!W2247</f>
        <v>6180</v>
      </c>
    </row>
    <row r="428" spans="1:13">
      <c r="A428" s="31"/>
      <c r="B428" s="16" t="str">
        <f>Products!B2248</f>
        <v>C (120 - 140 мм)</v>
      </c>
      <c r="C428" s="180"/>
      <c r="D428" s="258">
        <f>Products!E2248</f>
        <v>3370</v>
      </c>
      <c r="E428" s="259">
        <f>Products!G2248</f>
        <v>4720</v>
      </c>
      <c r="F428" s="258">
        <f>Products!I2248</f>
        <v>3880</v>
      </c>
      <c r="G428" s="259">
        <f>Products!K2248</f>
        <v>5430</v>
      </c>
      <c r="H428" s="258">
        <f>Products!M2248</f>
        <v>4000</v>
      </c>
      <c r="I428" s="258">
        <f>Products!O2248</f>
        <v>5610</v>
      </c>
      <c r="J428" s="376">
        <f>Products!Q2248</f>
        <v>4250</v>
      </c>
      <c r="K428" s="377">
        <f>Products!S2248</f>
        <v>5950.0000000000009</v>
      </c>
      <c r="L428" s="376">
        <f>Products!U2248</f>
        <v>4550</v>
      </c>
      <c r="M428" s="377">
        <f>Products!W2248</f>
        <v>6360</v>
      </c>
    </row>
    <row r="429" spans="1:13">
      <c r="A429" s="31"/>
      <c r="B429" s="16" t="str">
        <f>Products!B2249</f>
        <v>D (140 - 160 мм)</v>
      </c>
      <c r="C429" s="180"/>
      <c r="D429" s="258">
        <f>Products!E2249</f>
        <v>3550</v>
      </c>
      <c r="E429" s="259">
        <f>Products!G2249</f>
        <v>4970</v>
      </c>
      <c r="F429" s="258">
        <f>Products!I2249</f>
        <v>4080</v>
      </c>
      <c r="G429" s="259">
        <f>Products!K2249</f>
        <v>5710.0000000000009</v>
      </c>
      <c r="H429" s="258">
        <f>Products!M2249</f>
        <v>4230</v>
      </c>
      <c r="I429" s="258">
        <f>Products!O2249</f>
        <v>5920.0000000000009</v>
      </c>
      <c r="J429" s="376">
        <f>Products!Q2249</f>
        <v>4490</v>
      </c>
      <c r="K429" s="377">
        <f>Products!S2249</f>
        <v>6290</v>
      </c>
      <c r="L429" s="376">
        <f>Products!U2249</f>
        <v>4780</v>
      </c>
      <c r="M429" s="377">
        <f>Products!W2249</f>
        <v>6690</v>
      </c>
    </row>
    <row r="430" spans="1:13">
      <c r="A430" s="31"/>
      <c r="B430" s="16" t="str">
        <f>Products!B2250</f>
        <v>E (160 - 180 мм)</v>
      </c>
      <c r="C430" s="180"/>
      <c r="D430" s="258">
        <f>Products!E2250</f>
        <v>3730</v>
      </c>
      <c r="E430" s="259">
        <f>Products!G2250</f>
        <v>5220</v>
      </c>
      <c r="F430" s="258">
        <f>Products!I2250</f>
        <v>4300</v>
      </c>
      <c r="G430" s="259">
        <f>Products!K2250</f>
        <v>6020</v>
      </c>
      <c r="H430" s="258">
        <f>Products!M2250</f>
        <v>4430</v>
      </c>
      <c r="I430" s="258">
        <f>Products!O2250</f>
        <v>6210</v>
      </c>
      <c r="J430" s="376">
        <f>Products!Q2250</f>
        <v>4720</v>
      </c>
      <c r="K430" s="377">
        <f>Products!S2250</f>
        <v>6610.0000000000009</v>
      </c>
      <c r="L430" s="376">
        <f>Products!U2250</f>
        <v>5030</v>
      </c>
      <c r="M430" s="377">
        <f>Products!W2250</f>
        <v>7040</v>
      </c>
    </row>
    <row r="431" spans="1:13">
      <c r="A431" s="31"/>
      <c r="B431" s="16" t="str">
        <f>Products!B2251</f>
        <v>F (180 - 200 мм)</v>
      </c>
      <c r="C431" s="180"/>
      <c r="D431" s="258">
        <f>Products!E2251</f>
        <v>3920</v>
      </c>
      <c r="E431" s="259">
        <f>Products!G2251</f>
        <v>5490</v>
      </c>
      <c r="F431" s="258">
        <f>Products!I2251</f>
        <v>4510</v>
      </c>
      <c r="G431" s="259">
        <f>Products!K2251</f>
        <v>6300</v>
      </c>
      <c r="H431" s="258">
        <f>Products!M2251</f>
        <v>4660</v>
      </c>
      <c r="I431" s="258">
        <f>Products!O2251</f>
        <v>6520.0000000000009</v>
      </c>
      <c r="J431" s="376">
        <f>Products!Q2251</f>
        <v>4940</v>
      </c>
      <c r="K431" s="377">
        <f>Products!S2251</f>
        <v>6920</v>
      </c>
      <c r="L431" s="376">
        <f>Products!U2251</f>
        <v>5280</v>
      </c>
      <c r="M431" s="377">
        <f>Products!W2251</f>
        <v>7390</v>
      </c>
    </row>
    <row r="432" spans="1:13">
      <c r="A432" s="31"/>
      <c r="B432" s="16" t="str">
        <f>Products!B2252</f>
        <v>G (200 - 220 мм)</v>
      </c>
      <c r="C432" s="180"/>
      <c r="D432" s="258">
        <f>Products!E2252</f>
        <v>4100</v>
      </c>
      <c r="E432" s="259">
        <f>Products!G2252</f>
        <v>5740.0000000000009</v>
      </c>
      <c r="F432" s="258">
        <f>Products!I2252</f>
        <v>4730</v>
      </c>
      <c r="G432" s="259">
        <f>Products!K2252</f>
        <v>6610.0000000000009</v>
      </c>
      <c r="H432" s="258">
        <f>Products!M2252</f>
        <v>4890</v>
      </c>
      <c r="I432" s="258">
        <f>Products!O2252</f>
        <v>6840</v>
      </c>
      <c r="J432" s="376">
        <f>Products!Q2252</f>
        <v>5180</v>
      </c>
      <c r="K432" s="377">
        <f>Products!S2252</f>
        <v>7250</v>
      </c>
      <c r="L432" s="376">
        <f>Products!U2252</f>
        <v>5520</v>
      </c>
      <c r="M432" s="377">
        <f>Products!W2252</f>
        <v>7720</v>
      </c>
    </row>
    <row r="433" spans="1:13">
      <c r="A433" s="31"/>
      <c r="B433" s="16" t="str">
        <f>Products!B2253</f>
        <v>H (220 - 240 мм)</v>
      </c>
      <c r="C433" s="180"/>
      <c r="D433" s="258">
        <f>Products!E2253</f>
        <v>4290</v>
      </c>
      <c r="E433" s="259">
        <f>Products!G2253</f>
        <v>6000</v>
      </c>
      <c r="F433" s="258">
        <f>Products!I2253</f>
        <v>4940</v>
      </c>
      <c r="G433" s="259">
        <f>Products!K2253</f>
        <v>6920</v>
      </c>
      <c r="H433" s="258">
        <f>Products!M2253</f>
        <v>5090</v>
      </c>
      <c r="I433" s="258">
        <f>Products!O2253</f>
        <v>7120.0000000000009</v>
      </c>
      <c r="J433" s="376">
        <f>Products!Q2253</f>
        <v>5420</v>
      </c>
      <c r="K433" s="377">
        <f>Products!S2253</f>
        <v>7570</v>
      </c>
      <c r="L433" s="376">
        <f>Products!U2253</f>
        <v>5770.0000000000009</v>
      </c>
      <c r="M433" s="377">
        <f>Products!W2253</f>
        <v>8070</v>
      </c>
    </row>
    <row r="434" spans="1:13" s="145" customFormat="1">
      <c r="A434" s="31"/>
      <c r="B434" s="23" t="str">
        <f>Products!B2254</f>
        <v>I (240 - 260 мм)</v>
      </c>
      <c r="C434" s="178"/>
      <c r="D434" s="260">
        <f>Products!E2254</f>
        <v>4490</v>
      </c>
      <c r="E434" s="261">
        <f>Products!G2254</f>
        <v>6290</v>
      </c>
      <c r="F434" s="260">
        <f>Products!I2254</f>
        <v>5170.0000000000009</v>
      </c>
      <c r="G434" s="261">
        <f>Products!K2254</f>
        <v>7240.0000000000009</v>
      </c>
      <c r="H434" s="260">
        <f>Products!M2254</f>
        <v>5300</v>
      </c>
      <c r="I434" s="260">
        <f>Products!O2254</f>
        <v>7430</v>
      </c>
      <c r="J434" s="369">
        <f>Products!Q2254</f>
        <v>5640</v>
      </c>
      <c r="K434" s="370">
        <f>Products!S2254</f>
        <v>7900</v>
      </c>
      <c r="L434" s="369">
        <f>Products!U2254</f>
        <v>6020</v>
      </c>
      <c r="M434" s="370">
        <f>Products!W2254</f>
        <v>8420</v>
      </c>
    </row>
    <row r="435" spans="1:13">
      <c r="A435" s="145"/>
      <c r="B435" s="54" t="str">
        <f>Products!B2255</f>
        <v>ПЛАНКИ РЕГУЛЮВАЛЬНІ</v>
      </c>
      <c r="C435" s="55"/>
      <c r="D435" s="549" t="str">
        <f>Products!E2255</f>
        <v>Для Дверних Коробок Verto-FIT, Verto-FIT  Plus</v>
      </c>
      <c r="E435" s="549"/>
      <c r="F435" s="549"/>
      <c r="G435" s="549"/>
      <c r="H435" s="200"/>
      <c r="I435" s="200"/>
      <c r="J435" s="200"/>
      <c r="K435" s="200"/>
      <c r="L435" s="378"/>
      <c r="M435" s="378"/>
    </row>
    <row r="436" spans="1:13">
      <c r="A436" s="31"/>
      <c r="B436" s="13" t="str">
        <f>Products!B2256</f>
        <v>Планка (1 к-т) 80 мм</v>
      </c>
      <c r="C436" s="177"/>
      <c r="D436" s="256">
        <f>Products!E2256</f>
        <v>1060</v>
      </c>
      <c r="E436" s="257">
        <f>Products!G2256</f>
        <v>1380</v>
      </c>
      <c r="F436" s="256">
        <f>Products!I2256</f>
        <v>1230</v>
      </c>
      <c r="G436" s="301">
        <f>Products!K2256</f>
        <v>1610</v>
      </c>
      <c r="H436" s="256">
        <f>Products!M2256</f>
        <v>1290</v>
      </c>
      <c r="I436" s="256">
        <f>Products!O2256</f>
        <v>1690.0000000000002</v>
      </c>
      <c r="J436" s="367">
        <f>Products!Q2256</f>
        <v>1400</v>
      </c>
      <c r="K436" s="368">
        <f>Products!S2256</f>
        <v>1820</v>
      </c>
      <c r="L436" s="367">
        <f>Products!U2256</f>
        <v>1470</v>
      </c>
      <c r="M436" s="368">
        <f>Products!W2256</f>
        <v>1910</v>
      </c>
    </row>
    <row r="437" spans="1:13">
      <c r="A437" s="31"/>
      <c r="B437" s="16" t="str">
        <f>Products!B2257</f>
        <v>Планка (1 к-т) 160 мм</v>
      </c>
      <c r="C437" s="180"/>
      <c r="D437" s="265">
        <f>Products!E2257</f>
        <v>1810.0000000000002</v>
      </c>
      <c r="E437" s="186">
        <f>Products!G2257</f>
        <v>2350</v>
      </c>
      <c r="F437" s="300">
        <f>Products!I2257</f>
        <v>2090</v>
      </c>
      <c r="G437" s="259">
        <f>Products!K2257</f>
        <v>2730</v>
      </c>
      <c r="H437" s="303">
        <f>Products!M2257</f>
        <v>2230</v>
      </c>
      <c r="I437" s="303">
        <f>Products!O2257</f>
        <v>2890</v>
      </c>
      <c r="J437" s="373">
        <f>Products!Q2257</f>
        <v>2360</v>
      </c>
      <c r="K437" s="374">
        <f>Products!S2257</f>
        <v>3090</v>
      </c>
      <c r="L437" s="373">
        <f>Products!U2257</f>
        <v>2560</v>
      </c>
      <c r="M437" s="374">
        <f>Products!W2257</f>
        <v>3310</v>
      </c>
    </row>
    <row r="438" spans="1:13">
      <c r="A438" s="31"/>
      <c r="B438" s="23" t="str">
        <f>Products!B2258</f>
        <v>Планка (1 к-т) 200 мм</v>
      </c>
      <c r="C438" s="285"/>
      <c r="D438" s="260">
        <f>Products!E2258</f>
        <v>2200</v>
      </c>
      <c r="E438" s="261">
        <f>Products!G2258</f>
        <v>2860</v>
      </c>
      <c r="F438" s="260">
        <f>Products!I2258</f>
        <v>2540.0000000000005</v>
      </c>
      <c r="G438" s="302">
        <f>Products!K2258</f>
        <v>3300</v>
      </c>
      <c r="H438" s="260">
        <f>Products!M2258</f>
        <v>2730</v>
      </c>
      <c r="I438" s="260">
        <f>Products!O2258</f>
        <v>3540</v>
      </c>
      <c r="J438" s="369">
        <f>Products!Q2258</f>
        <v>2870.0000000000005</v>
      </c>
      <c r="K438" s="370">
        <f>Products!S2258</f>
        <v>3730</v>
      </c>
      <c r="L438" s="369">
        <f>Products!U2258</f>
        <v>3120</v>
      </c>
      <c r="M438" s="370">
        <f>Products!W2258</f>
        <v>4060</v>
      </c>
    </row>
    <row r="439" spans="1:13">
      <c r="C439" s="34"/>
      <c r="D439" s="232"/>
      <c r="E439" s="232"/>
      <c r="F439" s="233"/>
      <c r="G439" s="233"/>
      <c r="H439" s="234"/>
      <c r="I439" s="234"/>
      <c r="J439" s="379"/>
      <c r="K439" s="379"/>
      <c r="L439" s="380"/>
      <c r="M439" s="380"/>
    </row>
    <row r="440" spans="1:13">
      <c r="B440" s="226"/>
      <c r="C440" s="231" t="str">
        <f>Products!B2262</f>
        <v>третя завіса</v>
      </c>
      <c r="D440" s="195">
        <f>Products!E2262</f>
        <v>80</v>
      </c>
      <c r="E440" s="34"/>
      <c r="H440" s="145"/>
      <c r="I440" s="145"/>
      <c r="J440" s="375"/>
      <c r="K440" s="375"/>
      <c r="L440" s="353"/>
      <c r="M440" s="353"/>
    </row>
    <row r="441" spans="1:13" s="31" customFormat="1">
      <c r="A441" s="33"/>
      <c r="B441" s="33"/>
      <c r="C441" s="34"/>
      <c r="D441" s="34"/>
      <c r="E441" s="34"/>
      <c r="F441" s="33"/>
      <c r="G441" s="33"/>
      <c r="H441" s="145"/>
      <c r="I441" s="145"/>
      <c r="J441" s="375"/>
      <c r="K441" s="375"/>
      <c r="L441" s="353"/>
      <c r="M441" s="353"/>
    </row>
    <row r="442" spans="1:13">
      <c r="A442" s="31"/>
      <c r="B442" s="542" t="str">
        <f>TITLE!$C$44</f>
        <v>Дверна коробка Verto-FIT Plus</v>
      </c>
      <c r="C442" s="548"/>
      <c r="D442" s="548"/>
      <c r="E442" s="548"/>
      <c r="F442" s="295" t="str">
        <f>Products!E2313</f>
        <v>Для Дверних Полотен з Фальцем</v>
      </c>
      <c r="G442" s="170"/>
      <c r="H442" s="170"/>
      <c r="I442" s="170"/>
      <c r="J442" s="343"/>
      <c r="K442" s="343"/>
      <c r="L442" s="355"/>
      <c r="M442" s="356"/>
    </row>
    <row r="443" spans="1:13" ht="27" customHeight="1">
      <c r="A443" s="31"/>
      <c r="B443" s="538" t="str">
        <f>Products!B2315</f>
        <v>модель</v>
      </c>
      <c r="C443" s="156" t="str">
        <f>Products!C2315</f>
        <v>покриття:</v>
      </c>
      <c r="D443" s="499" t="str">
        <f>Products!D2315</f>
        <v>SIMPLEX / VERTO-CELL</v>
      </c>
      <c r="E443" s="500"/>
      <c r="F443" s="499" t="str">
        <f>Products!H2315</f>
        <v>UNI-MAT</v>
      </c>
      <c r="G443" s="500"/>
      <c r="H443" s="499" t="str">
        <f>Products!L2315</f>
        <v>RESIST</v>
      </c>
      <c r="I443" s="500"/>
      <c r="J443" s="499" t="str">
        <f>Products!P2315</f>
        <v>Verto LINE-3D</v>
      </c>
      <c r="K443" s="500"/>
      <c r="L443" s="499" t="str">
        <f>Products!T2315</f>
        <v>ЕКО Шпон / LOFT</v>
      </c>
      <c r="M443" s="500"/>
    </row>
    <row r="444" spans="1:13">
      <c r="A444" s="31"/>
      <c r="B444" s="539"/>
      <c r="C444" s="158" t="str">
        <f>Products!C2316</f>
        <v>виконання:</v>
      </c>
      <c r="D444" s="255" t="str">
        <f>Products!D2316</f>
        <v>одностулкове</v>
      </c>
      <c r="E444" s="263" t="str">
        <f>Products!F2316</f>
        <v>двостулкові</v>
      </c>
      <c r="F444" s="255" t="str">
        <f>Products!H2316</f>
        <v>одностулкове</v>
      </c>
      <c r="G444" s="263" t="str">
        <f>Products!J2316</f>
        <v>двостулкові</v>
      </c>
      <c r="H444" s="255" t="str">
        <f>Products!L2316</f>
        <v>одностулкове</v>
      </c>
      <c r="I444" s="255" t="str">
        <f>Products!N2316</f>
        <v>двостулкові</v>
      </c>
      <c r="J444" s="255" t="str">
        <f>Products!P2316</f>
        <v>одностулкове</v>
      </c>
      <c r="K444" s="263" t="str">
        <f>Products!R2316</f>
        <v>двостулкові</v>
      </c>
      <c r="L444" s="255" t="str">
        <f>Products!T2316</f>
        <v>одностулкове</v>
      </c>
      <c r="M444" s="263" t="str">
        <f>Products!V2316</f>
        <v>двостулкові</v>
      </c>
    </row>
    <row r="445" spans="1:13">
      <c r="A445" s="31"/>
      <c r="B445" s="13" t="str">
        <f>Products!B2317</f>
        <v>A (75 - 95 мм)</v>
      </c>
      <c r="C445" s="179"/>
      <c r="D445" s="256">
        <f>Products!E2317</f>
        <v>3320.0000000000005</v>
      </c>
      <c r="E445" s="257">
        <f>Products!G2317</f>
        <v>4660</v>
      </c>
      <c r="F445" s="256">
        <f>Products!I2317</f>
        <v>3820</v>
      </c>
      <c r="G445" s="257">
        <f>Products!K2317</f>
        <v>5350.0000000000009</v>
      </c>
      <c r="H445" s="256">
        <f>Products!M2317</f>
        <v>4060</v>
      </c>
      <c r="I445" s="256">
        <f>Products!O2317</f>
        <v>5690</v>
      </c>
      <c r="J445" s="367">
        <f>Products!Q2317</f>
        <v>4340</v>
      </c>
      <c r="K445" s="368">
        <f>Products!S2317</f>
        <v>6080</v>
      </c>
      <c r="L445" s="367">
        <f>Products!U2317</f>
        <v>4660</v>
      </c>
      <c r="M445" s="368">
        <f>Products!W2317</f>
        <v>6520.0000000000009</v>
      </c>
    </row>
    <row r="446" spans="1:13">
      <c r="A446" s="31"/>
      <c r="B446" s="16" t="str">
        <f>Products!B2318</f>
        <v>B (95 - 115 мм)</v>
      </c>
      <c r="C446" s="180"/>
      <c r="D446" s="258">
        <f>Products!E2318</f>
        <v>3500.0000000000005</v>
      </c>
      <c r="E446" s="259">
        <f>Products!G2318</f>
        <v>4900</v>
      </c>
      <c r="F446" s="258">
        <f>Products!I2318</f>
        <v>4040</v>
      </c>
      <c r="G446" s="259">
        <f>Products!K2318</f>
        <v>5650.0000000000009</v>
      </c>
      <c r="H446" s="258">
        <f>Products!M2318</f>
        <v>4270</v>
      </c>
      <c r="I446" s="258">
        <f>Products!O2318</f>
        <v>5980.0000000000009</v>
      </c>
      <c r="J446" s="376">
        <f>Products!Q2318</f>
        <v>4580</v>
      </c>
      <c r="K446" s="377">
        <f>Products!S2318</f>
        <v>6410</v>
      </c>
      <c r="L446" s="376">
        <f>Products!U2318</f>
        <v>4890</v>
      </c>
      <c r="M446" s="377">
        <f>Products!W2318</f>
        <v>6850.0000000000009</v>
      </c>
    </row>
    <row r="447" spans="1:13">
      <c r="A447" s="31"/>
      <c r="B447" s="16" t="str">
        <f>Products!B2319</f>
        <v>B+ (100 - 120 мм)</v>
      </c>
      <c r="C447" s="180"/>
      <c r="D447" s="258">
        <f>Products!E2319</f>
        <v>3600</v>
      </c>
      <c r="E447" s="259">
        <f>Products!G2319</f>
        <v>5050.0000000000009</v>
      </c>
      <c r="F447" s="258">
        <f>Products!I2319</f>
        <v>4150</v>
      </c>
      <c r="G447" s="259">
        <f>Products!K2319</f>
        <v>5810</v>
      </c>
      <c r="H447" s="258">
        <f>Products!M2319</f>
        <v>4390</v>
      </c>
      <c r="I447" s="258">
        <f>Products!O2319</f>
        <v>6140</v>
      </c>
      <c r="J447" s="376">
        <f>Products!Q2319</f>
        <v>4680</v>
      </c>
      <c r="K447" s="377">
        <f>Products!S2319</f>
        <v>6540</v>
      </c>
      <c r="L447" s="376">
        <f>Products!U2319</f>
        <v>5020.0000000000009</v>
      </c>
      <c r="M447" s="377">
        <f>Products!W2319</f>
        <v>7030.0000000000009</v>
      </c>
    </row>
    <row r="448" spans="1:13">
      <c r="A448" s="31"/>
      <c r="B448" s="16" t="str">
        <f>Products!B2320</f>
        <v>C (120 - 140 мм)</v>
      </c>
      <c r="C448" s="180"/>
      <c r="D448" s="258">
        <f>Products!E2320</f>
        <v>3690</v>
      </c>
      <c r="E448" s="259">
        <f>Products!G2320</f>
        <v>5150</v>
      </c>
      <c r="F448" s="258">
        <f>Products!I2320</f>
        <v>4240</v>
      </c>
      <c r="G448" s="259">
        <f>Products!K2320</f>
        <v>5940</v>
      </c>
      <c r="H448" s="258">
        <f>Products!M2320</f>
        <v>4490</v>
      </c>
      <c r="I448" s="258">
        <f>Products!O2320</f>
        <v>6290</v>
      </c>
      <c r="J448" s="376">
        <f>Products!Q2320</f>
        <v>4800</v>
      </c>
      <c r="K448" s="377">
        <f>Products!S2320</f>
        <v>6720</v>
      </c>
      <c r="L448" s="376">
        <f>Products!U2320</f>
        <v>5150</v>
      </c>
      <c r="M448" s="377">
        <f>Products!W2320</f>
        <v>7210.0000000000009</v>
      </c>
    </row>
    <row r="449" spans="1:13">
      <c r="A449" s="31"/>
      <c r="B449" s="16" t="str">
        <f>Products!B2321</f>
        <v>D (140 - 160 мм)</v>
      </c>
      <c r="C449" s="180"/>
      <c r="D449" s="258">
        <f>Products!E2321</f>
        <v>3890</v>
      </c>
      <c r="E449" s="259">
        <f>Products!G2321</f>
        <v>5450</v>
      </c>
      <c r="F449" s="258">
        <f>Products!I2321</f>
        <v>4480</v>
      </c>
      <c r="G449" s="259">
        <f>Products!K2321</f>
        <v>6260</v>
      </c>
      <c r="H449" s="258">
        <f>Products!M2321</f>
        <v>4690</v>
      </c>
      <c r="I449" s="258">
        <f>Products!O2321</f>
        <v>6670.0000000000009</v>
      </c>
      <c r="J449" s="376">
        <f>Products!Q2321</f>
        <v>5020.0000000000009</v>
      </c>
      <c r="K449" s="377">
        <f>Products!S2321</f>
        <v>7030.0000000000009</v>
      </c>
      <c r="L449" s="376">
        <f>Products!U2321</f>
        <v>5400</v>
      </c>
      <c r="M449" s="377">
        <f>Products!W2321</f>
        <v>7560</v>
      </c>
    </row>
    <row r="450" spans="1:13">
      <c r="A450" s="31"/>
      <c r="B450" s="16" t="str">
        <f>Products!B2322</f>
        <v>E (160 - 180 мм)</v>
      </c>
      <c r="C450" s="180"/>
      <c r="D450" s="258">
        <f>Products!E2322</f>
        <v>4060</v>
      </c>
      <c r="E450" s="259">
        <f>Products!G2322</f>
        <v>5670</v>
      </c>
      <c r="F450" s="258">
        <f>Products!I2322</f>
        <v>4670</v>
      </c>
      <c r="G450" s="259">
        <f>Products!K2322</f>
        <v>6530</v>
      </c>
      <c r="H450" s="258">
        <f>Products!M2322</f>
        <v>4900</v>
      </c>
      <c r="I450" s="258">
        <f>Products!O2322</f>
        <v>6870</v>
      </c>
      <c r="J450" s="376">
        <f>Products!Q2322</f>
        <v>5240</v>
      </c>
      <c r="K450" s="377">
        <f>Products!S2322</f>
        <v>7330.0000000000009</v>
      </c>
      <c r="L450" s="376">
        <f>Products!U2322</f>
        <v>5660</v>
      </c>
      <c r="M450" s="377">
        <f>Products!W2322</f>
        <v>7921</v>
      </c>
    </row>
    <row r="451" spans="1:13">
      <c r="A451" s="31"/>
      <c r="B451" s="16" t="str">
        <f>Products!B2323</f>
        <v>F (180 - 200 мм)</v>
      </c>
      <c r="C451" s="180"/>
      <c r="D451" s="258">
        <f>Products!E2323</f>
        <v>4260</v>
      </c>
      <c r="E451" s="259">
        <f>Products!G2323</f>
        <v>5950.0000000000009</v>
      </c>
      <c r="F451" s="258">
        <f>Products!I2323</f>
        <v>4890</v>
      </c>
      <c r="G451" s="259">
        <f>Products!K2323</f>
        <v>6840</v>
      </c>
      <c r="H451" s="258">
        <f>Products!M2323</f>
        <v>5130</v>
      </c>
      <c r="I451" s="258">
        <f>Products!O2323</f>
        <v>7190</v>
      </c>
      <c r="J451" s="376">
        <f>Products!Q2323</f>
        <v>5480</v>
      </c>
      <c r="K451" s="377">
        <f>Products!S2323</f>
        <v>7670</v>
      </c>
      <c r="L451" s="376">
        <f>Products!U2323</f>
        <v>5910</v>
      </c>
      <c r="M451" s="377">
        <f>Products!W2323</f>
        <v>8270</v>
      </c>
    </row>
    <row r="452" spans="1:13">
      <c r="A452" s="31"/>
      <c r="B452" s="16" t="str">
        <f>Products!B2324</f>
        <v>G (200 - 220 мм)</v>
      </c>
      <c r="C452" s="180"/>
      <c r="D452" s="258">
        <f>Products!E2324</f>
        <v>4430</v>
      </c>
      <c r="E452" s="259">
        <f>Products!G2324</f>
        <v>6200</v>
      </c>
      <c r="F452" s="258">
        <f>Products!I2324</f>
        <v>5100</v>
      </c>
      <c r="G452" s="259">
        <f>Products!K2324</f>
        <v>7130</v>
      </c>
      <c r="H452" s="258">
        <f>Products!M2324</f>
        <v>5340</v>
      </c>
      <c r="I452" s="258">
        <f>Products!O2324</f>
        <v>7470</v>
      </c>
      <c r="J452" s="376">
        <f>Products!Q2324</f>
        <v>5710.0000000000009</v>
      </c>
      <c r="K452" s="377">
        <f>Products!S2324</f>
        <v>7990</v>
      </c>
      <c r="L452" s="376">
        <f>Products!U2324</f>
        <v>6170</v>
      </c>
      <c r="M452" s="377">
        <f>Products!W2324</f>
        <v>8630</v>
      </c>
    </row>
    <row r="453" spans="1:13">
      <c r="A453" s="31"/>
      <c r="B453" s="16" t="str">
        <f>Products!B2325</f>
        <v>H (220 - 240 мм)</v>
      </c>
      <c r="C453" s="180"/>
      <c r="D453" s="258">
        <f>Products!E2325</f>
        <v>4610</v>
      </c>
      <c r="E453" s="259">
        <f>Products!G2325</f>
        <v>6450</v>
      </c>
      <c r="F453" s="258">
        <f>Products!I2325</f>
        <v>5300</v>
      </c>
      <c r="G453" s="259">
        <f>Products!K2325</f>
        <v>7430</v>
      </c>
      <c r="H453" s="258">
        <f>Products!M2325</f>
        <v>5550</v>
      </c>
      <c r="I453" s="258">
        <f>Products!O2325</f>
        <v>7770</v>
      </c>
      <c r="J453" s="376">
        <f>Products!Q2325</f>
        <v>5920.0000000000009</v>
      </c>
      <c r="K453" s="377">
        <f>Products!S2325</f>
        <v>8290</v>
      </c>
      <c r="L453" s="376">
        <f>Products!U2325</f>
        <v>6420</v>
      </c>
      <c r="M453" s="377">
        <f>Products!W2325</f>
        <v>8980</v>
      </c>
    </row>
    <row r="454" spans="1:13">
      <c r="A454" s="31"/>
      <c r="B454" s="23" t="str">
        <f>Products!B2326</f>
        <v>I (240 - 260 мм)</v>
      </c>
      <c r="C454" s="178"/>
      <c r="D454" s="260">
        <f>Products!E2326</f>
        <v>4800</v>
      </c>
      <c r="E454" s="261">
        <f>Products!G2326</f>
        <v>6730.0000000000009</v>
      </c>
      <c r="F454" s="260">
        <f>Products!I2326</f>
        <v>5530.0000000000009</v>
      </c>
      <c r="G454" s="261">
        <f>Products!K2326</f>
        <v>7740</v>
      </c>
      <c r="H454" s="260">
        <f>Products!M2326</f>
        <v>5750</v>
      </c>
      <c r="I454" s="260">
        <f>Products!O2326</f>
        <v>8060</v>
      </c>
      <c r="J454" s="369">
        <f>Products!Q2326</f>
        <v>6160.0000000000009</v>
      </c>
      <c r="K454" s="370">
        <f>Products!S2326</f>
        <v>8620</v>
      </c>
      <c r="L454" s="369">
        <f>Products!U2326</f>
        <v>6680</v>
      </c>
      <c r="M454" s="370">
        <f>Products!W2326</f>
        <v>9350</v>
      </c>
    </row>
    <row r="455" spans="1:13">
      <c r="C455" s="34"/>
      <c r="D455" s="232"/>
      <c r="E455" s="232"/>
      <c r="F455" s="233"/>
      <c r="G455" s="233"/>
      <c r="H455" s="234"/>
      <c r="I455" s="234"/>
      <c r="J455" s="379"/>
      <c r="K455" s="379"/>
      <c r="L455" s="380"/>
      <c r="M455" s="380"/>
    </row>
    <row r="456" spans="1:13" s="31" customFormat="1">
      <c r="A456" s="33"/>
      <c r="B456" s="226"/>
      <c r="C456" s="231" t="str">
        <f>Products!B2330</f>
        <v>третя завіса</v>
      </c>
      <c r="D456" s="195">
        <f>Products!E2330</f>
        <v>80</v>
      </c>
      <c r="E456" s="34"/>
      <c r="F456" s="33"/>
      <c r="G456" s="33"/>
      <c r="H456" s="145"/>
      <c r="I456" s="145"/>
      <c r="J456" s="375"/>
      <c r="K456" s="375"/>
      <c r="L456" s="353"/>
      <c r="M456" s="353"/>
    </row>
    <row r="457" spans="1:13">
      <c r="C457" s="34"/>
      <c r="D457" s="34"/>
      <c r="E457" s="34"/>
      <c r="H457" s="145"/>
      <c r="I457" s="145"/>
      <c r="J457" s="375"/>
      <c r="K457" s="375"/>
      <c r="L457" s="353"/>
      <c r="M457" s="353"/>
    </row>
    <row r="458" spans="1:13" ht="12.75" customHeight="1">
      <c r="A458" s="31"/>
      <c r="B458" s="542" t="str">
        <f>TITLE!$C$45</f>
        <v>Дверна коробка Verto-FIT Comfort</v>
      </c>
      <c r="C458" s="548"/>
      <c r="D458" s="548"/>
      <c r="E458" s="548"/>
      <c r="F458" s="295" t="str">
        <f>Products!E2381</f>
        <v>Для Дверних Полотен без Фальця</v>
      </c>
      <c r="G458" s="170"/>
      <c r="H458" s="170"/>
      <c r="I458" s="170"/>
      <c r="J458" s="343"/>
      <c r="K458" s="343"/>
      <c r="L458" s="355"/>
      <c r="M458" s="356"/>
    </row>
    <row r="459" spans="1:13" ht="24.75" customHeight="1">
      <c r="A459" s="31"/>
      <c r="B459" s="538" t="str">
        <f>Products!B2383</f>
        <v>модель</v>
      </c>
      <c r="C459" s="156" t="str">
        <f>Products!C2383</f>
        <v>покриття:</v>
      </c>
      <c r="D459" s="499" t="str">
        <f>Products!D2383</f>
        <v xml:space="preserve">SIMPLEX / VERTO-CELL </v>
      </c>
      <c r="E459" s="500"/>
      <c r="F459" s="499" t="str">
        <f>Products!H2383</f>
        <v>UNI-MAT</v>
      </c>
      <c r="G459" s="500"/>
      <c r="H459" s="499" t="str">
        <f>Products!L2383</f>
        <v>RESIST</v>
      </c>
      <c r="I459" s="500"/>
      <c r="J459" s="499" t="str">
        <f>Products!P2383</f>
        <v>Verto LINE-3D</v>
      </c>
      <c r="K459" s="500"/>
      <c r="L459" s="499" t="str">
        <f>Products!T2383</f>
        <v>ЕКО Шпон / LOFT</v>
      </c>
      <c r="M459" s="500"/>
    </row>
    <row r="460" spans="1:13">
      <c r="A460" s="31"/>
      <c r="B460" s="539"/>
      <c r="C460" s="158" t="str">
        <f>Products!C2384</f>
        <v>виконання:</v>
      </c>
      <c r="D460" s="255" t="str">
        <f>Products!D2384</f>
        <v>одностулкове</v>
      </c>
      <c r="E460" s="263"/>
      <c r="F460" s="255" t="str">
        <f>Products!H2384</f>
        <v>одностулкове</v>
      </c>
      <c r="G460" s="263"/>
      <c r="H460" s="255" t="str">
        <f>Products!L2384</f>
        <v>одностулкове</v>
      </c>
      <c r="I460" s="255"/>
      <c r="J460" s="255" t="str">
        <f>Products!P2384</f>
        <v>одностулкове</v>
      </c>
      <c r="K460" s="263"/>
      <c r="L460" s="255" t="str">
        <f>Products!T2384</f>
        <v>одностулкове</v>
      </c>
      <c r="M460" s="263"/>
    </row>
    <row r="461" spans="1:13">
      <c r="A461" s="31"/>
      <c r="B461" s="13" t="str">
        <f>Products!B2385</f>
        <v>A (75 - 95 мм)</v>
      </c>
      <c r="C461" s="179"/>
      <c r="D461" s="256">
        <f>Products!E2385</f>
        <v>3570</v>
      </c>
      <c r="E461" s="257"/>
      <c r="F461" s="256">
        <f>Products!I2385</f>
        <v>4100</v>
      </c>
      <c r="G461" s="257"/>
      <c r="H461" s="256">
        <f>Products!M2385</f>
        <v>4320</v>
      </c>
      <c r="I461" s="256"/>
      <c r="J461" s="367">
        <f>Products!Q2385</f>
        <v>4610</v>
      </c>
      <c r="K461" s="368"/>
      <c r="L461" s="367">
        <f>Products!U2385</f>
        <v>4930.0000000000009</v>
      </c>
      <c r="M461" s="368"/>
    </row>
    <row r="462" spans="1:13">
      <c r="A462" s="31"/>
      <c r="B462" s="16" t="str">
        <f>Products!B2386</f>
        <v>B (95 - 115 мм)</v>
      </c>
      <c r="C462" s="180"/>
      <c r="D462" s="258">
        <f>Products!E2386</f>
        <v>3740</v>
      </c>
      <c r="E462" s="259"/>
      <c r="F462" s="258">
        <f>Products!I2386</f>
        <v>4310</v>
      </c>
      <c r="G462" s="259"/>
      <c r="H462" s="258">
        <f>Products!M2386</f>
        <v>4520</v>
      </c>
      <c r="I462" s="258"/>
      <c r="J462" s="376">
        <f>Products!Q2386</f>
        <v>4840</v>
      </c>
      <c r="K462" s="377"/>
      <c r="L462" s="376">
        <f>Products!U2386</f>
        <v>5170.0000000000009</v>
      </c>
      <c r="M462" s="377"/>
    </row>
    <row r="463" spans="1:13">
      <c r="A463" s="31"/>
      <c r="B463" s="16" t="str">
        <f>Products!B2387</f>
        <v>B+ (115 - 135 мм)</v>
      </c>
      <c r="C463" s="180"/>
      <c r="D463" s="258">
        <f>Products!E2387</f>
        <v>3820</v>
      </c>
      <c r="E463" s="259"/>
      <c r="F463" s="258">
        <f>Products!I2387</f>
        <v>4400</v>
      </c>
      <c r="G463" s="259"/>
      <c r="H463" s="258">
        <f>Products!M2387</f>
        <v>4630</v>
      </c>
      <c r="I463" s="258"/>
      <c r="J463" s="376">
        <f>Products!Q2387</f>
        <v>4950</v>
      </c>
      <c r="K463" s="377"/>
      <c r="L463" s="376">
        <f>Products!U2387</f>
        <v>5280</v>
      </c>
      <c r="M463" s="377"/>
    </row>
    <row r="464" spans="1:13">
      <c r="A464" s="31"/>
      <c r="B464" s="16" t="str">
        <f>Products!B2388</f>
        <v>C (120 - 140 мм)</v>
      </c>
      <c r="C464" s="180"/>
      <c r="D464" s="258">
        <f>Products!E2388</f>
        <v>3910</v>
      </c>
      <c r="E464" s="259"/>
      <c r="F464" s="258">
        <f>Products!I2388</f>
        <v>4500</v>
      </c>
      <c r="G464" s="259"/>
      <c r="H464" s="258">
        <f>Products!M2388</f>
        <v>4710</v>
      </c>
      <c r="I464" s="258"/>
      <c r="J464" s="376">
        <f>Products!Q2388</f>
        <v>5060</v>
      </c>
      <c r="K464" s="377"/>
      <c r="L464" s="376">
        <f>Products!U2388</f>
        <v>5400</v>
      </c>
      <c r="M464" s="377"/>
    </row>
    <row r="465" spans="1:13">
      <c r="A465" s="31"/>
      <c r="B465" s="16" t="str">
        <f>Products!B2389</f>
        <v>D (140 - 160 мм)</v>
      </c>
      <c r="C465" s="180"/>
      <c r="D465" s="258">
        <f>Products!E2389</f>
        <v>4080</v>
      </c>
      <c r="E465" s="259"/>
      <c r="F465" s="258">
        <f>Products!I2389</f>
        <v>4690</v>
      </c>
      <c r="G465" s="259"/>
      <c r="H465" s="258">
        <f>Products!M2389</f>
        <v>4930.0000000000009</v>
      </c>
      <c r="I465" s="258"/>
      <c r="J465" s="376">
        <f>Products!Q2389</f>
        <v>5290.0000000000009</v>
      </c>
      <c r="K465" s="377"/>
      <c r="L465" s="376">
        <f>Products!U2389</f>
        <v>5650.0000000000009</v>
      </c>
      <c r="M465" s="377"/>
    </row>
    <row r="466" spans="1:13">
      <c r="A466" s="31"/>
      <c r="B466" s="16" t="str">
        <f>Products!B2390</f>
        <v>E (160 - 180 мм)</v>
      </c>
      <c r="C466" s="180"/>
      <c r="D466" s="258">
        <f>Products!E2390</f>
        <v>4250</v>
      </c>
      <c r="E466" s="259"/>
      <c r="F466" s="258">
        <f>Products!I2390</f>
        <v>4880</v>
      </c>
      <c r="G466" s="259"/>
      <c r="H466" s="258">
        <f>Products!M2390</f>
        <v>5140.0000000000009</v>
      </c>
      <c r="I466" s="258"/>
      <c r="J466" s="376">
        <f>Products!Q2390</f>
        <v>5520</v>
      </c>
      <c r="K466" s="377"/>
      <c r="L466" s="376">
        <f>Products!U2390</f>
        <v>5890.0000000000009</v>
      </c>
      <c r="M466" s="377"/>
    </row>
    <row r="467" spans="1:13">
      <c r="A467" s="31"/>
      <c r="B467" s="16" t="str">
        <f>Products!B2391</f>
        <v>F (180 - 200 мм)</v>
      </c>
      <c r="C467" s="180"/>
      <c r="D467" s="258">
        <f>Products!E2391</f>
        <v>4420</v>
      </c>
      <c r="E467" s="259"/>
      <c r="F467" s="258">
        <f>Products!I2391</f>
        <v>5090</v>
      </c>
      <c r="G467" s="259"/>
      <c r="H467" s="258">
        <f>Products!M2391</f>
        <v>5350.0000000000009</v>
      </c>
      <c r="I467" s="258"/>
      <c r="J467" s="376">
        <f>Products!Q2391</f>
        <v>5740.0000000000009</v>
      </c>
      <c r="K467" s="377"/>
      <c r="L467" s="376">
        <f>Products!U2391</f>
        <v>6140</v>
      </c>
      <c r="M467" s="377"/>
    </row>
    <row r="468" spans="1:13">
      <c r="A468" s="31"/>
      <c r="B468" s="16" t="str">
        <f>Products!B2392</f>
        <v>G (200 - 220 мм)</v>
      </c>
      <c r="C468" s="180"/>
      <c r="D468" s="258">
        <f>Products!E2392</f>
        <v>4590</v>
      </c>
      <c r="E468" s="259"/>
      <c r="F468" s="258">
        <f>Products!I2392</f>
        <v>5280</v>
      </c>
      <c r="G468" s="259"/>
      <c r="H468" s="258">
        <f>Products!M2392</f>
        <v>5560.0000000000009</v>
      </c>
      <c r="I468" s="258"/>
      <c r="J468" s="376">
        <f>Products!Q2392</f>
        <v>5970</v>
      </c>
      <c r="K468" s="377"/>
      <c r="L468" s="376">
        <f>Products!U2392</f>
        <v>6370.0000000000009</v>
      </c>
      <c r="M468" s="377"/>
    </row>
    <row r="469" spans="1:13">
      <c r="A469" s="31"/>
      <c r="B469" s="16" t="str">
        <f>Products!B2393</f>
        <v>H (220 - 240 мм)</v>
      </c>
      <c r="C469" s="180"/>
      <c r="D469" s="258">
        <f>Products!E2393</f>
        <v>4760</v>
      </c>
      <c r="E469" s="259"/>
      <c r="F469" s="258">
        <f>Products!I2393</f>
        <v>5470.0000000000009</v>
      </c>
      <c r="G469" s="259"/>
      <c r="H469" s="258">
        <f>Products!M2393</f>
        <v>5760</v>
      </c>
      <c r="I469" s="258"/>
      <c r="J469" s="376">
        <f>Products!Q2393</f>
        <v>6190.0000000000009</v>
      </c>
      <c r="K469" s="377"/>
      <c r="L469" s="376">
        <f>Products!U2393</f>
        <v>6600</v>
      </c>
      <c r="M469" s="377"/>
    </row>
    <row r="470" spans="1:13">
      <c r="A470" s="31"/>
      <c r="B470" s="23" t="str">
        <f>Products!B2394</f>
        <v>I (240 - 260 мм)</v>
      </c>
      <c r="C470" s="178"/>
      <c r="D470" s="260">
        <f>Products!E2394</f>
        <v>4930.0000000000009</v>
      </c>
      <c r="E470" s="261"/>
      <c r="F470" s="260">
        <f>Products!I2394</f>
        <v>5660</v>
      </c>
      <c r="G470" s="261"/>
      <c r="H470" s="260">
        <f>Products!M2394</f>
        <v>5990</v>
      </c>
      <c r="I470" s="260"/>
      <c r="J470" s="369">
        <f>Products!Q2394</f>
        <v>6420</v>
      </c>
      <c r="K470" s="370"/>
      <c r="L470" s="369">
        <f>Products!U2394</f>
        <v>6850.0000000000009</v>
      </c>
      <c r="M470" s="370"/>
    </row>
    <row r="471" spans="1:13">
      <c r="A471" s="145"/>
      <c r="B471" s="54" t="str">
        <f>Products!B2438</f>
        <v>ПЛАНКИ РЕГУЛЮВАЛЬНІ</v>
      </c>
      <c r="C471" s="55"/>
      <c r="D471" s="549" t="str">
        <f>Products!E2397</f>
        <v>Для Дверних Коробок Verto-FIT  Comfort</v>
      </c>
      <c r="E471" s="549"/>
      <c r="F471" s="549"/>
      <c r="G471" s="549"/>
      <c r="H471" s="200"/>
      <c r="I471" s="200"/>
      <c r="J471" s="200"/>
      <c r="K471" s="200"/>
      <c r="L471" s="378"/>
      <c r="M471" s="378"/>
    </row>
    <row r="472" spans="1:13">
      <c r="A472" s="31"/>
      <c r="B472" s="13" t="str">
        <f>Products!B2439</f>
        <v>Планка (1 к-т) 80 мм</v>
      </c>
      <c r="C472" s="177"/>
      <c r="D472" s="256">
        <f>Products!E2439</f>
        <v>1190</v>
      </c>
      <c r="E472" s="257"/>
      <c r="F472" s="256">
        <f>Products!I2439</f>
        <v>1310</v>
      </c>
      <c r="G472" s="301"/>
      <c r="H472" s="256">
        <f>Products!M2439</f>
        <v>1390.0000000000002</v>
      </c>
      <c r="I472" s="256"/>
      <c r="J472" s="367">
        <f>Products!Q2398</f>
        <v>1470</v>
      </c>
      <c r="K472" s="368"/>
      <c r="L472" s="367">
        <f>Products!U2398</f>
        <v>1550</v>
      </c>
      <c r="M472" s="368"/>
    </row>
    <row r="473" spans="1:13">
      <c r="A473" s="31"/>
      <c r="B473" s="16" t="str">
        <f>Products!B2440</f>
        <v>Планка (1 к-т) 160 мм</v>
      </c>
      <c r="C473" s="180"/>
      <c r="D473" s="265">
        <f>Products!E2440</f>
        <v>1980</v>
      </c>
      <c r="E473" s="186"/>
      <c r="F473" s="300">
        <f>Products!I2440</f>
        <v>2250</v>
      </c>
      <c r="G473" s="259"/>
      <c r="H473" s="303">
        <f>Products!M2440</f>
        <v>2390</v>
      </c>
      <c r="I473" s="303"/>
      <c r="J473" s="373">
        <f>Products!Q2399</f>
        <v>2540.0000000000005</v>
      </c>
      <c r="K473" s="374"/>
      <c r="L473" s="373">
        <f>Products!U2399</f>
        <v>2690.0000000000005</v>
      </c>
      <c r="M473" s="374"/>
    </row>
    <row r="474" spans="1:13">
      <c r="A474" s="31"/>
      <c r="B474" s="23" t="str">
        <f>Products!B2441</f>
        <v>Планка (1 к-т) 200 мм</v>
      </c>
      <c r="C474" s="285"/>
      <c r="D474" s="260">
        <f>Products!E2441</f>
        <v>2360</v>
      </c>
      <c r="E474" s="261"/>
      <c r="F474" s="260">
        <f>Products!I2441</f>
        <v>2690.0000000000005</v>
      </c>
      <c r="G474" s="302"/>
      <c r="H474" s="260">
        <f>Products!M2441</f>
        <v>2870.0000000000005</v>
      </c>
      <c r="I474" s="260"/>
      <c r="J474" s="369">
        <f>Products!Q2400</f>
        <v>3030</v>
      </c>
      <c r="K474" s="370"/>
      <c r="L474" s="369">
        <f>Products!U2400</f>
        <v>3210</v>
      </c>
      <c r="M474" s="370"/>
    </row>
    <row r="475" spans="1:13">
      <c r="C475" s="34"/>
      <c r="D475" s="232"/>
      <c r="E475" s="232"/>
      <c r="F475" s="233"/>
      <c r="G475" s="233"/>
      <c r="H475" s="234"/>
      <c r="I475" s="234"/>
      <c r="J475" s="379"/>
      <c r="K475" s="379"/>
      <c r="L475" s="380"/>
      <c r="M475" s="380"/>
    </row>
    <row r="476" spans="1:13" s="31" customFormat="1">
      <c r="A476" s="33"/>
      <c r="B476" s="226"/>
      <c r="C476" s="231" t="str">
        <f>Products!B2404</f>
        <v>прихована 3D завіса хром/чорн.</v>
      </c>
      <c r="D476" s="195">
        <f>Products!E2404</f>
        <v>890.00000000000011</v>
      </c>
      <c r="E476" s="34"/>
      <c r="F476" s="33"/>
      <c r="G476" s="33"/>
      <c r="H476" s="145"/>
      <c r="I476" s="145"/>
      <c r="J476" s="375"/>
      <c r="K476" s="375"/>
      <c r="L476" s="353"/>
      <c r="M476" s="353"/>
    </row>
    <row r="477" spans="1:13" s="31" customFormat="1">
      <c r="A477" s="33"/>
      <c r="B477" s="459"/>
      <c r="C477" s="460"/>
      <c r="D477" s="199"/>
      <c r="E477" s="34"/>
      <c r="F477" s="33"/>
      <c r="G477" s="33"/>
      <c r="H477" s="145"/>
      <c r="I477" s="145"/>
      <c r="J477" s="375"/>
      <c r="K477" s="375"/>
      <c r="L477" s="353"/>
      <c r="M477" s="353"/>
    </row>
    <row r="478" spans="1:13" s="31" customFormat="1">
      <c r="A478" s="33"/>
      <c r="B478" s="542" t="str">
        <f>Products!B2423</f>
        <v>Дверна коробка Verto-FIT Comfort Inside</v>
      </c>
      <c r="C478" s="548"/>
      <c r="D478" s="548"/>
      <c r="E478" s="548"/>
      <c r="F478" s="295" t="str">
        <f>Products!E2423</f>
        <v>Для Дверних Полотен Внутрішнього відкривання</v>
      </c>
      <c r="G478" s="170"/>
      <c r="H478" s="170"/>
      <c r="I478" s="461"/>
    </row>
    <row r="479" spans="1:13" s="31" customFormat="1">
      <c r="A479" s="33"/>
      <c r="B479" s="538" t="str">
        <f>Products!B2425</f>
        <v>модель</v>
      </c>
      <c r="C479" s="156" t="str">
        <f>Products!C2425</f>
        <v>покриття:</v>
      </c>
      <c r="D479" s="499" t="str">
        <f>Products!D2425</f>
        <v xml:space="preserve">SIMPLEX / VERTO-CELL </v>
      </c>
      <c r="E479" s="500"/>
      <c r="F479" s="499" t="str">
        <f>Products!H2425</f>
        <v>UNI-MAT</v>
      </c>
      <c r="G479" s="500"/>
      <c r="H479" s="499" t="str">
        <f>Products!L2425</f>
        <v>RESIST</v>
      </c>
      <c r="I479" s="500"/>
    </row>
    <row r="480" spans="1:13" s="31" customFormat="1">
      <c r="A480" s="33"/>
      <c r="B480" s="539"/>
      <c r="C480" s="158" t="str">
        <f>Products!C2426</f>
        <v>виконання:</v>
      </c>
      <c r="D480" s="255" t="str">
        <f>Products!D2426</f>
        <v>одностулкове</v>
      </c>
      <c r="E480" s="263"/>
      <c r="F480" s="255" t="str">
        <f>Products!H2426</f>
        <v>одностулкове</v>
      </c>
      <c r="G480" s="263"/>
      <c r="H480" s="255" t="str">
        <f>Products!L2426</f>
        <v>одностулкове</v>
      </c>
      <c r="I480" s="161"/>
    </row>
    <row r="481" spans="1:13" s="31" customFormat="1">
      <c r="A481" s="33"/>
      <c r="B481" s="13" t="str">
        <f>Products!B2427</f>
        <v>A (75 - 95 мм)</v>
      </c>
      <c r="C481" s="179"/>
      <c r="D481" s="256">
        <f>Products!E2427</f>
        <v>3490</v>
      </c>
      <c r="E481" s="257"/>
      <c r="F481" s="256">
        <f>Products!I2427</f>
        <v>4010</v>
      </c>
      <c r="G481" s="257"/>
      <c r="H481" s="256">
        <f>Products!M2427</f>
        <v>4260</v>
      </c>
      <c r="I481" s="183"/>
    </row>
    <row r="482" spans="1:13" s="31" customFormat="1">
      <c r="A482" s="33"/>
      <c r="B482" s="16" t="str">
        <f>Products!B2428</f>
        <v>B (95 - 115 мм)</v>
      </c>
      <c r="C482" s="180"/>
      <c r="D482" s="258">
        <f>Products!E2428</f>
        <v>3680.0000000000005</v>
      </c>
      <c r="E482" s="259"/>
      <c r="F482" s="258">
        <f>Products!I2428</f>
        <v>4240</v>
      </c>
      <c r="G482" s="259"/>
      <c r="H482" s="258">
        <f>Products!M2428</f>
        <v>4480</v>
      </c>
      <c r="I482" s="185"/>
    </row>
    <row r="483" spans="1:13" s="31" customFormat="1">
      <c r="A483" s="33"/>
      <c r="B483" s="16" t="str">
        <f>Products!B2429</f>
        <v>B+ (100 - 120 мм)</v>
      </c>
      <c r="C483" s="180"/>
      <c r="D483" s="258">
        <f>Products!E2429</f>
        <v>3780</v>
      </c>
      <c r="E483" s="259"/>
      <c r="F483" s="258">
        <f>Products!I2429</f>
        <v>4360</v>
      </c>
      <c r="G483" s="259"/>
      <c r="H483" s="258">
        <f>Products!M2429</f>
        <v>4610</v>
      </c>
      <c r="I483" s="185"/>
    </row>
    <row r="484" spans="1:13" s="31" customFormat="1">
      <c r="A484" s="33"/>
      <c r="B484" s="16" t="str">
        <f>Products!B2430</f>
        <v>C (120 - 140 мм)</v>
      </c>
      <c r="C484" s="180"/>
      <c r="D484" s="258">
        <f>Products!E2430</f>
        <v>3870</v>
      </c>
      <c r="E484" s="259"/>
      <c r="F484" s="258">
        <f>Products!I2430</f>
        <v>4450</v>
      </c>
      <c r="G484" s="259"/>
      <c r="H484" s="258">
        <f>Products!M2430</f>
        <v>4710</v>
      </c>
      <c r="I484" s="185"/>
    </row>
    <row r="485" spans="1:13" s="31" customFormat="1">
      <c r="A485" s="33"/>
      <c r="B485" s="16" t="str">
        <f>Products!B2431</f>
        <v>D (140 - 160 мм)</v>
      </c>
      <c r="C485" s="180"/>
      <c r="D485" s="258">
        <f>Products!E2431</f>
        <v>4080</v>
      </c>
      <c r="E485" s="259"/>
      <c r="F485" s="258">
        <f>Products!I2431</f>
        <v>4700</v>
      </c>
      <c r="G485" s="259"/>
      <c r="H485" s="258">
        <f>Products!M2431</f>
        <v>4920</v>
      </c>
      <c r="I485" s="185"/>
    </row>
    <row r="486" spans="1:13" s="31" customFormat="1">
      <c r="A486" s="33"/>
      <c r="B486" s="16" t="str">
        <f>Products!B2432</f>
        <v>E (160 - 180 мм)</v>
      </c>
      <c r="C486" s="180"/>
      <c r="D486" s="258">
        <f>Products!E2432</f>
        <v>4260</v>
      </c>
      <c r="E486" s="259"/>
      <c r="F486" s="258">
        <f>Products!I2432</f>
        <v>4900</v>
      </c>
      <c r="G486" s="259"/>
      <c r="H486" s="258">
        <f>Products!M2432</f>
        <v>5140.0000000000009</v>
      </c>
      <c r="I486" s="185"/>
    </row>
    <row r="487" spans="1:13" s="31" customFormat="1">
      <c r="A487" s="33"/>
      <c r="B487" s="16" t="str">
        <f>Products!B2433</f>
        <v>F (180 - 200 мм)</v>
      </c>
      <c r="C487" s="180"/>
      <c r="D487" s="258">
        <f>Products!E2433</f>
        <v>4470</v>
      </c>
      <c r="E487" s="259"/>
      <c r="F487" s="258">
        <f>Products!I2433</f>
        <v>5130</v>
      </c>
      <c r="G487" s="259"/>
      <c r="H487" s="258">
        <f>Products!M2433</f>
        <v>5390</v>
      </c>
      <c r="I487" s="185"/>
    </row>
    <row r="488" spans="1:13" s="31" customFormat="1">
      <c r="A488" s="33"/>
      <c r="B488" s="16" t="str">
        <f>Products!B2434</f>
        <v>G (200 - 220 мм)</v>
      </c>
      <c r="C488" s="180"/>
      <c r="D488" s="258">
        <f>Products!E2434</f>
        <v>4650</v>
      </c>
      <c r="E488" s="259"/>
      <c r="F488" s="258">
        <f>Products!I2434</f>
        <v>5360</v>
      </c>
      <c r="G488" s="259"/>
      <c r="H488" s="258">
        <f>Products!M2434</f>
        <v>5610</v>
      </c>
      <c r="I488" s="185"/>
    </row>
    <row r="489" spans="1:13" s="31" customFormat="1">
      <c r="A489" s="33"/>
      <c r="B489" s="23" t="str">
        <f>Products!B2435</f>
        <v>H (220 - 240 мм)</v>
      </c>
      <c r="C489" s="178"/>
      <c r="D489" s="260">
        <f>Products!E2435</f>
        <v>4840</v>
      </c>
      <c r="E489" s="261"/>
      <c r="F489" s="260">
        <f>Products!I2435</f>
        <v>5570</v>
      </c>
      <c r="G489" s="261"/>
      <c r="H489" s="260">
        <f>Products!M2435</f>
        <v>5830.0000000000009</v>
      </c>
      <c r="I489" s="187"/>
    </row>
    <row r="490" spans="1:13" s="31" customFormat="1">
      <c r="A490" s="33"/>
      <c r="B490" s="54" t="str">
        <f>Products!B2438</f>
        <v>ПЛАНКИ РЕГУЛЮВАЛЬНІ</v>
      </c>
      <c r="C490" s="55"/>
      <c r="D490" s="536" t="str">
        <f>Products!E2438</f>
        <v>Для Дверних Коробок Verto-FIT Comfort Inside</v>
      </c>
      <c r="E490" s="536"/>
      <c r="F490" s="536"/>
      <c r="G490" s="536"/>
      <c r="H490" s="200"/>
      <c r="I490" s="200"/>
      <c r="J490" s="200"/>
      <c r="K490" s="200"/>
      <c r="L490" s="378"/>
      <c r="M490" s="378"/>
    </row>
    <row r="491" spans="1:13" s="31" customFormat="1">
      <c r="A491" s="33"/>
      <c r="B491" s="13" t="str">
        <f>Products!B2439</f>
        <v>Планка (1 к-т) 80 мм</v>
      </c>
      <c r="C491" s="177"/>
      <c r="D491" s="256">
        <f>Products!E2439</f>
        <v>1190</v>
      </c>
      <c r="E491" s="257"/>
      <c r="F491" s="256">
        <f>Products!I2439</f>
        <v>1310</v>
      </c>
      <c r="G491" s="301"/>
      <c r="H491" s="462">
        <f>Products!M2439</f>
        <v>1390.0000000000002</v>
      </c>
      <c r="I491" s="183"/>
    </row>
    <row r="492" spans="1:13" s="31" customFormat="1">
      <c r="A492" s="33"/>
      <c r="B492" s="16" t="str">
        <f>Products!B2440</f>
        <v>Планка (1 к-т) 160 мм</v>
      </c>
      <c r="C492" s="180"/>
      <c r="D492" s="265">
        <f>Products!E2440</f>
        <v>1980</v>
      </c>
      <c r="E492" s="186"/>
      <c r="F492" s="300">
        <f>Products!I2440</f>
        <v>2250</v>
      </c>
      <c r="G492" s="259"/>
      <c r="H492" s="192">
        <f>Products!M2440</f>
        <v>2390</v>
      </c>
      <c r="I492" s="185"/>
    </row>
    <row r="493" spans="1:13" s="31" customFormat="1">
      <c r="A493" s="33"/>
      <c r="B493" s="23" t="str">
        <f>Products!B2441</f>
        <v>Планка (1 к-т) 200 мм</v>
      </c>
      <c r="C493" s="285"/>
      <c r="D493" s="260">
        <f>Products!E2441</f>
        <v>2360</v>
      </c>
      <c r="E493" s="261"/>
      <c r="F493" s="260">
        <f>Products!I2441</f>
        <v>2690.0000000000005</v>
      </c>
      <c r="G493" s="302"/>
      <c r="H493" s="330">
        <f>Products!M2441</f>
        <v>2870.0000000000005</v>
      </c>
      <c r="I493" s="187"/>
    </row>
    <row r="494" spans="1:13" s="31" customFormat="1">
      <c r="A494" s="33"/>
      <c r="B494" s="33"/>
      <c r="C494" s="34"/>
      <c r="D494" s="232"/>
      <c r="E494" s="232"/>
      <c r="F494" s="233"/>
      <c r="G494" s="233"/>
      <c r="H494" s="234"/>
      <c r="I494" s="234"/>
      <c r="J494" s="379"/>
      <c r="K494" s="379"/>
      <c r="L494" s="380"/>
      <c r="M494" s="380"/>
    </row>
    <row r="495" spans="1:13" s="31" customFormat="1">
      <c r="A495" s="33"/>
      <c r="B495" s="226"/>
      <c r="C495" s="231" t="str">
        <f>Products!B2445</f>
        <v>прихована 3D завіса Cemom хром/чорн.</v>
      </c>
      <c r="D495" s="195">
        <f>Products!E2445</f>
        <v>1500</v>
      </c>
      <c r="E495" s="34"/>
      <c r="F495" s="33"/>
      <c r="G495" s="33"/>
      <c r="H495" s="145"/>
      <c r="I495" s="145"/>
      <c r="J495" s="375"/>
      <c r="K495" s="375"/>
      <c r="L495" s="353"/>
      <c r="M495" s="353"/>
    </row>
    <row r="496" spans="1:13" ht="12.75" customHeight="1">
      <c r="C496" s="34"/>
      <c r="D496" s="34"/>
      <c r="E496" s="34"/>
      <c r="H496" s="145"/>
      <c r="I496" s="145"/>
      <c r="J496" s="375"/>
      <c r="K496" s="375"/>
      <c r="L496" s="353"/>
      <c r="M496" s="353"/>
    </row>
    <row r="497" spans="1:13" s="31" customFormat="1">
      <c r="B497" s="542" t="str">
        <f>Products!B2531</f>
        <v>Плінтуси</v>
      </c>
      <c r="C497" s="548"/>
      <c r="D497" s="548"/>
      <c r="E497" s="548"/>
      <c r="F497" s="170"/>
      <c r="G497" s="170"/>
      <c r="H497" s="170"/>
      <c r="I497" s="170"/>
      <c r="J497" s="343"/>
      <c r="K497" s="343"/>
      <c r="L497" s="355"/>
      <c r="M497" s="356"/>
    </row>
    <row r="498" spans="1:13" s="31" customFormat="1">
      <c r="B498" s="537" t="str">
        <f>Products!B2533</f>
        <v>модель</v>
      </c>
      <c r="C498" s="172" t="str">
        <f>Products!C2533</f>
        <v>покриття:</v>
      </c>
      <c r="D498" s="167" t="str">
        <f>Products!D2533</f>
        <v>SIMPL / V-CELL</v>
      </c>
      <c r="E498" s="167" t="str">
        <f>Products!F2533</f>
        <v>UNI-MAT</v>
      </c>
      <c r="F498" s="167" t="str">
        <f>Products!H2533</f>
        <v>RESIST</v>
      </c>
      <c r="G498" s="167" t="str">
        <f>Products!J2533</f>
        <v>Verto LINE-3D</v>
      </c>
      <c r="H498" s="167" t="str">
        <f>Products!L2533</f>
        <v>ЕКО Шпон / LOFT</v>
      </c>
      <c r="I498" s="47"/>
      <c r="J498" s="340"/>
      <c r="K498" s="550" t="str">
        <f>Products!B2538</f>
        <v>Замовлення на Плінтус приймаються в кількості від 8 шт.</v>
      </c>
      <c r="L498" s="550">
        <f>Products!C2603</f>
        <v>0</v>
      </c>
      <c r="M498" s="550">
        <f>Products!E2603</f>
        <v>1490</v>
      </c>
    </row>
    <row r="499" spans="1:13" s="31" customFormat="1">
      <c r="B499" s="539"/>
      <c r="C499" s="126" t="str">
        <f>Products!C2534</f>
        <v>виконання:</v>
      </c>
      <c r="D499" s="161" t="str">
        <f>Products!D2534</f>
        <v>за 1 шт.</v>
      </c>
      <c r="E499" s="161" t="str">
        <f>Products!F2534</f>
        <v>за 1 шт.</v>
      </c>
      <c r="F499" s="161" t="str">
        <f>Products!H2534</f>
        <v>за 1 шт.</v>
      </c>
      <c r="G499" s="161" t="str">
        <f>Products!J2534</f>
        <v>за 1 шт.</v>
      </c>
      <c r="H499" s="161" t="str">
        <f>Products!L2534</f>
        <v>за 1 шт.</v>
      </c>
      <c r="I499" s="47"/>
      <c r="J499" s="47"/>
      <c r="K499" s="381"/>
      <c r="L499" s="381"/>
      <c r="M499" s="201"/>
    </row>
    <row r="500" spans="1:13" s="31" customFormat="1">
      <c r="B500" s="13" t="str">
        <f>Products!B2535</f>
        <v>Плінтус 60 мм</v>
      </c>
      <c r="C500" s="179"/>
      <c r="D500" s="318">
        <f>Products!E2535</f>
        <v>320</v>
      </c>
      <c r="E500" s="318">
        <f>Products!G2535</f>
        <v>350</v>
      </c>
      <c r="F500" s="318">
        <f>Products!I2535</f>
        <v>410</v>
      </c>
      <c r="G500" s="318">
        <f>Products!K2535</f>
        <v>430.00000000000006</v>
      </c>
      <c r="H500" s="318">
        <f>Products!M2535</f>
        <v>450</v>
      </c>
      <c r="I500" s="29"/>
      <c r="J500" s="29"/>
      <c r="K500" s="29"/>
      <c r="L500" s="381"/>
      <c r="M500" s="201"/>
    </row>
    <row r="501" spans="1:13" s="31" customFormat="1">
      <c r="B501" s="23" t="str">
        <f>Products!B2536</f>
        <v>Плінтус 80 мм</v>
      </c>
      <c r="C501" s="178"/>
      <c r="D501" s="319">
        <f>Products!E2536</f>
        <v>360</v>
      </c>
      <c r="E501" s="319">
        <f>Products!G2536</f>
        <v>430.00000000000006</v>
      </c>
      <c r="F501" s="319">
        <f>Products!I2536</f>
        <v>450</v>
      </c>
      <c r="G501" s="319">
        <f>Products!K2536</f>
        <v>510</v>
      </c>
      <c r="H501" s="319">
        <f>Products!M2536</f>
        <v>570</v>
      </c>
      <c r="I501" s="200"/>
      <c r="J501" s="200"/>
      <c r="K501" s="29"/>
      <c r="L501" s="381"/>
      <c r="M501" s="201"/>
    </row>
    <row r="502" spans="1:13" ht="12.75" customHeight="1">
      <c r="C502" s="34"/>
      <c r="D502" s="34"/>
      <c r="E502" s="34"/>
      <c r="H502" s="145"/>
      <c r="I502" s="145"/>
      <c r="J502" s="375"/>
      <c r="K502" s="375"/>
      <c r="L502" s="353"/>
      <c r="M502" s="353"/>
    </row>
    <row r="503" spans="1:13" ht="12.75" customHeight="1">
      <c r="A503" s="31"/>
      <c r="B503" s="542" t="str">
        <f>TITLE!$C$48</f>
        <v>Фрамуги</v>
      </c>
      <c r="C503" s="548"/>
      <c r="D503" s="548"/>
      <c r="E503" s="548"/>
      <c r="F503" s="170"/>
      <c r="G503" s="170"/>
      <c r="H503" s="170"/>
      <c r="I503" s="170"/>
      <c r="J503" s="343"/>
      <c r="K503" s="343"/>
      <c r="L503" s="355"/>
      <c r="M503" s="356"/>
    </row>
    <row r="504" spans="1:13" s="145" customFormat="1" ht="24.75" customHeight="1">
      <c r="A504" s="31"/>
      <c r="B504" s="537" t="str">
        <f>Products!B2591</f>
        <v>модель</v>
      </c>
      <c r="C504" s="172" t="str">
        <f>Products!C2591</f>
        <v>покриття:</v>
      </c>
      <c r="D504" s="167" t="str">
        <f>Products!D2591</f>
        <v>SIMPL / V-CELL / V-C Plus</v>
      </c>
      <c r="E504" s="167" t="str">
        <f>Products!F2591</f>
        <v>UNI-MAT</v>
      </c>
      <c r="F504" s="167" t="str">
        <f>Products!H2591</f>
        <v>RESIST</v>
      </c>
      <c r="G504" s="167" t="str">
        <f>Products!J2591</f>
        <v>Verto LINE-3D</v>
      </c>
      <c r="H504" s="167" t="str">
        <f>Products!L2591</f>
        <v>ЕКО Шпон / LOFT</v>
      </c>
      <c r="I504" s="47"/>
      <c r="J504" s="47"/>
      <c r="K504" s="382" t="str">
        <f>Products!B2609</f>
        <v>Вид скління:</v>
      </c>
      <c r="L504" s="342" t="str">
        <f>Products!C2609</f>
        <v>Фільонка</v>
      </c>
      <c r="M504" s="358">
        <f>Products!E2609</f>
        <v>1220</v>
      </c>
    </row>
    <row r="505" spans="1:13">
      <c r="A505" s="31"/>
      <c r="B505" s="539"/>
      <c r="C505" s="126" t="str">
        <f>Products!C2592</f>
        <v>виконання:</v>
      </c>
      <c r="D505" s="161" t="str">
        <f>Products!D2592</f>
        <v>за 1 пг.м</v>
      </c>
      <c r="E505" s="161" t="str">
        <f>Products!F2592</f>
        <v>за 1 пг.м</v>
      </c>
      <c r="F505" s="161" t="str">
        <f>Products!H2592</f>
        <v>за 1 пг.м</v>
      </c>
      <c r="G505" s="161" t="str">
        <f>Products!J2592</f>
        <v>за 1 пг.м</v>
      </c>
      <c r="H505" s="161" t="str">
        <f>Products!L2592</f>
        <v>за 1 пг.м</v>
      </c>
      <c r="I505" s="47"/>
      <c r="J505" s="47"/>
      <c r="K505" s="360" t="str">
        <f>Products!B2610</f>
        <v>Ціна за 1 кв.м</v>
      </c>
      <c r="L505" s="342" t="str">
        <f>Products!C2610</f>
        <v>Кризет</v>
      </c>
      <c r="M505" s="349">
        <f>Products!E2610</f>
        <v>910</v>
      </c>
    </row>
    <row r="506" spans="1:13" s="145" customFormat="1">
      <c r="B506" s="54" t="str">
        <f>Products!B2593</f>
        <v>ФРАМУГА STANDART</v>
      </c>
      <c r="C506" s="55"/>
      <c r="D506" s="29"/>
      <c r="E506" s="29"/>
      <c r="F506" s="29"/>
      <c r="G506" s="29"/>
      <c r="H506" s="29"/>
      <c r="I506" s="29"/>
      <c r="J506" s="29"/>
      <c r="K506" s="181"/>
      <c r="L506" s="342" t="str">
        <f>Products!C2611</f>
        <v>Сатин</v>
      </c>
      <c r="M506" s="349">
        <f>Products!E2611</f>
        <v>1120</v>
      </c>
    </row>
    <row r="507" spans="1:13">
      <c r="A507" s="31"/>
      <c r="B507" s="49" t="str">
        <f>Products!B2594</f>
        <v>Фрамуга дерево 80 мм</v>
      </c>
      <c r="C507" s="50"/>
      <c r="D507" s="198">
        <f>Products!E2594</f>
        <v>750</v>
      </c>
      <c r="E507" s="198">
        <f>Products!G2594</f>
        <v>840</v>
      </c>
      <c r="F507" s="198">
        <f>Products!I2594</f>
        <v>880</v>
      </c>
      <c r="G507" s="198">
        <f>Products!K2594</f>
        <v>960</v>
      </c>
      <c r="H507" s="198">
        <f>Products!M2594</f>
        <v>1060</v>
      </c>
      <c r="I507" s="200"/>
      <c r="J507" s="200"/>
      <c r="K507" s="181"/>
      <c r="L507" s="342" t="str">
        <f>Products!C2612</f>
        <v>Жалюзі</v>
      </c>
      <c r="M507" s="349">
        <f>Products!E2612</f>
        <v>910</v>
      </c>
    </row>
    <row r="508" spans="1:13">
      <c r="A508" s="145"/>
      <c r="B508" s="54" t="str">
        <f>Products!B2595</f>
        <v>ФРАМУГА VERTO-FIT</v>
      </c>
      <c r="C508" s="55"/>
      <c r="D508" s="199"/>
      <c r="E508" s="199"/>
      <c r="F508" s="199"/>
      <c r="G508" s="199"/>
      <c r="H508" s="199"/>
      <c r="I508" s="200"/>
      <c r="J508" s="200"/>
      <c r="K508" s="181"/>
      <c r="L508" s="342" t="str">
        <f>Products!C2613</f>
        <v>Графіт</v>
      </c>
      <c r="M508" s="349">
        <f>Products!E2613</f>
        <v>1530</v>
      </c>
    </row>
    <row r="509" spans="1:13">
      <c r="A509" s="31"/>
      <c r="B509" s="13" t="str">
        <f>Products!B2596</f>
        <v>A (75 - 95 мм)</v>
      </c>
      <c r="C509" s="179"/>
      <c r="D509" s="184">
        <f>Products!E2596</f>
        <v>980</v>
      </c>
      <c r="E509" s="184">
        <f>Products!G2596</f>
        <v>1130</v>
      </c>
      <c r="F509" s="184">
        <f>Products!I2596</f>
        <v>1190</v>
      </c>
      <c r="G509" s="184">
        <f>Products!K2596</f>
        <v>1260</v>
      </c>
      <c r="H509" s="184">
        <f>Products!M2596</f>
        <v>1350</v>
      </c>
      <c r="I509" s="201"/>
      <c r="J509" s="201"/>
      <c r="K509" s="181"/>
      <c r="L509" s="342" t="str">
        <f>Products!C2614</f>
        <v>Бронза</v>
      </c>
      <c r="M509" s="349">
        <f>Products!E2614</f>
        <v>1530</v>
      </c>
    </row>
    <row r="510" spans="1:13">
      <c r="A510" s="31"/>
      <c r="B510" s="16" t="str">
        <f>Products!B2597</f>
        <v>B (95 - 115 мм)</v>
      </c>
      <c r="C510" s="180"/>
      <c r="D510" s="186">
        <f>Products!E2597</f>
        <v>1060</v>
      </c>
      <c r="E510" s="186">
        <f>Products!G2597</f>
        <v>1220</v>
      </c>
      <c r="F510" s="186">
        <f>Products!I2597</f>
        <v>1310</v>
      </c>
      <c r="G510" s="186">
        <f>Products!K2597</f>
        <v>1370</v>
      </c>
      <c r="H510" s="186">
        <f>Products!M2597</f>
        <v>1480.0000000000002</v>
      </c>
      <c r="I510" s="201"/>
      <c r="J510" s="201"/>
      <c r="K510" s="181"/>
      <c r="L510" s="342" t="str">
        <f>Products!C2615</f>
        <v>Малюнок</v>
      </c>
      <c r="M510" s="349">
        <f>Products!E2615</f>
        <v>1360.0000000000002</v>
      </c>
    </row>
    <row r="511" spans="1:13">
      <c r="A511" s="31"/>
      <c r="B511" s="16" t="str">
        <f>Products!B2598</f>
        <v>B+ (100 - 120 мм)</v>
      </c>
      <c r="C511" s="180"/>
      <c r="D511" s="186">
        <f>Products!E2598</f>
        <v>1100</v>
      </c>
      <c r="E511" s="186">
        <f>Products!G2598</f>
        <v>1270.0000000000002</v>
      </c>
      <c r="F511" s="186">
        <f>Products!I2598</f>
        <v>1360.0000000000002</v>
      </c>
      <c r="G511" s="186">
        <f>Products!K2598</f>
        <v>1430</v>
      </c>
      <c r="H511" s="186">
        <f>Products!M2598</f>
        <v>1550</v>
      </c>
      <c r="I511" s="201"/>
      <c r="J511" s="201"/>
      <c r="K511" s="181"/>
      <c r="L511" s="342" t="str">
        <f>Products!C2616</f>
        <v>Дзеркало</v>
      </c>
      <c r="M511" s="354">
        <f>Products!E2616</f>
        <v>1640</v>
      </c>
    </row>
    <row r="512" spans="1:13">
      <c r="A512" s="31"/>
      <c r="B512" s="16" t="str">
        <f>Products!B2599</f>
        <v>C (120 - 140 мм)</v>
      </c>
      <c r="C512" s="180"/>
      <c r="D512" s="186">
        <f>Products!E2599</f>
        <v>1150</v>
      </c>
      <c r="E512" s="186">
        <f>Products!G2599</f>
        <v>1320</v>
      </c>
      <c r="F512" s="186">
        <f>Products!I2599</f>
        <v>1410</v>
      </c>
      <c r="G512" s="186">
        <f>Products!K2599</f>
        <v>1490</v>
      </c>
      <c r="H512" s="186">
        <f>Products!M2599</f>
        <v>1590</v>
      </c>
      <c r="I512" s="201"/>
      <c r="J512" s="201"/>
      <c r="K512" s="29"/>
      <c r="L512" s="381"/>
      <c r="M512" s="201"/>
    </row>
    <row r="513" spans="1:13">
      <c r="A513" s="31"/>
      <c r="B513" s="16" t="str">
        <f>Products!B2600</f>
        <v>D (140 - 160 мм)</v>
      </c>
      <c r="C513" s="180"/>
      <c r="D513" s="186">
        <f>Products!E2600</f>
        <v>1230</v>
      </c>
      <c r="E513" s="186">
        <f>Products!G2600</f>
        <v>1410</v>
      </c>
      <c r="F513" s="186">
        <f>Products!I2600</f>
        <v>1530</v>
      </c>
      <c r="G513" s="186">
        <f>Products!K2600</f>
        <v>1610</v>
      </c>
      <c r="H513" s="186">
        <f>Products!M2600</f>
        <v>1730</v>
      </c>
      <c r="I513" s="201"/>
      <c r="J513" s="201"/>
      <c r="K513" s="353"/>
      <c r="L513" s="353"/>
      <c r="M513" s="353"/>
    </row>
    <row r="514" spans="1:13">
      <c r="A514" s="31"/>
      <c r="B514" s="16" t="str">
        <f>Products!B2601</f>
        <v>E (160 - 180 мм)</v>
      </c>
      <c r="C514" s="180"/>
      <c r="D514" s="186">
        <f>Products!E2601</f>
        <v>1320</v>
      </c>
      <c r="E514" s="186">
        <f>Products!G2601</f>
        <v>1530</v>
      </c>
      <c r="F514" s="186">
        <f>Products!I2601</f>
        <v>1650</v>
      </c>
      <c r="G514" s="186">
        <f>Products!K2601</f>
        <v>1720.0000000000002</v>
      </c>
      <c r="H514" s="186">
        <f>Products!M2601</f>
        <v>1850</v>
      </c>
      <c r="I514" s="201"/>
      <c r="J514" s="201"/>
      <c r="K514" s="29"/>
      <c r="L514" s="364"/>
      <c r="M514" s="364"/>
    </row>
    <row r="515" spans="1:13">
      <c r="A515" s="31"/>
      <c r="B515" s="16" t="str">
        <f>Products!B2602</f>
        <v>F (180 - 200 мм)</v>
      </c>
      <c r="C515" s="180"/>
      <c r="D515" s="186">
        <f>Products!E2602</f>
        <v>1400</v>
      </c>
      <c r="E515" s="186">
        <f>Products!G2602</f>
        <v>1630.0000000000002</v>
      </c>
      <c r="F515" s="186">
        <f>Products!I2602</f>
        <v>1750.0000000000002</v>
      </c>
      <c r="G515" s="186">
        <f>Products!K2602</f>
        <v>1830</v>
      </c>
      <c r="H515" s="186">
        <f>Products!M2602</f>
        <v>1980</v>
      </c>
      <c r="I515" s="201"/>
      <c r="J515" s="201"/>
      <c r="K515" s="29"/>
      <c r="L515" s="364"/>
      <c r="M515" s="364"/>
    </row>
    <row r="516" spans="1:13">
      <c r="A516" s="31"/>
      <c r="B516" s="16" t="str">
        <f>Products!B2603</f>
        <v>G (200 - 220 мм)</v>
      </c>
      <c r="C516" s="180"/>
      <c r="D516" s="186">
        <f>Products!E2603</f>
        <v>1490</v>
      </c>
      <c r="E516" s="186">
        <f>Products!G2603</f>
        <v>1720.0000000000002</v>
      </c>
      <c r="F516" s="186">
        <f>Products!I2603</f>
        <v>1880</v>
      </c>
      <c r="G516" s="186">
        <f>Products!K2603</f>
        <v>1940</v>
      </c>
      <c r="H516" s="186">
        <f>Products!M2603</f>
        <v>2100</v>
      </c>
      <c r="I516" s="201"/>
      <c r="J516" s="201"/>
      <c r="K516" s="353"/>
      <c r="L516" s="364"/>
      <c r="M516" s="364"/>
    </row>
    <row r="517" spans="1:13">
      <c r="A517" s="31"/>
      <c r="B517" s="16" t="str">
        <f>Products!B2604</f>
        <v>H (220 - 240 мм)</v>
      </c>
      <c r="C517" s="180"/>
      <c r="D517" s="186">
        <f>Products!E2604</f>
        <v>1570.0000000000002</v>
      </c>
      <c r="E517" s="186">
        <f>Products!G2604</f>
        <v>1810.0000000000002</v>
      </c>
      <c r="F517" s="186">
        <f>Products!I2604</f>
        <v>1980</v>
      </c>
      <c r="G517" s="186">
        <f>Products!K2604</f>
        <v>2060</v>
      </c>
      <c r="H517" s="186">
        <f>Products!M2604</f>
        <v>2240</v>
      </c>
      <c r="I517" s="201"/>
      <c r="J517" s="201"/>
      <c r="K517" s="353"/>
      <c r="L517" s="364"/>
      <c r="M517" s="364"/>
    </row>
    <row r="518" spans="1:13" s="31" customFormat="1">
      <c r="B518" s="23" t="str">
        <f>Products!B2605</f>
        <v>I (240 - 260 мм)</v>
      </c>
      <c r="C518" s="178"/>
      <c r="D518" s="188">
        <f>Products!E2605</f>
        <v>1660.0000000000002</v>
      </c>
      <c r="E518" s="188">
        <f>Products!G2605</f>
        <v>1910</v>
      </c>
      <c r="F518" s="188">
        <f>Products!I2605</f>
        <v>2090</v>
      </c>
      <c r="G518" s="188">
        <f>Products!K2605</f>
        <v>2170</v>
      </c>
      <c r="H518" s="188">
        <f>Products!M2605</f>
        <v>2361</v>
      </c>
      <c r="I518" s="201"/>
      <c r="J518" s="201"/>
      <c r="K518" s="29"/>
      <c r="L518" s="364"/>
      <c r="M518" s="364"/>
    </row>
    <row r="519" spans="1:13" s="31" customFormat="1">
      <c r="B519" s="175"/>
      <c r="C519" s="315"/>
      <c r="D519" s="199"/>
      <c r="E519" s="199"/>
      <c r="F519" s="199"/>
      <c r="G519" s="199"/>
      <c r="H519" s="201"/>
      <c r="I519" s="201"/>
      <c r="J519" s="201"/>
      <c r="K519" s="29"/>
      <c r="L519" s="364"/>
      <c r="M519" s="364"/>
    </row>
    <row r="520" spans="1:13">
      <c r="A520" s="31"/>
      <c r="B520" s="542" t="str">
        <f>Products!B2667</f>
        <v>Дверні Ручки</v>
      </c>
      <c r="C520" s="548"/>
      <c r="D520" s="548"/>
      <c r="E520" s="548"/>
      <c r="F520" s="170"/>
      <c r="G520" s="170"/>
      <c r="H520" s="170"/>
      <c r="I520" s="170"/>
      <c r="J520" s="343"/>
      <c r="K520" s="343"/>
      <c r="L520" s="355"/>
      <c r="M520" s="356"/>
    </row>
    <row r="521" spans="1:13">
      <c r="A521" s="31"/>
      <c r="B521" s="61" t="str">
        <f>Products!B2669</f>
        <v>модель</v>
      </c>
      <c r="C521" s="12"/>
      <c r="D521" s="12" t="str">
        <f>Products!D2669</f>
        <v>див. каталог</v>
      </c>
      <c r="E521" s="59"/>
      <c r="F521" s="59"/>
      <c r="G521" s="47"/>
      <c r="H521" s="47"/>
      <c r="I521" s="47"/>
      <c r="J521" s="47"/>
      <c r="K521" s="47"/>
      <c r="L521" s="353"/>
      <c r="M521" s="353"/>
    </row>
    <row r="522" spans="1:13">
      <c r="A522" s="31"/>
      <c r="B522" s="13" t="str">
        <f>Products!B2670</f>
        <v>Ручка VERONA</v>
      </c>
      <c r="C522" s="98"/>
      <c r="D522" s="184">
        <f>Products!E2670</f>
        <v>3200.0000000000005</v>
      </c>
      <c r="E522" s="59"/>
      <c r="F522" s="59"/>
      <c r="G522" s="201"/>
      <c r="H522" s="59"/>
      <c r="I522" s="59"/>
      <c r="J522" s="59"/>
      <c r="K522" s="29"/>
      <c r="L522" s="364"/>
      <c r="M522" s="365"/>
    </row>
    <row r="523" spans="1:13">
      <c r="A523" s="31"/>
      <c r="B523" s="16" t="str">
        <f>Products!B2671</f>
        <v>Ручка MILANO</v>
      </c>
      <c r="C523" s="63"/>
      <c r="D523" s="186">
        <f>Products!E2671</f>
        <v>3200.0000000000005</v>
      </c>
      <c r="E523" s="59"/>
      <c r="F523" s="59"/>
      <c r="G523" s="201"/>
      <c r="H523" s="59"/>
      <c r="I523" s="59"/>
      <c r="J523" s="59"/>
      <c r="K523" s="29"/>
      <c r="L523" s="364"/>
      <c r="M523" s="364"/>
    </row>
    <row r="524" spans="1:13">
      <c r="A524" s="31"/>
      <c r="B524" s="16" t="str">
        <f>Products!B2672</f>
        <v>Ручка HANDY</v>
      </c>
      <c r="C524" s="63"/>
      <c r="D524" s="186">
        <f>Products!E2672</f>
        <v>1560</v>
      </c>
      <c r="E524" s="59"/>
      <c r="F524" s="59"/>
      <c r="G524" s="201"/>
      <c r="H524" s="59"/>
      <c r="I524" s="59"/>
      <c r="J524" s="59"/>
      <c r="K524" s="29"/>
      <c r="L524" s="364"/>
      <c r="M524" s="364"/>
    </row>
    <row r="525" spans="1:13">
      <c r="A525" s="31"/>
      <c r="B525" s="16" t="str">
        <f>Products!B2673</f>
        <v>Ручка PRIUS</v>
      </c>
      <c r="C525" s="63"/>
      <c r="D525" s="186">
        <f>Products!E2673</f>
        <v>1560</v>
      </c>
      <c r="E525" s="59"/>
      <c r="F525" s="59"/>
      <c r="G525" s="201"/>
      <c r="H525" s="59"/>
      <c r="I525" s="59"/>
      <c r="J525" s="59"/>
      <c r="K525" s="29"/>
      <c r="L525" s="364"/>
      <c r="M525" s="364"/>
    </row>
    <row r="526" spans="1:13" s="31" customFormat="1">
      <c r="B526" s="23" t="str">
        <f>Products!B2674</f>
        <v>Ручка OFFICE</v>
      </c>
      <c r="C526" s="67"/>
      <c r="D526" s="188">
        <f>Products!E2674</f>
        <v>750</v>
      </c>
      <c r="E526" s="59"/>
      <c r="F526" s="59"/>
      <c r="G526" s="201"/>
      <c r="H526" s="59"/>
      <c r="I526" s="59"/>
      <c r="J526" s="59"/>
      <c r="K526" s="29"/>
      <c r="L526" s="364"/>
      <c r="M526" s="364"/>
    </row>
    <row r="527" spans="1:13">
      <c r="C527" s="34"/>
      <c r="D527" s="34"/>
      <c r="E527" s="59"/>
      <c r="F527" s="59"/>
      <c r="J527" s="353"/>
      <c r="K527" s="353"/>
      <c r="L527" s="353"/>
      <c r="M527" s="353"/>
    </row>
    <row r="528" spans="1:13">
      <c r="A528" s="31"/>
      <c r="B528" s="542" t="str">
        <f>TITLE!$C$52</f>
        <v>Інші Аксесуари</v>
      </c>
      <c r="C528" s="548"/>
      <c r="D528" s="548"/>
      <c r="E528" s="548"/>
      <c r="F528" s="170"/>
      <c r="G528" s="170"/>
      <c r="H528" s="170"/>
      <c r="I528" s="170"/>
      <c r="J528" s="343"/>
      <c r="K528" s="343"/>
      <c r="L528" s="355"/>
      <c r="M528" s="356"/>
    </row>
    <row r="529" spans="1:13">
      <c r="A529" s="31"/>
      <c r="B529" s="61" t="str">
        <f>Products!B2727</f>
        <v>модель</v>
      </c>
      <c r="C529" s="12"/>
      <c r="D529" s="12" t="str">
        <f>Products!D2727</f>
        <v>Ціна</v>
      </c>
      <c r="E529" s="47"/>
      <c r="F529" s="47"/>
      <c r="G529" s="47"/>
      <c r="H529" s="47"/>
      <c r="I529" s="47"/>
      <c r="J529" s="47"/>
      <c r="K529" s="47"/>
      <c r="L529" s="353"/>
      <c r="M529" s="353"/>
    </row>
    <row r="530" spans="1:13">
      <c r="A530" s="31"/>
      <c r="B530" s="13" t="str">
        <f>Products!B2728</f>
        <v>Замок STANDARD</v>
      </c>
      <c r="C530" s="98"/>
      <c r="D530" s="184">
        <f>Products!E2728</f>
        <v>400.00000000000006</v>
      </c>
      <c r="E530" s="29"/>
      <c r="F530" s="29"/>
      <c r="G530" s="29"/>
      <c r="H530" s="59"/>
      <c r="I530" s="59"/>
      <c r="J530" s="59"/>
      <c r="K530" s="29"/>
      <c r="L530" s="364"/>
      <c r="M530" s="365"/>
    </row>
    <row r="531" spans="1:13">
      <c r="A531" s="31"/>
      <c r="B531" s="16" t="str">
        <f>Products!B2729</f>
        <v>завіса штирьова</v>
      </c>
      <c r="C531" s="63"/>
      <c r="D531" s="186">
        <f>Products!E2729</f>
        <v>120</v>
      </c>
      <c r="E531" s="29"/>
      <c r="F531" s="59"/>
      <c r="G531" s="29"/>
      <c r="H531" s="59"/>
      <c r="I531" s="59"/>
      <c r="J531" s="59"/>
      <c r="K531" s="29"/>
      <c r="L531" s="364"/>
      <c r="M531" s="364"/>
    </row>
    <row r="532" spans="1:13">
      <c r="A532" s="31"/>
      <c r="B532" s="16"/>
      <c r="C532" s="63"/>
      <c r="D532" s="186"/>
      <c r="E532" s="29"/>
      <c r="F532" s="59"/>
      <c r="G532" s="29"/>
      <c r="H532" s="59"/>
      <c r="I532" s="59"/>
      <c r="J532" s="59"/>
      <c r="K532" s="29"/>
      <c r="L532" s="364"/>
      <c r="M532" s="364"/>
    </row>
    <row r="533" spans="1:13">
      <c r="A533" s="31"/>
      <c r="B533" s="16" t="str">
        <f>Products!B2730</f>
        <v>відповідна планка</v>
      </c>
      <c r="C533" s="63"/>
      <c r="D533" s="186">
        <f>Products!E2730</f>
        <v>120</v>
      </c>
      <c r="E533" s="59"/>
      <c r="F533" s="59"/>
      <c r="G533" s="29"/>
      <c r="H533" s="59"/>
      <c r="I533" s="59"/>
      <c r="J533" s="59"/>
      <c r="K533" s="29"/>
      <c r="L533" s="364"/>
      <c r="M533" s="364"/>
    </row>
    <row r="534" spans="1:13">
      <c r="A534" s="31"/>
      <c r="B534" s="16"/>
      <c r="C534" s="63"/>
      <c r="D534" s="186"/>
      <c r="E534" s="29"/>
      <c r="F534" s="59"/>
      <c r="G534" s="29"/>
      <c r="H534" s="59"/>
      <c r="I534" s="59"/>
      <c r="J534" s="59"/>
      <c r="K534" s="29"/>
      <c r="L534" s="364"/>
      <c r="M534" s="364"/>
    </row>
    <row r="535" spans="1:13">
      <c r="A535" s="31"/>
      <c r="B535" s="23" t="str">
        <f>Products!B2731</f>
        <v>Шпінгалет</v>
      </c>
      <c r="C535" s="67"/>
      <c r="D535" s="188">
        <f>Products!E2731</f>
        <v>200.00000000000003</v>
      </c>
      <c r="E535" s="29"/>
      <c r="F535" s="59"/>
      <c r="G535" s="29"/>
      <c r="H535" s="59"/>
      <c r="I535" s="59"/>
      <c r="J535" s="59"/>
      <c r="K535" s="29"/>
      <c r="L535" s="364"/>
      <c r="M535" s="364"/>
    </row>
    <row r="536" spans="1:13">
      <c r="C536" s="34"/>
      <c r="D536" s="34"/>
      <c r="E536" s="34"/>
    </row>
    <row r="537" spans="1:13">
      <c r="C537" s="34"/>
      <c r="D537" s="34"/>
      <c r="E537" s="34"/>
    </row>
    <row r="538" spans="1:13">
      <c r="C538" s="34"/>
      <c r="D538" s="34"/>
      <c r="E538" s="34"/>
    </row>
    <row r="539" spans="1:13">
      <c r="C539" s="34"/>
      <c r="D539" s="34"/>
    </row>
  </sheetData>
  <sheetProtection algorithmName="SHA-512" hashValue="7yotO+EAkWrCuRJQiEy93dtm5jvzx1S7716UNw61JELaEv9ftuKC9KGRU/TmGrfY/T2iK8RAV+nMs3Rum7H9gw==" saltValue="13z7s4idINUQorjJZgNNTw==" spinCount="100000" sheet="1" selectLockedCells="1" selectUnlockedCells="1"/>
  <mergeCells count="110">
    <mergeCell ref="B98:E98"/>
    <mergeCell ref="B99:B101"/>
    <mergeCell ref="D3:G3"/>
    <mergeCell ref="B349:B351"/>
    <mergeCell ref="B348:E348"/>
    <mergeCell ref="B111:E111"/>
    <mergeCell ref="B193:E193"/>
    <mergeCell ref="B208:E208"/>
    <mergeCell ref="B26:B28"/>
    <mergeCell ref="B40:E40"/>
    <mergeCell ref="D4:G4"/>
    <mergeCell ref="B6:C6"/>
    <mergeCell ref="B9:B11"/>
    <mergeCell ref="D6:M6"/>
    <mergeCell ref="B8:E8"/>
    <mergeCell ref="B25:E25"/>
    <mergeCell ref="B139:B141"/>
    <mergeCell ref="B125:B127"/>
    <mergeCell ref="B56:E56"/>
    <mergeCell ref="B336:B338"/>
    <mergeCell ref="B279:E279"/>
    <mergeCell ref="B335:E335"/>
    <mergeCell ref="B307:E307"/>
    <mergeCell ref="B57:B59"/>
    <mergeCell ref="B41:B43"/>
    <mergeCell ref="B180:B182"/>
    <mergeCell ref="K498:M498"/>
    <mergeCell ref="L443:M443"/>
    <mergeCell ref="L459:M459"/>
    <mergeCell ref="B458:E458"/>
    <mergeCell ref="B459:B460"/>
    <mergeCell ref="D459:E459"/>
    <mergeCell ref="F459:G459"/>
    <mergeCell ref="H459:I459"/>
    <mergeCell ref="B165:E165"/>
    <mergeCell ref="J459:K459"/>
    <mergeCell ref="L393:M393"/>
    <mergeCell ref="B393:E393"/>
    <mergeCell ref="B362:B364"/>
    <mergeCell ref="B373:E373"/>
    <mergeCell ref="B401:E401"/>
    <mergeCell ref="B407:B408"/>
    <mergeCell ref="B361:E361"/>
    <mergeCell ref="D336:F336"/>
    <mergeCell ref="D407:E407"/>
    <mergeCell ref="B394:B396"/>
    <mergeCell ref="B406:E406"/>
    <mergeCell ref="B402:B403"/>
    <mergeCell ref="B266:B268"/>
    <mergeCell ref="B528:E528"/>
    <mergeCell ref="B503:E503"/>
    <mergeCell ref="D423:E423"/>
    <mergeCell ref="B423:B424"/>
    <mergeCell ref="B422:E422"/>
    <mergeCell ref="B504:B505"/>
    <mergeCell ref="B520:E520"/>
    <mergeCell ref="B443:B444"/>
    <mergeCell ref="D443:E443"/>
    <mergeCell ref="D471:G471"/>
    <mergeCell ref="D435:G435"/>
    <mergeCell ref="B497:E497"/>
    <mergeCell ref="B498:B499"/>
    <mergeCell ref="F443:G443"/>
    <mergeCell ref="B442:E442"/>
    <mergeCell ref="B478:E478"/>
    <mergeCell ref="B479:B480"/>
    <mergeCell ref="D479:E479"/>
    <mergeCell ref="F479:G479"/>
    <mergeCell ref="B151:E151"/>
    <mergeCell ref="B112:B114"/>
    <mergeCell ref="B237:E237"/>
    <mergeCell ref="B383:E383"/>
    <mergeCell ref="D337:F337"/>
    <mergeCell ref="B209:B211"/>
    <mergeCell ref="B223:E223"/>
    <mergeCell ref="B224:B226"/>
    <mergeCell ref="B71:E71"/>
    <mergeCell ref="B72:B74"/>
    <mergeCell ref="B252:E252"/>
    <mergeCell ref="B253:B255"/>
    <mergeCell ref="B265:E265"/>
    <mergeCell ref="B166:B168"/>
    <mergeCell ref="B179:E179"/>
    <mergeCell ref="B124:E124"/>
    <mergeCell ref="B194:B196"/>
    <mergeCell ref="B238:B240"/>
    <mergeCell ref="B294:B296"/>
    <mergeCell ref="B85:E85"/>
    <mergeCell ref="B86:B88"/>
    <mergeCell ref="B152:B154"/>
    <mergeCell ref="B138:E138"/>
    <mergeCell ref="B322:B324"/>
    <mergeCell ref="H479:I479"/>
    <mergeCell ref="D490:G490"/>
    <mergeCell ref="B384:B386"/>
    <mergeCell ref="B280:B282"/>
    <mergeCell ref="B321:E321"/>
    <mergeCell ref="B293:E293"/>
    <mergeCell ref="B374:B376"/>
    <mergeCell ref="L407:M407"/>
    <mergeCell ref="F407:G407"/>
    <mergeCell ref="J407:K407"/>
    <mergeCell ref="L423:M423"/>
    <mergeCell ref="F423:G423"/>
    <mergeCell ref="J423:K423"/>
    <mergeCell ref="H423:I423"/>
    <mergeCell ref="J443:K443"/>
    <mergeCell ref="H443:I443"/>
    <mergeCell ref="H407:I407"/>
    <mergeCell ref="B308:B310"/>
  </mergeCells>
  <phoneticPr fontId="5" type="noConversion"/>
  <printOptions horizontalCentered="1"/>
  <pageMargins left="0.23622047244094491" right="0.27559055118110237" top="0.27" bottom="0.3" header="0.27559055118110237" footer="0.31496062992125984"/>
  <pageSetup paperSize="9" scale="56" fitToHeight="10" orientation="portrait" r:id="rId1"/>
  <headerFooter alignWithMargins="0"/>
  <rowBreaks count="4" manualBreakCount="4">
    <brk id="70" max="16383" man="1"/>
    <brk id="207" max="16383" man="1"/>
    <brk id="320" max="16383" man="1"/>
    <brk id="421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42</vt:i4>
      </vt:variant>
    </vt:vector>
  </HeadingPairs>
  <TitlesOfParts>
    <vt:vector size="45" baseType="lpstr">
      <vt:lpstr>TITLE</vt:lpstr>
      <vt:lpstr>Products</vt:lpstr>
      <vt:lpstr>print page</vt:lpstr>
      <vt:lpstr>Door_Dobor</vt:lpstr>
      <vt:lpstr>Door_Dobor_Lada</vt:lpstr>
      <vt:lpstr>Door_Elegant</vt:lpstr>
      <vt:lpstr>Door_Eva</vt:lpstr>
      <vt:lpstr>Door_Geometry</vt:lpstr>
      <vt:lpstr>Door_Glasford</vt:lpstr>
      <vt:lpstr>Door_Gordana</vt:lpstr>
      <vt:lpstr>Door_Idea</vt:lpstr>
      <vt:lpstr>Door_IdeaLoft</vt:lpstr>
      <vt:lpstr>Door_Kupava</vt:lpstr>
      <vt:lpstr>Door_LadaA</vt:lpstr>
      <vt:lpstr>Door_LadaB</vt:lpstr>
      <vt:lpstr>Door_LadaC</vt:lpstr>
      <vt:lpstr>Door_LadaD</vt:lpstr>
      <vt:lpstr>Door_LadaK</vt:lpstr>
      <vt:lpstr>Door_LadaL</vt:lpstr>
      <vt:lpstr>Door_LadaN</vt:lpstr>
      <vt:lpstr>Door_Linda</vt:lpstr>
      <vt:lpstr>Door_Line</vt:lpstr>
      <vt:lpstr>Door_Lineya</vt:lpstr>
      <vt:lpstr>Door_Lisa</vt:lpstr>
      <vt:lpstr>Door_Mira</vt:lpstr>
      <vt:lpstr>Door_Modern</vt:lpstr>
      <vt:lpstr>Door_Nika</vt:lpstr>
      <vt:lpstr>Door_Pollo</vt:lpstr>
      <vt:lpstr>Door_Standard</vt:lpstr>
      <vt:lpstr>Door_Tiana</vt:lpstr>
      <vt:lpstr>Door_Trend</vt:lpstr>
      <vt:lpstr>DoorHandles</vt:lpstr>
      <vt:lpstr>Frame_Stand</vt:lpstr>
      <vt:lpstr>Frame_VFit</vt:lpstr>
      <vt:lpstr>Frame_VFitComfort</vt:lpstr>
      <vt:lpstr>Frame_VFitPlus</vt:lpstr>
      <vt:lpstr>Framugi</vt:lpstr>
      <vt:lpstr>Furniture</vt:lpstr>
      <vt:lpstr>Inside</vt:lpstr>
      <vt:lpstr>MENU</vt:lpstr>
      <vt:lpstr>Plinths</vt:lpstr>
      <vt:lpstr>vat</vt:lpstr>
      <vt:lpstr>Verto_Slide</vt:lpstr>
      <vt:lpstr>Полотна_збірні__КЛАСІК</vt:lpstr>
      <vt:lpstr>Products!Прованс</vt:lpstr>
    </vt:vector>
  </TitlesOfParts>
  <Company>pgs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Verto Doors</dc:creator>
  <cp:lastModifiedBy>katerina</cp:lastModifiedBy>
  <cp:lastPrinted>2022-06-20T06:54:42Z</cp:lastPrinted>
  <dcterms:created xsi:type="dcterms:W3CDTF">2011-03-01T10:54:25Z</dcterms:created>
  <dcterms:modified xsi:type="dcterms:W3CDTF">2025-01-31T08:12:55Z</dcterms:modified>
</cp:coreProperties>
</file>