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codeName="ЭтаКнига" defaultThemeVersion="124226"/>
  <bookViews>
    <workbookView xWindow="-105" yWindow="-105" windowWidth="23250" windowHeight="12450" activeTab="1"/>
  </bookViews>
  <sheets>
    <sheet name="TITLE" sheetId="6" r:id="rId1"/>
    <sheet name="Products" sheetId="5" r:id="rId2"/>
    <sheet name="print page" sheetId="7" r:id="rId3"/>
  </sheets>
  <definedNames>
    <definedName name="Door_Dobor">Products!$B$2120:$W$2136</definedName>
    <definedName name="Door_Dobor_Lada">Products!$B$2053:$W$2070</definedName>
    <definedName name="Door_Elegant">Products!$B$1910:$W$1935</definedName>
    <definedName name="Door_Eva">Products!$B$1463:$W$1487</definedName>
    <definedName name="Door_Geometry">Products!$B$161:$W$187</definedName>
    <definedName name="Door_Glasford">Products!$B$1985:$W$2003</definedName>
    <definedName name="Door_Gordana">Products!$B$237:$W$237</definedName>
    <definedName name="Door_Idea">Products!$B$287:$W$314</definedName>
    <definedName name="Door_IdeaLoft">Products!$B$364:$W$386</definedName>
    <definedName name="Door_Kupava">Products!$B$88:$W$110</definedName>
    <definedName name="Door_LadaA">Products!$B$574:$W$597</definedName>
    <definedName name="Door_LadaB">Products!$B$647:$W$671</definedName>
    <definedName name="Door_LadaC">Products!$B$721:$W$743</definedName>
    <definedName name="Door_LadaD">Products!$B$793:$W$816</definedName>
    <definedName name="Door_LadaK">Products!$B$1012:$W$1040</definedName>
    <definedName name="Door_LadaL">Products!$B$1241:$W$1268</definedName>
    <definedName name="Door_LadaN">Products!$B$1090:$W$1118</definedName>
    <definedName name="Door_Linda">Products!$B$1318:$W$1340</definedName>
    <definedName name="Door_Line">Products!$B$1833:$W$1860</definedName>
    <definedName name="Door_Lineya">Products!$B$1760:$W$1783</definedName>
    <definedName name="Door_Lisa">Products!$B$939:$W$962</definedName>
    <definedName name="Door_Mira">Products!$B$1168:$W$1191</definedName>
    <definedName name="Door_Modern">Products!$B$1611:$W$1635</definedName>
    <definedName name="Door_Nika">Products!$B$866:$W$889</definedName>
    <definedName name="Door_Pollo">Products!$B$1685:$W$1710</definedName>
    <definedName name="Door_Ruta">Products!#REF!</definedName>
    <definedName name="Door_RutaF">Products!#REF!</definedName>
    <definedName name="Door_Standard">Products!$B$10:$W$37</definedName>
    <definedName name="Door_Tiana">Products!$B$1390:$W$1413</definedName>
    <definedName name="Door_Trend">Products!$B$1537:$W$1561</definedName>
    <definedName name="DoorHandles">Products!$B$2737:$W$2745</definedName>
    <definedName name="Frame_Stand">Products!$B$2245:$W$2263</definedName>
    <definedName name="Frame_VFit">Products!$B$2313:$W$2335</definedName>
    <definedName name="Frame_VFitComfort">Products!$B$2453:$W$2518</definedName>
    <definedName name="Frame_VFitPlus">Products!$B$2385:$W$2403</definedName>
    <definedName name="Framugi">Products!$B$2661:$W$2687</definedName>
    <definedName name="Furniture">Products!$B$2795:$W$2824</definedName>
    <definedName name="Inside">Products!$B$2492:$AY$2518</definedName>
    <definedName name="MENU">TITLE!$A$2</definedName>
    <definedName name="Plinths">Products!$B$2603:$W$2611</definedName>
    <definedName name="vat">Products!$AC$2:$AC$3</definedName>
    <definedName name="Verto_Slide">Products!$B$2186:$W$2195</definedName>
    <definedName name="Дверна_коробка_STANDARD___Алюм">Products!$B$2277:$K$2286</definedName>
    <definedName name="ІДЕЯ_АЛЮМ">Products!$B$412:$I$424</definedName>
    <definedName name="Полотна_збірні__КЛАСІК">Products!$B$474:$W$499</definedName>
    <definedName name="Прованс" localSheetId="1">Products!$B$524:$W$547</definedName>
  </definedNames>
  <calcPr calcId="125725" refMode="R1C1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B2" i="6"/>
  <c r="D2"/>
  <c r="D430" i="7"/>
  <c r="B2277" i="5"/>
  <c r="B429" i="7" s="1"/>
  <c r="D2285" i="5"/>
  <c r="E2285" s="1"/>
  <c r="D434" i="7" s="1"/>
  <c r="F2281" i="5"/>
  <c r="D2281"/>
  <c r="E2281" s="1"/>
  <c r="D432" i="7" s="1"/>
  <c r="C44" i="6"/>
  <c r="G2281" i="5" l="1"/>
  <c r="E432" i="7" s="1"/>
  <c r="AG2279" i="5"/>
  <c r="AE2279"/>
  <c r="M87" i="7"/>
  <c r="M86"/>
  <c r="L87"/>
  <c r="F90" l="1"/>
  <c r="F89"/>
  <c r="E90"/>
  <c r="E89"/>
  <c r="D90"/>
  <c r="D89"/>
  <c r="B90"/>
  <c r="B89"/>
  <c r="B85"/>
  <c r="AE418" i="5"/>
  <c r="H418" s="1"/>
  <c r="I418" s="1"/>
  <c r="AD418"/>
  <c r="F418" s="1"/>
  <c r="G418" s="1"/>
  <c r="AC418"/>
  <c r="D418" s="1"/>
  <c r="E418" s="1"/>
  <c r="AE417"/>
  <c r="H417" s="1"/>
  <c r="I417" s="1"/>
  <c r="AD417"/>
  <c r="F417" s="1"/>
  <c r="G417" s="1"/>
  <c r="AC417"/>
  <c r="D417" s="1"/>
  <c r="E417" s="1"/>
  <c r="AD424"/>
  <c r="AE424" s="1"/>
  <c r="AE422"/>
  <c r="B412"/>
  <c r="D424"/>
  <c r="D423"/>
  <c r="E423" s="1"/>
  <c r="D422"/>
  <c r="E422" s="1"/>
  <c r="C13" i="6"/>
  <c r="AE169" i="5"/>
  <c r="AE168"/>
  <c r="AE167"/>
  <c r="AE166"/>
  <c r="AE170"/>
  <c r="AD170"/>
  <c r="AD169"/>
  <c r="AD168"/>
  <c r="AD167"/>
  <c r="AD166"/>
  <c r="AC170"/>
  <c r="AC169"/>
  <c r="AC168"/>
  <c r="AC167"/>
  <c r="AC166"/>
  <c r="AC94"/>
  <c r="AD94"/>
  <c r="AD93"/>
  <c r="AC93"/>
  <c r="AD20"/>
  <c r="AC20"/>
  <c r="AD19"/>
  <c r="AC19"/>
  <c r="AC18"/>
  <c r="AD18"/>
  <c r="AD17"/>
  <c r="AC17"/>
  <c r="AD16"/>
  <c r="AC16"/>
  <c r="AD15"/>
  <c r="AC15"/>
  <c r="L112" i="7" l="1"/>
  <c r="B110"/>
  <c r="B111"/>
  <c r="B112"/>
  <c r="B109"/>
  <c r="B524" i="5"/>
  <c r="B105" i="7" s="1"/>
  <c r="C15" i="6"/>
  <c r="D547" i="5"/>
  <c r="AE546"/>
  <c r="D546"/>
  <c r="E546" s="1"/>
  <c r="M116" i="7" s="1"/>
  <c r="AE545" i="5"/>
  <c r="D545"/>
  <c r="E545" s="1"/>
  <c r="M115" i="7" s="1"/>
  <c r="AE544" i="5"/>
  <c r="D544"/>
  <c r="E544" s="1"/>
  <c r="M114" i="7" s="1"/>
  <c r="AE543" i="5"/>
  <c r="D543"/>
  <c r="E543" s="1"/>
  <c r="M113" i="7" s="1"/>
  <c r="D542" i="5"/>
  <c r="E542" s="1"/>
  <c r="M112" i="7" s="1"/>
  <c r="AE541" i="5"/>
  <c r="D541"/>
  <c r="E541" s="1"/>
  <c r="M111" i="7" s="1"/>
  <c r="D540" i="5"/>
  <c r="E540" s="1"/>
  <c r="M110" i="7" s="1"/>
  <c r="AE539" i="5"/>
  <c r="D539"/>
  <c r="E539" s="1"/>
  <c r="M109" i="7" s="1"/>
  <c r="AE538" i="5"/>
  <c r="D538"/>
  <c r="E538" s="1"/>
  <c r="M108" i="7" s="1"/>
  <c r="AE537" i="5"/>
  <c r="D537"/>
  <c r="E537" s="1"/>
  <c r="M107" i="7" s="1"/>
  <c r="AE536" i="5"/>
  <c r="D536"/>
  <c r="E536" s="1"/>
  <c r="M106" i="7" s="1"/>
  <c r="AQ532" i="5"/>
  <c r="AO532"/>
  <c r="AM532"/>
  <c r="AK532"/>
  <c r="AI532"/>
  <c r="F532"/>
  <c r="G532" s="1"/>
  <c r="E112" i="7" s="1"/>
  <c r="D532" i="5"/>
  <c r="E532" s="1"/>
  <c r="D112" i="7" s="1"/>
  <c r="F531" i="5"/>
  <c r="G531" s="1"/>
  <c r="E111" i="7" s="1"/>
  <c r="D531" i="5"/>
  <c r="E531" s="1"/>
  <c r="D111" i="7" s="1"/>
  <c r="F530" i="5"/>
  <c r="G530" s="1"/>
  <c r="E110" i="7" s="1"/>
  <c r="D530" i="5"/>
  <c r="E530" s="1"/>
  <c r="D110" i="7" s="1"/>
  <c r="AQ529" i="5"/>
  <c r="AO529"/>
  <c r="AM529"/>
  <c r="AK529"/>
  <c r="AI529"/>
  <c r="F529"/>
  <c r="G529" s="1"/>
  <c r="E109" i="7" s="1"/>
  <c r="D529" i="5"/>
  <c r="E529" s="1"/>
  <c r="D109" i="7" s="1"/>
  <c r="AH527" i="5"/>
  <c r="AG527"/>
  <c r="AF527"/>
  <c r="AE527"/>
  <c r="D511" i="7" l="1"/>
  <c r="D2476" i="5"/>
  <c r="E2476" s="1"/>
  <c r="D492" i="7" s="1"/>
  <c r="AW2472" i="5"/>
  <c r="AV2472"/>
  <c r="AS2472"/>
  <c r="AT2472" s="1"/>
  <c r="AR2472"/>
  <c r="AO2472"/>
  <c r="AP2472" s="1"/>
  <c r="AN2472"/>
  <c r="T2472"/>
  <c r="U2472" s="1"/>
  <c r="L490" i="7" s="1"/>
  <c r="P2472" i="5"/>
  <c r="Q2472" s="1"/>
  <c r="J490" i="7" s="1"/>
  <c r="L2472" i="5"/>
  <c r="M2472" s="1"/>
  <c r="H2472"/>
  <c r="I2472" s="1"/>
  <c r="D2472"/>
  <c r="E2472" s="1"/>
  <c r="AW2471"/>
  <c r="AV2471"/>
  <c r="AS2471"/>
  <c r="AT2471" s="1"/>
  <c r="AR2471"/>
  <c r="AO2471"/>
  <c r="AP2471" s="1"/>
  <c r="AN2471"/>
  <c r="T2471"/>
  <c r="U2471" s="1"/>
  <c r="L489" i="7" s="1"/>
  <c r="P2471" i="5"/>
  <c r="Q2471" s="1"/>
  <c r="J489" i="7" s="1"/>
  <c r="L2471" i="5"/>
  <c r="M2471" s="1"/>
  <c r="H2471"/>
  <c r="I2471" s="1"/>
  <c r="D2471"/>
  <c r="E2471" s="1"/>
  <c r="AW2470"/>
  <c r="AV2470"/>
  <c r="AS2470"/>
  <c r="AT2470" s="1"/>
  <c r="AR2470"/>
  <c r="AO2470"/>
  <c r="AP2470" s="1"/>
  <c r="AN2470"/>
  <c r="T2470"/>
  <c r="U2470" s="1"/>
  <c r="L488" i="7" s="1"/>
  <c r="P2470" i="5"/>
  <c r="Q2470" s="1"/>
  <c r="J488" i="7" s="1"/>
  <c r="L2470" i="5"/>
  <c r="M2470" s="1"/>
  <c r="H2470"/>
  <c r="I2470" s="1"/>
  <c r="D2470"/>
  <c r="E2470" s="1"/>
  <c r="C48" i="6" l="1"/>
  <c r="B2495" i="5" s="1"/>
  <c r="B494" i="7" s="1"/>
  <c r="AU2507" i="5"/>
  <c r="AT2507"/>
  <c r="AQ2507"/>
  <c r="AR2507" s="1"/>
  <c r="AP2507"/>
  <c r="AM2507"/>
  <c r="AN2507" s="1"/>
  <c r="AL2507"/>
  <c r="L2507"/>
  <c r="M2507" s="1"/>
  <c r="H505" i="7" s="1"/>
  <c r="H2507" i="5"/>
  <c r="I2507" s="1"/>
  <c r="F505" i="7" s="1"/>
  <c r="D2507" i="5"/>
  <c r="E2507" s="1"/>
  <c r="D505" i="7" s="1"/>
  <c r="AU2506" i="5"/>
  <c r="AT2506"/>
  <c r="AQ2506"/>
  <c r="AR2506" s="1"/>
  <c r="AP2506"/>
  <c r="AM2506"/>
  <c r="AN2506" s="1"/>
  <c r="AL2506"/>
  <c r="L2506"/>
  <c r="M2506" s="1"/>
  <c r="H504" i="7" s="1"/>
  <c r="H2506" i="5"/>
  <c r="I2506" s="1"/>
  <c r="F504" i="7" s="1"/>
  <c r="D2506" i="5"/>
  <c r="E2506" s="1"/>
  <c r="D504" i="7" s="1"/>
  <c r="AU2505" i="5"/>
  <c r="AT2505"/>
  <c r="AQ2505"/>
  <c r="AR2505" s="1"/>
  <c r="AP2505"/>
  <c r="AM2505"/>
  <c r="AN2505" s="1"/>
  <c r="AL2505"/>
  <c r="L2505"/>
  <c r="M2505" s="1"/>
  <c r="H503" i="7" s="1"/>
  <c r="H2505" i="5"/>
  <c r="I2505" s="1"/>
  <c r="F503" i="7" s="1"/>
  <c r="D2505" i="5"/>
  <c r="E2505" s="1"/>
  <c r="D503" i="7" s="1"/>
  <c r="AU2504" i="5"/>
  <c r="AT2504"/>
  <c r="AQ2504"/>
  <c r="AR2504" s="1"/>
  <c r="AP2504"/>
  <c r="AM2504"/>
  <c r="AN2504" s="1"/>
  <c r="AL2504"/>
  <c r="L2504"/>
  <c r="M2504" s="1"/>
  <c r="H502" i="7" s="1"/>
  <c r="H2504" i="5"/>
  <c r="I2504" s="1"/>
  <c r="F502" i="7" s="1"/>
  <c r="D2504" i="5"/>
  <c r="E2504" s="1"/>
  <c r="D502" i="7" s="1"/>
  <c r="AU2503" i="5"/>
  <c r="AT2503"/>
  <c r="AQ2503"/>
  <c r="AR2503" s="1"/>
  <c r="AP2503"/>
  <c r="AM2503"/>
  <c r="AN2503" s="1"/>
  <c r="AL2503"/>
  <c r="L2503"/>
  <c r="M2503" s="1"/>
  <c r="H501" i="7" s="1"/>
  <c r="H2503" i="5"/>
  <c r="I2503" s="1"/>
  <c r="F501" i="7" s="1"/>
  <c r="D2503" i="5"/>
  <c r="E2503" s="1"/>
  <c r="D501" i="7" s="1"/>
  <c r="AU2502" i="5"/>
  <c r="AT2502"/>
  <c r="AQ2502"/>
  <c r="AR2502" s="1"/>
  <c r="AP2502"/>
  <c r="AM2502"/>
  <c r="AN2502" s="1"/>
  <c r="AL2502"/>
  <c r="L2502"/>
  <c r="M2502" s="1"/>
  <c r="H500" i="7" s="1"/>
  <c r="H2502" i="5"/>
  <c r="I2502" s="1"/>
  <c r="F500" i="7" s="1"/>
  <c r="D2502" i="5"/>
  <c r="E2502" s="1"/>
  <c r="D500" i="7" s="1"/>
  <c r="AU2501" i="5"/>
  <c r="AT2501"/>
  <c r="AQ2501"/>
  <c r="AR2501" s="1"/>
  <c r="AP2501"/>
  <c r="AM2501"/>
  <c r="AN2501" s="1"/>
  <c r="AL2501"/>
  <c r="L2501"/>
  <c r="M2501" s="1"/>
  <c r="H499" i="7" s="1"/>
  <c r="H2501" i="5"/>
  <c r="I2501" s="1"/>
  <c r="F499" i="7" s="1"/>
  <c r="D2501" i="5"/>
  <c r="E2501" s="1"/>
  <c r="D499" i="7" s="1"/>
  <c r="AU2500" i="5"/>
  <c r="AT2500"/>
  <c r="AQ2500"/>
  <c r="AR2500" s="1"/>
  <c r="AP2500"/>
  <c r="AM2500"/>
  <c r="AN2500" s="1"/>
  <c r="AL2500"/>
  <c r="L2500"/>
  <c r="M2500" s="1"/>
  <c r="H498" i="7" s="1"/>
  <c r="H2500" i="5"/>
  <c r="I2500" s="1"/>
  <c r="F498" i="7" s="1"/>
  <c r="D2500" i="5"/>
  <c r="E2500" s="1"/>
  <c r="D498" i="7" s="1"/>
  <c r="AU2499" i="5"/>
  <c r="AT2499"/>
  <c r="AQ2499"/>
  <c r="AR2499" s="1"/>
  <c r="AP2499"/>
  <c r="AM2499"/>
  <c r="AN2499" s="1"/>
  <c r="AL2499"/>
  <c r="L2499"/>
  <c r="M2499" s="1"/>
  <c r="H497" i="7" s="1"/>
  <c r="H2499" i="5"/>
  <c r="I2499" s="1"/>
  <c r="F497" i="7" s="1"/>
  <c r="D2499" i="5"/>
  <c r="E2499" s="1"/>
  <c r="D497" i="7" s="1"/>
  <c r="C1" i="5" l="1"/>
  <c r="D810"/>
  <c r="E810" s="1"/>
  <c r="M166" i="7" s="1"/>
  <c r="D1777" i="5"/>
  <c r="E1777" s="1"/>
  <c r="M349" i="7" s="1"/>
  <c r="D1555" i="5"/>
  <c r="E1555" s="1"/>
  <c r="M308" i="7" s="1"/>
  <c r="D1334" i="5"/>
  <c r="E1334" s="1"/>
  <c r="M266" i="7" s="1"/>
  <c r="D1185" i="5"/>
  <c r="E1185" s="1"/>
  <c r="M238" i="7" s="1"/>
  <c r="D1112" i="5"/>
  <c r="E1112" s="1"/>
  <c r="M224" i="7" s="1"/>
  <c r="D104" i="5"/>
  <c r="E104" s="1"/>
  <c r="M32" i="7" s="1"/>
  <c r="D29" i="5"/>
  <c r="E29" s="1"/>
  <c r="M14" i="7" s="1"/>
  <c r="D179" i="5"/>
  <c r="E179" s="1"/>
  <c r="M46" i="7" s="1"/>
  <c r="D181" i="5"/>
  <c r="E181" s="1"/>
  <c r="M48" i="7" s="1"/>
  <c r="D180" i="5"/>
  <c r="L374" i="7"/>
  <c r="L362"/>
  <c r="L349"/>
  <c r="L336"/>
  <c r="L322"/>
  <c r="L308"/>
  <c r="L294"/>
  <c r="L280"/>
  <c r="L266"/>
  <c r="L253"/>
  <c r="L238"/>
  <c r="L224"/>
  <c r="L209"/>
  <c r="L194"/>
  <c r="L180"/>
  <c r="L166"/>
  <c r="L152"/>
  <c r="L139"/>
  <c r="L125"/>
  <c r="L99"/>
  <c r="L78"/>
  <c r="L64"/>
  <c r="D1928" i="5"/>
  <c r="E1928" s="1"/>
  <c r="M372" i="7" s="1"/>
  <c r="D1852" i="5"/>
  <c r="E1852" s="1"/>
  <c r="M360" i="7" s="1"/>
  <c r="D1775" i="5"/>
  <c r="E1775" s="1"/>
  <c r="M347" i="7" s="1"/>
  <c r="D1702" i="5"/>
  <c r="E1702" s="1"/>
  <c r="M334" i="7" s="1"/>
  <c r="D1627" i="5"/>
  <c r="E1627" s="1"/>
  <c r="M320" i="7" s="1"/>
  <c r="D1553" i="5"/>
  <c r="E1553" s="1"/>
  <c r="M306" i="7" s="1"/>
  <c r="D1479" i="5"/>
  <c r="E1479" s="1"/>
  <c r="M292" i="7" s="1"/>
  <c r="D1405" i="5"/>
  <c r="E1405" s="1"/>
  <c r="M278" i="7" s="1"/>
  <c r="D1332" i="5"/>
  <c r="E1332" s="1"/>
  <c r="M264" i="7" s="1"/>
  <c r="D1260" i="5"/>
  <c r="E1260" s="1"/>
  <c r="M251" i="7" s="1"/>
  <c r="D1183" i="5"/>
  <c r="E1183" s="1"/>
  <c r="M236" i="7" s="1"/>
  <c r="D1110" i="5"/>
  <c r="E1110" s="1"/>
  <c r="M222" i="7" s="1"/>
  <c r="D1032" i="5"/>
  <c r="E1032" s="1"/>
  <c r="M207" i="7" s="1"/>
  <c r="D954" i="5"/>
  <c r="E954" s="1"/>
  <c r="M192" i="7" s="1"/>
  <c r="D881" i="5"/>
  <c r="E881" s="1"/>
  <c r="M178" i="7" s="1"/>
  <c r="D808" i="5"/>
  <c r="E808" s="1"/>
  <c r="M164" i="7" s="1"/>
  <c r="D735" i="5"/>
  <c r="E735" s="1"/>
  <c r="M150" i="7" s="1"/>
  <c r="D663" i="5"/>
  <c r="E663" s="1"/>
  <c r="M137" i="7" s="1"/>
  <c r="D589" i="5"/>
  <c r="E589" s="1"/>
  <c r="M123" i="7" s="1"/>
  <c r="D491" i="5"/>
  <c r="E491" s="1"/>
  <c r="M97" i="7" s="1"/>
  <c r="D377" i="5"/>
  <c r="E377" s="1"/>
  <c r="M76" i="7" s="1"/>
  <c r="D305" i="5"/>
  <c r="E305" s="1"/>
  <c r="M62" i="7" s="1"/>
  <c r="D102" i="5"/>
  <c r="E102" s="1"/>
  <c r="M30" i="7" s="1"/>
  <c r="B97"/>
  <c r="B98"/>
  <c r="B99"/>
  <c r="B100"/>
  <c r="B96"/>
  <c r="F481" i="5"/>
  <c r="G481" s="1"/>
  <c r="E98" i="7" s="1"/>
  <c r="F482" i="5"/>
  <c r="G482" s="1"/>
  <c r="E99" i="7" s="1"/>
  <c r="D481" i="5"/>
  <c r="E481" s="1"/>
  <c r="D98" i="7" s="1"/>
  <c r="D482" i="5"/>
  <c r="E482" s="1"/>
  <c r="D99" i="7" s="1"/>
  <c r="D1930" i="5"/>
  <c r="E1930" s="1"/>
  <c r="M374" i="7" s="1"/>
  <c r="D1854" i="5"/>
  <c r="E1854" s="1"/>
  <c r="M362" i="7" s="1"/>
  <c r="D1704" i="5"/>
  <c r="E1704" s="1"/>
  <c r="M336" i="7" s="1"/>
  <c r="D1629" i="5"/>
  <c r="E1629" s="1"/>
  <c r="M322" i="7" s="1"/>
  <c r="D1481" i="5"/>
  <c r="E1481" s="1"/>
  <c r="M294" i="7" s="1"/>
  <c r="D1407" i="5"/>
  <c r="E1407" s="1"/>
  <c r="M280" i="7" s="1"/>
  <c r="D1262" i="5"/>
  <c r="E1262" s="1"/>
  <c r="M253" i="7" s="1"/>
  <c r="D1034" i="5"/>
  <c r="E1034" s="1"/>
  <c r="M209" i="7" s="1"/>
  <c r="D956" i="5"/>
  <c r="E956" s="1"/>
  <c r="M194" i="7" s="1"/>
  <c r="D883" i="5"/>
  <c r="E883" s="1"/>
  <c r="M180" i="7" s="1"/>
  <c r="D737" i="5"/>
  <c r="E737" s="1"/>
  <c r="M152" i="7" s="1"/>
  <c r="D665" i="5"/>
  <c r="E665" s="1"/>
  <c r="M139" i="7" s="1"/>
  <c r="D591" i="5"/>
  <c r="E591" s="1"/>
  <c r="M125" i="7" s="1"/>
  <c r="D493" i="5"/>
  <c r="E493" s="1"/>
  <c r="M99" i="7" s="1"/>
  <c r="D379" i="5"/>
  <c r="E379" s="1"/>
  <c r="M78" i="7" s="1"/>
  <c r="D307" i="5"/>
  <c r="E307" s="1"/>
  <c r="M64" i="7" s="1"/>
  <c r="AE31" i="5"/>
  <c r="D31"/>
  <c r="E31" s="1"/>
  <c r="M16" i="7" s="1"/>
  <c r="C14" i="6"/>
  <c r="B474" i="5" s="1"/>
  <c r="B92" i="7" s="1"/>
  <c r="D498" i="5"/>
  <c r="AE497"/>
  <c r="D497"/>
  <c r="E497" s="1"/>
  <c r="M103" i="7" s="1"/>
  <c r="AE496" i="5"/>
  <c r="D496"/>
  <c r="E496" s="1"/>
  <c r="M102" i="7" s="1"/>
  <c r="AE495" i="5"/>
  <c r="D495"/>
  <c r="E495" s="1"/>
  <c r="M101" i="7" s="1"/>
  <c r="AE494" i="5"/>
  <c r="D494"/>
  <c r="E494" s="1"/>
  <c r="M100" i="7" s="1"/>
  <c r="AE492" i="5"/>
  <c r="D492"/>
  <c r="E492" s="1"/>
  <c r="M98" i="7" s="1"/>
  <c r="AE490" i="5"/>
  <c r="D490"/>
  <c r="E490" s="1"/>
  <c r="M96" i="7" s="1"/>
  <c r="AE489" i="5"/>
  <c r="D489"/>
  <c r="E489" s="1"/>
  <c r="M95" i="7" s="1"/>
  <c r="AE488" i="5"/>
  <c r="D488"/>
  <c r="E488" s="1"/>
  <c r="M94" i="7" s="1"/>
  <c r="AE487" i="5"/>
  <c r="D487"/>
  <c r="E487" s="1"/>
  <c r="M93" i="7" s="1"/>
  <c r="AQ483" i="5"/>
  <c r="AO483"/>
  <c r="AM483"/>
  <c r="AK483"/>
  <c r="AI483"/>
  <c r="F483"/>
  <c r="G483" s="1"/>
  <c r="E100" i="7" s="1"/>
  <c r="D483" i="5"/>
  <c r="E483" s="1"/>
  <c r="D100" i="7" s="1"/>
  <c r="AQ480" i="5"/>
  <c r="AO480"/>
  <c r="AM480"/>
  <c r="AK480"/>
  <c r="AI480"/>
  <c r="F480"/>
  <c r="G480" s="1"/>
  <c r="E97" i="7" s="1"/>
  <c r="D480" i="5"/>
  <c r="E480" s="1"/>
  <c r="D97" i="7" s="1"/>
  <c r="AQ479" i="5"/>
  <c r="AO479"/>
  <c r="AM479"/>
  <c r="AK479"/>
  <c r="AI479"/>
  <c r="F479"/>
  <c r="G479" s="1"/>
  <c r="E96" i="7" s="1"/>
  <c r="D479" i="5"/>
  <c r="E479" s="1"/>
  <c r="D96" i="7" s="1"/>
  <c r="AH477" i="5"/>
  <c r="AG477"/>
  <c r="AF477"/>
  <c r="AE477"/>
  <c r="C16" i="6"/>
  <c r="B574" i="5" s="1"/>
  <c r="D1181"/>
  <c r="E1181" s="1"/>
  <c r="M234" i="7" s="1"/>
  <c r="D879" i="5"/>
  <c r="E879" s="1"/>
  <c r="M176" i="7" s="1"/>
  <c r="D1403" i="5"/>
  <c r="E1403" s="1"/>
  <c r="M276" i="7" s="1"/>
  <c r="D1477" i="5"/>
  <c r="E1477" s="1"/>
  <c r="M290" i="7" s="1"/>
  <c r="D952" i="5"/>
  <c r="E952" s="1"/>
  <c r="M190" i="7" s="1"/>
  <c r="D1030" i="5"/>
  <c r="E1030" s="1"/>
  <c r="M205" i="7" s="1"/>
  <c r="D1108" i="5"/>
  <c r="E1108" s="1"/>
  <c r="M220" i="7" s="1"/>
  <c r="D2067" i="5"/>
  <c r="E2067" s="1"/>
  <c r="M392" i="7" s="1"/>
  <c r="D1258" i="5"/>
  <c r="E1258" s="1"/>
  <c r="M249" i="7" s="1"/>
  <c r="D806" i="5"/>
  <c r="E806" s="1"/>
  <c r="M162" i="7" s="1"/>
  <c r="D661" i="5"/>
  <c r="E661" s="1"/>
  <c r="M135" i="7" s="1"/>
  <c r="AO2318" i="5"/>
  <c r="AP2318" s="1"/>
  <c r="AO2319"/>
  <c r="AO2320"/>
  <c r="AP2320" s="1"/>
  <c r="AO2321"/>
  <c r="AP2321" s="1"/>
  <c r="AO2322"/>
  <c r="AP2322" s="1"/>
  <c r="AO2323"/>
  <c r="AP2323" s="1"/>
  <c r="AO2324"/>
  <c r="AP2324" s="1"/>
  <c r="AO2325"/>
  <c r="AP2325" s="1"/>
  <c r="AO2326"/>
  <c r="AP2326" s="1"/>
  <c r="AO2317"/>
  <c r="AP2317" s="1"/>
  <c r="AI1468"/>
  <c r="AQ2666"/>
  <c r="AO2666"/>
  <c r="AM2666"/>
  <c r="AK2666"/>
  <c r="AI2666"/>
  <c r="AE2741"/>
  <c r="AE2742"/>
  <c r="AE2743"/>
  <c r="AE2744"/>
  <c r="AE2740"/>
  <c r="AE2682"/>
  <c r="AE2683"/>
  <c r="AE2684"/>
  <c r="AE2685"/>
  <c r="AE2686"/>
  <c r="AE2681"/>
  <c r="AD2688"/>
  <c r="AE2688" s="1"/>
  <c r="AQ2669"/>
  <c r="AQ2670"/>
  <c r="AQ2671"/>
  <c r="AQ2672"/>
  <c r="AQ2673"/>
  <c r="AQ2674"/>
  <c r="AQ2675"/>
  <c r="AQ2676"/>
  <c r="AQ2677"/>
  <c r="AQ2668"/>
  <c r="AO2669"/>
  <c r="AO2670"/>
  <c r="AO2671"/>
  <c r="AO2672"/>
  <c r="AO2673"/>
  <c r="AO2674"/>
  <c r="AO2675"/>
  <c r="AO2676"/>
  <c r="AO2677"/>
  <c r="AO2668"/>
  <c r="AM2669"/>
  <c r="AM2670"/>
  <c r="AM2671"/>
  <c r="AM2672"/>
  <c r="AM2673"/>
  <c r="AM2674"/>
  <c r="AM2675"/>
  <c r="AM2676"/>
  <c r="AM2677"/>
  <c r="AM2668"/>
  <c r="AK2669"/>
  <c r="AK2670"/>
  <c r="AK2671"/>
  <c r="AK2672"/>
  <c r="AK2673"/>
  <c r="AK2674"/>
  <c r="AK2675"/>
  <c r="AK2676"/>
  <c r="AK2677"/>
  <c r="AK2668"/>
  <c r="AI2669"/>
  <c r="AI2670"/>
  <c r="AI2671"/>
  <c r="AI2672"/>
  <c r="AI2673"/>
  <c r="AI2674"/>
  <c r="AI2675"/>
  <c r="AI2676"/>
  <c r="AI2677"/>
  <c r="AI2668"/>
  <c r="AQ2608"/>
  <c r="AQ2607"/>
  <c r="AO2608"/>
  <c r="AO2607"/>
  <c r="AM2608"/>
  <c r="AM2607"/>
  <c r="AK2608"/>
  <c r="AK2607"/>
  <c r="AI2608"/>
  <c r="AI2607"/>
  <c r="AW2629"/>
  <c r="AU2629"/>
  <c r="AV2629" s="1"/>
  <c r="AS2629"/>
  <c r="AT2629" s="1"/>
  <c r="AQ2629"/>
  <c r="AR2629" s="1"/>
  <c r="AO2629"/>
  <c r="AP2629" s="1"/>
  <c r="AM2629"/>
  <c r="AN2629" s="1"/>
  <c r="AK2629"/>
  <c r="AL2629" s="1"/>
  <c r="AI2629"/>
  <c r="AJ2629" s="1"/>
  <c r="AG2629"/>
  <c r="AH2629" s="1"/>
  <c r="AW2628"/>
  <c r="AU2628"/>
  <c r="AV2628" s="1"/>
  <c r="AS2628"/>
  <c r="AT2628" s="1"/>
  <c r="AQ2628"/>
  <c r="AR2628" s="1"/>
  <c r="AO2628"/>
  <c r="AP2628" s="1"/>
  <c r="AM2628"/>
  <c r="AN2628" s="1"/>
  <c r="AK2628"/>
  <c r="AL2628" s="1"/>
  <c r="AI2628"/>
  <c r="AJ2628" s="1"/>
  <c r="AG2628"/>
  <c r="AH2628" s="1"/>
  <c r="AW2627"/>
  <c r="AU2627"/>
  <c r="AV2627" s="1"/>
  <c r="AS2627"/>
  <c r="AT2627" s="1"/>
  <c r="AQ2627"/>
  <c r="AR2627" s="1"/>
  <c r="AO2627"/>
  <c r="AP2627" s="1"/>
  <c r="AM2627"/>
  <c r="AN2627" s="1"/>
  <c r="AK2627"/>
  <c r="AL2627" s="1"/>
  <c r="AI2627"/>
  <c r="AJ2627" s="1"/>
  <c r="AG2627"/>
  <c r="AH2627" s="1"/>
  <c r="AW2626"/>
  <c r="AU2626"/>
  <c r="AV2626" s="1"/>
  <c r="AS2626"/>
  <c r="AT2626" s="1"/>
  <c r="AQ2626"/>
  <c r="AR2626" s="1"/>
  <c r="AO2626"/>
  <c r="AP2626" s="1"/>
  <c r="AM2626"/>
  <c r="AN2626" s="1"/>
  <c r="AK2626"/>
  <c r="AL2626" s="1"/>
  <c r="AI2626"/>
  <c r="AJ2626" s="1"/>
  <c r="AG2626"/>
  <c r="AH2626" s="1"/>
  <c r="AW2625"/>
  <c r="AU2625"/>
  <c r="AV2625" s="1"/>
  <c r="AS2625"/>
  <c r="AT2625" s="1"/>
  <c r="AQ2625"/>
  <c r="AR2625" s="1"/>
  <c r="AO2625"/>
  <c r="AP2625" s="1"/>
  <c r="AM2625"/>
  <c r="AN2625" s="1"/>
  <c r="AK2625"/>
  <c r="AL2625" s="1"/>
  <c r="AI2625"/>
  <c r="AJ2625" s="1"/>
  <c r="AG2625"/>
  <c r="AH2625" s="1"/>
  <c r="AW2624"/>
  <c r="AU2624"/>
  <c r="AV2624" s="1"/>
  <c r="AS2624"/>
  <c r="AT2624" s="1"/>
  <c r="AQ2624"/>
  <c r="AR2624" s="1"/>
  <c r="AO2624"/>
  <c r="AP2624" s="1"/>
  <c r="AM2624"/>
  <c r="AN2624" s="1"/>
  <c r="AK2624"/>
  <c r="AL2624" s="1"/>
  <c r="AI2624"/>
  <c r="AJ2624" s="1"/>
  <c r="AG2624"/>
  <c r="AH2624" s="1"/>
  <c r="AW2623"/>
  <c r="AU2623"/>
  <c r="AV2623" s="1"/>
  <c r="AS2623"/>
  <c r="AT2623" s="1"/>
  <c r="AQ2623"/>
  <c r="AR2623" s="1"/>
  <c r="AO2623"/>
  <c r="AP2623" s="1"/>
  <c r="AM2623"/>
  <c r="AN2623" s="1"/>
  <c r="AK2623"/>
  <c r="AL2623" s="1"/>
  <c r="AI2623"/>
  <c r="AJ2623" s="1"/>
  <c r="AG2623"/>
  <c r="AH2623" s="1"/>
  <c r="AW2622"/>
  <c r="AU2622"/>
  <c r="AV2622" s="1"/>
  <c r="AS2622"/>
  <c r="AT2622" s="1"/>
  <c r="AQ2622"/>
  <c r="AR2622" s="1"/>
  <c r="AO2622"/>
  <c r="AP2622" s="1"/>
  <c r="AM2622"/>
  <c r="AN2622" s="1"/>
  <c r="AK2622"/>
  <c r="AL2622" s="1"/>
  <c r="AI2622"/>
  <c r="AJ2622" s="1"/>
  <c r="AG2622"/>
  <c r="AH2622" s="1"/>
  <c r="AW2621"/>
  <c r="AU2621"/>
  <c r="AV2621" s="1"/>
  <c r="AS2621"/>
  <c r="AT2621" s="1"/>
  <c r="AQ2621"/>
  <c r="AR2621" s="1"/>
  <c r="AO2621"/>
  <c r="AP2621" s="1"/>
  <c r="AM2621"/>
  <c r="AN2621" s="1"/>
  <c r="AK2621"/>
  <c r="AL2621" s="1"/>
  <c r="AI2621"/>
  <c r="AJ2621" s="1"/>
  <c r="AG2621"/>
  <c r="AH2621" s="1"/>
  <c r="AW2620"/>
  <c r="AU2620"/>
  <c r="AV2620" s="1"/>
  <c r="AS2620"/>
  <c r="AT2620" s="1"/>
  <c r="AQ2620"/>
  <c r="AR2620" s="1"/>
  <c r="AO2620"/>
  <c r="AP2620" s="1"/>
  <c r="AM2620"/>
  <c r="AN2620" s="1"/>
  <c r="AK2620"/>
  <c r="AL2620" s="1"/>
  <c r="AI2620"/>
  <c r="AJ2620" s="1"/>
  <c r="AG2620"/>
  <c r="AH2620" s="1"/>
  <c r="AW2513"/>
  <c r="AV2513"/>
  <c r="AS2513"/>
  <c r="AT2513" s="1"/>
  <c r="AR2513"/>
  <c r="AO2513"/>
  <c r="AP2513" s="1"/>
  <c r="AN2513"/>
  <c r="AW2512"/>
  <c r="AV2512"/>
  <c r="AS2512"/>
  <c r="AT2512" s="1"/>
  <c r="AR2512"/>
  <c r="AO2512"/>
  <c r="AP2512" s="1"/>
  <c r="AN2512"/>
  <c r="AW2511"/>
  <c r="AV2511"/>
  <c r="AS2511"/>
  <c r="AT2511" s="1"/>
  <c r="AR2511"/>
  <c r="AO2511"/>
  <c r="AP2511" s="1"/>
  <c r="AN2511"/>
  <c r="AW2466"/>
  <c r="AV2466"/>
  <c r="AS2466"/>
  <c r="AT2466" s="1"/>
  <c r="AR2466"/>
  <c r="AO2466"/>
  <c r="AP2466" s="1"/>
  <c r="AN2466"/>
  <c r="AW2465"/>
  <c r="AV2465"/>
  <c r="AS2465"/>
  <c r="AT2465" s="1"/>
  <c r="AR2465"/>
  <c r="AO2465"/>
  <c r="AP2465" s="1"/>
  <c r="AN2465"/>
  <c r="AW2464"/>
  <c r="AV2464"/>
  <c r="AS2464"/>
  <c r="AT2464" s="1"/>
  <c r="AR2464"/>
  <c r="AO2464"/>
  <c r="AP2464" s="1"/>
  <c r="AN2464"/>
  <c r="AW2463"/>
  <c r="AV2463"/>
  <c r="AS2463"/>
  <c r="AT2463" s="1"/>
  <c r="AR2463"/>
  <c r="AO2463"/>
  <c r="AP2463" s="1"/>
  <c r="AN2463"/>
  <c r="AW2462"/>
  <c r="AV2462"/>
  <c r="AS2462"/>
  <c r="AT2462" s="1"/>
  <c r="AR2462"/>
  <c r="AO2462"/>
  <c r="AP2462" s="1"/>
  <c r="AN2462"/>
  <c r="AW2461"/>
  <c r="AV2461"/>
  <c r="AS2461"/>
  <c r="AT2461" s="1"/>
  <c r="AR2461"/>
  <c r="AO2461"/>
  <c r="AP2461" s="1"/>
  <c r="AN2461"/>
  <c r="AW2460"/>
  <c r="AV2460"/>
  <c r="AS2460"/>
  <c r="AT2460" s="1"/>
  <c r="AR2460"/>
  <c r="AO2460"/>
  <c r="AP2460" s="1"/>
  <c r="AN2460"/>
  <c r="AW2459"/>
  <c r="AV2459"/>
  <c r="AS2459"/>
  <c r="AT2459" s="1"/>
  <c r="AR2459"/>
  <c r="AO2459"/>
  <c r="AP2459" s="1"/>
  <c r="AN2459"/>
  <c r="AW2458"/>
  <c r="AV2458"/>
  <c r="AS2458"/>
  <c r="AT2458" s="1"/>
  <c r="AR2458"/>
  <c r="AO2458"/>
  <c r="AP2458" s="1"/>
  <c r="AN2458"/>
  <c r="AW2457"/>
  <c r="AV2457"/>
  <c r="AS2457"/>
  <c r="AT2457" s="1"/>
  <c r="AR2457"/>
  <c r="AO2457"/>
  <c r="AP2457" s="1"/>
  <c r="AN2457"/>
  <c r="AV2398"/>
  <c r="AT2398"/>
  <c r="AR2398"/>
  <c r="AP2398"/>
  <c r="AN2398"/>
  <c r="AV2397"/>
  <c r="AT2397"/>
  <c r="AR2397"/>
  <c r="AP2397"/>
  <c r="AN2397"/>
  <c r="AV2396"/>
  <c r="AT2396"/>
  <c r="AR2396"/>
  <c r="AP2396"/>
  <c r="AN2396"/>
  <c r="AV2395"/>
  <c r="AT2395"/>
  <c r="AR2395"/>
  <c r="AP2395"/>
  <c r="AN2395"/>
  <c r="AV2394"/>
  <c r="AT2394"/>
  <c r="AR2394"/>
  <c r="AP2394"/>
  <c r="AN2394"/>
  <c r="AV2393"/>
  <c r="AT2393"/>
  <c r="AR2393"/>
  <c r="AP2393"/>
  <c r="AN2393"/>
  <c r="AV2392"/>
  <c r="AT2392"/>
  <c r="AR2392"/>
  <c r="AP2392"/>
  <c r="AN2392"/>
  <c r="AV2391"/>
  <c r="AT2391"/>
  <c r="AR2391"/>
  <c r="AP2391"/>
  <c r="AN2391"/>
  <c r="AV2390"/>
  <c r="AT2390"/>
  <c r="AR2390"/>
  <c r="AP2390"/>
  <c r="AN2390"/>
  <c r="AV2389"/>
  <c r="AT2389"/>
  <c r="AR2389"/>
  <c r="AP2389"/>
  <c r="AN2389"/>
  <c r="AW2351"/>
  <c r="AU2351"/>
  <c r="AV2351" s="1"/>
  <c r="AS2351"/>
  <c r="AT2351" s="1"/>
  <c r="AQ2351"/>
  <c r="AR2351" s="1"/>
  <c r="AO2351"/>
  <c r="AP2351" s="1"/>
  <c r="AM2351"/>
  <c r="AN2351" s="1"/>
  <c r="AW2350"/>
  <c r="AU2350"/>
  <c r="AV2350" s="1"/>
  <c r="AS2350"/>
  <c r="AT2350" s="1"/>
  <c r="AQ2350"/>
  <c r="AR2350" s="1"/>
  <c r="AO2350"/>
  <c r="AP2350" s="1"/>
  <c r="AM2350"/>
  <c r="AN2350" s="1"/>
  <c r="AW2349"/>
  <c r="AU2349"/>
  <c r="AV2349" s="1"/>
  <c r="AS2349"/>
  <c r="AT2349" s="1"/>
  <c r="AQ2349"/>
  <c r="AR2349" s="1"/>
  <c r="AO2349"/>
  <c r="AP2349" s="1"/>
  <c r="AM2349"/>
  <c r="AN2349" s="1"/>
  <c r="AW2348"/>
  <c r="AU2348"/>
  <c r="AV2348" s="1"/>
  <c r="AS2348"/>
  <c r="AT2348" s="1"/>
  <c r="AQ2348"/>
  <c r="AR2348" s="1"/>
  <c r="AO2348"/>
  <c r="AP2348" s="1"/>
  <c r="AM2348"/>
  <c r="AN2348" s="1"/>
  <c r="AW2347"/>
  <c r="AU2347"/>
  <c r="AV2347" s="1"/>
  <c r="AS2347"/>
  <c r="AT2347" s="1"/>
  <c r="AQ2347"/>
  <c r="AR2347" s="1"/>
  <c r="AO2347"/>
  <c r="AP2347" s="1"/>
  <c r="AM2347"/>
  <c r="AN2347" s="1"/>
  <c r="AW2346"/>
  <c r="AU2346"/>
  <c r="AV2346" s="1"/>
  <c r="AS2346"/>
  <c r="AT2346" s="1"/>
  <c r="AQ2346"/>
  <c r="AR2346" s="1"/>
  <c r="AO2346"/>
  <c r="AP2346" s="1"/>
  <c r="AM2346"/>
  <c r="AN2346" s="1"/>
  <c r="AW2345"/>
  <c r="AU2345"/>
  <c r="AV2345" s="1"/>
  <c r="AS2345"/>
  <c r="AT2345" s="1"/>
  <c r="AQ2345"/>
  <c r="AR2345" s="1"/>
  <c r="AO2345"/>
  <c r="AP2345" s="1"/>
  <c r="AM2345"/>
  <c r="AN2345" s="1"/>
  <c r="AW2344"/>
  <c r="AU2344"/>
  <c r="AV2344" s="1"/>
  <c r="AS2344"/>
  <c r="AT2344" s="1"/>
  <c r="AQ2344"/>
  <c r="AR2344" s="1"/>
  <c r="AO2344"/>
  <c r="AP2344" s="1"/>
  <c r="AM2344"/>
  <c r="AN2344" s="1"/>
  <c r="AW2343"/>
  <c r="AU2343"/>
  <c r="AV2343" s="1"/>
  <c r="AS2343"/>
  <c r="AT2343" s="1"/>
  <c r="AQ2343"/>
  <c r="AR2343" s="1"/>
  <c r="AO2343"/>
  <c r="AP2343" s="1"/>
  <c r="AM2343"/>
  <c r="AN2343" s="1"/>
  <c r="AW2342"/>
  <c r="AU2342"/>
  <c r="AV2342" s="1"/>
  <c r="AS2342"/>
  <c r="AT2342" s="1"/>
  <c r="AQ2342"/>
  <c r="AR2342" s="1"/>
  <c r="AO2342"/>
  <c r="AP2342" s="1"/>
  <c r="AM2342"/>
  <c r="AN2342" s="1"/>
  <c r="AV2330"/>
  <c r="AT2330"/>
  <c r="AR2330"/>
  <c r="AP2330"/>
  <c r="AN2330"/>
  <c r="AV2329"/>
  <c r="AT2329"/>
  <c r="AR2329"/>
  <c r="AP2329"/>
  <c r="AN2329"/>
  <c r="AV2328"/>
  <c r="AT2328"/>
  <c r="AR2328"/>
  <c r="AP2328"/>
  <c r="AN2328"/>
  <c r="AV2318"/>
  <c r="AV2319"/>
  <c r="AV2320"/>
  <c r="AV2321"/>
  <c r="AV2322"/>
  <c r="AV2323"/>
  <c r="AV2324"/>
  <c r="AV2325"/>
  <c r="AV2326"/>
  <c r="AV2317"/>
  <c r="AT2318"/>
  <c r="AT2319"/>
  <c r="AT2320"/>
  <c r="AT2321"/>
  <c r="AT2322"/>
  <c r="AT2323"/>
  <c r="AT2324"/>
  <c r="AT2325"/>
  <c r="AT2326"/>
  <c r="AT2317"/>
  <c r="AR2318"/>
  <c r="AR2319"/>
  <c r="AR2320"/>
  <c r="AR2321"/>
  <c r="AR2322"/>
  <c r="AR2323"/>
  <c r="AR2324"/>
  <c r="AR2325"/>
  <c r="AR2326"/>
  <c r="AR2317"/>
  <c r="AP2319"/>
  <c r="AN2318"/>
  <c r="AN2319"/>
  <c r="AN2320"/>
  <c r="AN2321"/>
  <c r="AN2322"/>
  <c r="AN2323"/>
  <c r="AN2324"/>
  <c r="AN2325"/>
  <c r="AN2326"/>
  <c r="AN2317"/>
  <c r="AE2262"/>
  <c r="AE2261"/>
  <c r="AP2257"/>
  <c r="AN2257"/>
  <c r="AV2257"/>
  <c r="AT2257"/>
  <c r="AR2257"/>
  <c r="AP2255"/>
  <c r="AV2256"/>
  <c r="AT2256"/>
  <c r="AR2256"/>
  <c r="AP2256"/>
  <c r="AN2256"/>
  <c r="AV2255"/>
  <c r="AT2255"/>
  <c r="AR2255"/>
  <c r="AN2255"/>
  <c r="AP2252"/>
  <c r="AV2253"/>
  <c r="AT2253"/>
  <c r="AR2253"/>
  <c r="AP2253"/>
  <c r="AN2253"/>
  <c r="AV2252"/>
  <c r="AT2252"/>
  <c r="AR2252"/>
  <c r="AN2252"/>
  <c r="AV2250"/>
  <c r="AV2249"/>
  <c r="AT2250"/>
  <c r="AT2249"/>
  <c r="AR2250"/>
  <c r="AR2249"/>
  <c r="AP2250"/>
  <c r="AP2249"/>
  <c r="AN2249"/>
  <c r="AN2250"/>
  <c r="AK2190"/>
  <c r="AQ2190"/>
  <c r="AM2190"/>
  <c r="AO2190"/>
  <c r="AI2190"/>
  <c r="AE2131"/>
  <c r="AE2132"/>
  <c r="AE2133"/>
  <c r="AE2134"/>
  <c r="AE2135"/>
  <c r="AE2130"/>
  <c r="AK2126"/>
  <c r="AK2125"/>
  <c r="AI2126"/>
  <c r="AI2125"/>
  <c r="AG2126"/>
  <c r="AG2125"/>
  <c r="AE2118"/>
  <c r="AF2118" s="1"/>
  <c r="AE2068"/>
  <c r="AE2069"/>
  <c r="AE2066"/>
  <c r="AQ2059"/>
  <c r="AQ2060"/>
  <c r="AQ2061"/>
  <c r="AQ2062"/>
  <c r="AQ2058"/>
  <c r="AO2059"/>
  <c r="AO2060"/>
  <c r="AO2061"/>
  <c r="AO2062"/>
  <c r="AO2058"/>
  <c r="AM2059"/>
  <c r="AM2060"/>
  <c r="AM2061"/>
  <c r="AM2062"/>
  <c r="AM2058"/>
  <c r="AK2059"/>
  <c r="AK2060"/>
  <c r="AK2061"/>
  <c r="AK2062"/>
  <c r="AK2058"/>
  <c r="AI2059"/>
  <c r="AI2060"/>
  <c r="AI2061"/>
  <c r="AI2062"/>
  <c r="AI2058"/>
  <c r="AE1999"/>
  <c r="AE2000"/>
  <c r="AE2001"/>
  <c r="AE2002"/>
  <c r="AE2003"/>
  <c r="AE1998"/>
  <c r="AE1985"/>
  <c r="AF1985" s="1"/>
  <c r="AE1991"/>
  <c r="AE1992"/>
  <c r="AE1993"/>
  <c r="AE1994"/>
  <c r="AE1990"/>
  <c r="AE1926"/>
  <c r="AE1929"/>
  <c r="AE1932"/>
  <c r="AE1927"/>
  <c r="AE1931"/>
  <c r="AE1933"/>
  <c r="AE1925"/>
  <c r="AN1916"/>
  <c r="AN1917"/>
  <c r="AN1918"/>
  <c r="AN1919"/>
  <c r="AN1920"/>
  <c r="AN1921"/>
  <c r="AN1915"/>
  <c r="AL1916"/>
  <c r="AL1917"/>
  <c r="AL1918"/>
  <c r="AL1919"/>
  <c r="AL1920"/>
  <c r="AL1921"/>
  <c r="AL1915"/>
  <c r="AJ1916"/>
  <c r="AJ1917"/>
  <c r="AJ1918"/>
  <c r="AJ1919"/>
  <c r="AJ1920"/>
  <c r="AJ1921"/>
  <c r="AJ1915"/>
  <c r="AH1916"/>
  <c r="AH1917"/>
  <c r="AH1918"/>
  <c r="AH1919"/>
  <c r="AH1920"/>
  <c r="AH1921"/>
  <c r="AH1915"/>
  <c r="AD1858"/>
  <c r="AE1858" s="1"/>
  <c r="AE1849"/>
  <c r="AE1850"/>
  <c r="AE1851"/>
  <c r="AE1853"/>
  <c r="AE1855"/>
  <c r="AE1856"/>
  <c r="AE1857"/>
  <c r="AE1859"/>
  <c r="AE1848"/>
  <c r="AL1838"/>
  <c r="AL1841"/>
  <c r="AN1839"/>
  <c r="AN1840"/>
  <c r="AN1841"/>
  <c r="AN1842"/>
  <c r="AN1843"/>
  <c r="AN1844"/>
  <c r="AN1838"/>
  <c r="AL1839"/>
  <c r="AL1840"/>
  <c r="AL1842"/>
  <c r="AL1843"/>
  <c r="AL1844"/>
  <c r="AJ1839"/>
  <c r="AJ1840"/>
  <c r="AJ1841"/>
  <c r="AJ1842"/>
  <c r="AJ1843"/>
  <c r="AJ1844"/>
  <c r="AJ1838"/>
  <c r="AH1839"/>
  <c r="AH1840"/>
  <c r="AH1841"/>
  <c r="AH1842"/>
  <c r="AH1843"/>
  <c r="AH1844"/>
  <c r="AH1838"/>
  <c r="AE1832"/>
  <c r="AF1832" s="1"/>
  <c r="AC1781"/>
  <c r="AD1781" s="1"/>
  <c r="AE1781" s="1"/>
  <c r="AC1773"/>
  <c r="AD1773" s="1"/>
  <c r="AE1773" s="1"/>
  <c r="AC1772"/>
  <c r="AD1772" s="1"/>
  <c r="AE1772" s="1"/>
  <c r="AE1774"/>
  <c r="AE1776"/>
  <c r="AE1778"/>
  <c r="AE1779"/>
  <c r="AE1780"/>
  <c r="AE1782"/>
  <c r="AE1771"/>
  <c r="AG1765"/>
  <c r="AH1762"/>
  <c r="AK1766"/>
  <c r="AK1767"/>
  <c r="AK1765"/>
  <c r="AI1765"/>
  <c r="AI1766"/>
  <c r="AI1767"/>
  <c r="AN1762"/>
  <c r="AM1762"/>
  <c r="AG1766"/>
  <c r="AG1767"/>
  <c r="AQ1691"/>
  <c r="AQ1692"/>
  <c r="AQ1693"/>
  <c r="AQ1690"/>
  <c r="AO1691"/>
  <c r="AO1692"/>
  <c r="AO1693"/>
  <c r="AO1690"/>
  <c r="AM1691"/>
  <c r="AM1692"/>
  <c r="AM1693"/>
  <c r="AM1690"/>
  <c r="AK1691"/>
  <c r="AK1692"/>
  <c r="AK1693"/>
  <c r="AK1690"/>
  <c r="AI1691"/>
  <c r="AI1692"/>
  <c r="AI1693"/>
  <c r="AI1690"/>
  <c r="AG1685"/>
  <c r="AH1685" s="1"/>
  <c r="AQ1617"/>
  <c r="AQ1618"/>
  <c r="AQ1616"/>
  <c r="AO1617"/>
  <c r="AO1618"/>
  <c r="AO1616"/>
  <c r="AM1617"/>
  <c r="AM1618"/>
  <c r="AM1616"/>
  <c r="AK1617"/>
  <c r="AK1618"/>
  <c r="AK1616"/>
  <c r="AI1617"/>
  <c r="AI1618"/>
  <c r="AI1616"/>
  <c r="AQ1543"/>
  <c r="AQ1544"/>
  <c r="AQ1542"/>
  <c r="AO1543"/>
  <c r="AO1544"/>
  <c r="AO1542"/>
  <c r="AM1543"/>
  <c r="AM1544"/>
  <c r="AM1542"/>
  <c r="AK1543"/>
  <c r="AK1544"/>
  <c r="AK1542"/>
  <c r="AI1543"/>
  <c r="AI1544"/>
  <c r="AI1542"/>
  <c r="AG1537"/>
  <c r="AH1537" s="1"/>
  <c r="AQ1469"/>
  <c r="AQ1470"/>
  <c r="AQ1468"/>
  <c r="AO1469"/>
  <c r="AO1470"/>
  <c r="AO1468"/>
  <c r="AM1469"/>
  <c r="AM1470"/>
  <c r="AM1468"/>
  <c r="AK1469"/>
  <c r="AK1470"/>
  <c r="AK1468"/>
  <c r="AI1469"/>
  <c r="AI1470"/>
  <c r="AG1458"/>
  <c r="AH1458" s="1"/>
  <c r="AQ1396"/>
  <c r="AQ1395"/>
  <c r="AO1396"/>
  <c r="AO1395"/>
  <c r="AM1396"/>
  <c r="AM1395"/>
  <c r="AK1396"/>
  <c r="AK1395"/>
  <c r="AI1396"/>
  <c r="AI1395"/>
  <c r="AQ1324"/>
  <c r="AQ1323"/>
  <c r="AO1324"/>
  <c r="AO1323"/>
  <c r="AM1324"/>
  <c r="AM1323"/>
  <c r="AK1324"/>
  <c r="AK1323"/>
  <c r="AI1324"/>
  <c r="AI1323"/>
  <c r="AQ1247"/>
  <c r="AQ1248"/>
  <c r="AQ1249"/>
  <c r="AQ1250"/>
  <c r="AQ1246"/>
  <c r="AO1247"/>
  <c r="AO1248"/>
  <c r="AO1249"/>
  <c r="AO1250"/>
  <c r="AO1246"/>
  <c r="AM1247"/>
  <c r="AM1248"/>
  <c r="AM1249"/>
  <c r="AM1250"/>
  <c r="AM1246"/>
  <c r="AI1247"/>
  <c r="AI1249"/>
  <c r="AK1247"/>
  <c r="AK1248"/>
  <c r="AK1249"/>
  <c r="AK1250"/>
  <c r="AK1246"/>
  <c r="AI1248"/>
  <c r="AI1250"/>
  <c r="AI1246"/>
  <c r="AE1179"/>
  <c r="AE1182"/>
  <c r="AE1186"/>
  <c r="AE1188"/>
  <c r="AE1180"/>
  <c r="AE1184"/>
  <c r="AE1187"/>
  <c r="AE1189"/>
  <c r="AE1178"/>
  <c r="AQ1174"/>
  <c r="AQ1173"/>
  <c r="AO1174"/>
  <c r="AO1173"/>
  <c r="AM1174"/>
  <c r="AM1173"/>
  <c r="AK1174"/>
  <c r="AK1173"/>
  <c r="AI1174"/>
  <c r="AI1173"/>
  <c r="AF1167"/>
  <c r="AG1167" s="1"/>
  <c r="AM1096"/>
  <c r="AK1098"/>
  <c r="AQ1096"/>
  <c r="AQ1097"/>
  <c r="AQ1098"/>
  <c r="AQ1099"/>
  <c r="AQ1100"/>
  <c r="AQ1095"/>
  <c r="AO1096"/>
  <c r="AO1097"/>
  <c r="AO1098"/>
  <c r="AO1099"/>
  <c r="AO1100"/>
  <c r="AO1095"/>
  <c r="AM1097"/>
  <c r="AM1098"/>
  <c r="AM1099"/>
  <c r="AM1100"/>
  <c r="AM1095"/>
  <c r="AK1096"/>
  <c r="AK1097"/>
  <c r="AK1099"/>
  <c r="AK1100"/>
  <c r="AK1095"/>
  <c r="AI1096"/>
  <c r="AI1097"/>
  <c r="AI1098"/>
  <c r="AI1099"/>
  <c r="AI1100"/>
  <c r="AI1095"/>
  <c r="AE1090"/>
  <c r="AF1090" s="1"/>
  <c r="AE1027"/>
  <c r="AE1028"/>
  <c r="AE1029"/>
  <c r="AE1031"/>
  <c r="AE1033"/>
  <c r="AE1035"/>
  <c r="AE1036"/>
  <c r="AE1037"/>
  <c r="AE1038"/>
  <c r="AE1026"/>
  <c r="AQ1018"/>
  <c r="AQ1019"/>
  <c r="AQ1020"/>
  <c r="AQ1021"/>
  <c r="AQ1022"/>
  <c r="AQ1017"/>
  <c r="AO1018"/>
  <c r="AO1019"/>
  <c r="AO1020"/>
  <c r="AO1021"/>
  <c r="AO1022"/>
  <c r="AO1017"/>
  <c r="AM1018"/>
  <c r="AM1019"/>
  <c r="AM1020"/>
  <c r="AM1021"/>
  <c r="AM1022"/>
  <c r="AM1017"/>
  <c r="AK1018"/>
  <c r="AK1019"/>
  <c r="AK1020"/>
  <c r="AK1022"/>
  <c r="AK1017"/>
  <c r="AK1021"/>
  <c r="AI1018"/>
  <c r="AI1019"/>
  <c r="AI1020"/>
  <c r="AI1021"/>
  <c r="AI1022"/>
  <c r="AI1017"/>
  <c r="AQ945"/>
  <c r="AQ944"/>
  <c r="AO945"/>
  <c r="AO944"/>
  <c r="AM945"/>
  <c r="AM944"/>
  <c r="AK945"/>
  <c r="AK944"/>
  <c r="AI945"/>
  <c r="AI944"/>
  <c r="AH933"/>
  <c r="AI933" s="1"/>
  <c r="AQ872"/>
  <c r="AQ871"/>
  <c r="AN872"/>
  <c r="AO872" s="1"/>
  <c r="AN871"/>
  <c r="AO871" s="1"/>
  <c r="AM872"/>
  <c r="AM871"/>
  <c r="AK872"/>
  <c r="AK871"/>
  <c r="AI872"/>
  <c r="AI871"/>
  <c r="AQ799"/>
  <c r="AQ798"/>
  <c r="AO799"/>
  <c r="AO798"/>
  <c r="AM799"/>
  <c r="AM798"/>
  <c r="AK799"/>
  <c r="AK798"/>
  <c r="AI799"/>
  <c r="AI798"/>
  <c r="AE804"/>
  <c r="AE805"/>
  <c r="AE807"/>
  <c r="AE809"/>
  <c r="AE811"/>
  <c r="AE812"/>
  <c r="AE813"/>
  <c r="AE814"/>
  <c r="AE803"/>
  <c r="AE731"/>
  <c r="AQ727"/>
  <c r="AQ726"/>
  <c r="AO727"/>
  <c r="AO726"/>
  <c r="AK727"/>
  <c r="AM727"/>
  <c r="AM726"/>
  <c r="AK726"/>
  <c r="AI727"/>
  <c r="AI726"/>
  <c r="AE659"/>
  <c r="AE660"/>
  <c r="AE662"/>
  <c r="AE664"/>
  <c r="AE666"/>
  <c r="AE667"/>
  <c r="AE668"/>
  <c r="AE669"/>
  <c r="AE658"/>
  <c r="AQ653"/>
  <c r="AQ654"/>
  <c r="AQ652"/>
  <c r="AO653"/>
  <c r="AO654"/>
  <c r="AO652"/>
  <c r="AM653"/>
  <c r="AM654"/>
  <c r="AM652"/>
  <c r="AK653"/>
  <c r="AK654"/>
  <c r="AK652"/>
  <c r="AI653"/>
  <c r="AI654"/>
  <c r="AI652"/>
  <c r="AE586"/>
  <c r="AE587"/>
  <c r="AE588"/>
  <c r="AE590"/>
  <c r="AE592"/>
  <c r="AE593"/>
  <c r="AE594"/>
  <c r="AE595"/>
  <c r="AE585"/>
  <c r="AD577"/>
  <c r="AE577"/>
  <c r="AQ580"/>
  <c r="AQ581"/>
  <c r="AQ579"/>
  <c r="AO580"/>
  <c r="AO581"/>
  <c r="AO579"/>
  <c r="AM580"/>
  <c r="AM581"/>
  <c r="AM579"/>
  <c r="AK580"/>
  <c r="AK581"/>
  <c r="AK579"/>
  <c r="AI580"/>
  <c r="AI581"/>
  <c r="AI579"/>
  <c r="AE374"/>
  <c r="AE375"/>
  <c r="AE376"/>
  <c r="AE378"/>
  <c r="AE380"/>
  <c r="AE381"/>
  <c r="AE382"/>
  <c r="AE383"/>
  <c r="AE385"/>
  <c r="AD384"/>
  <c r="AE384" s="1"/>
  <c r="AE373"/>
  <c r="AE369"/>
  <c r="AE301"/>
  <c r="AE302"/>
  <c r="AE303"/>
  <c r="AE304"/>
  <c r="AE306"/>
  <c r="AE308"/>
  <c r="AE309"/>
  <c r="AE310"/>
  <c r="AE311"/>
  <c r="AD312"/>
  <c r="AE312" s="1"/>
  <c r="AE313"/>
  <c r="AE300"/>
  <c r="AK293"/>
  <c r="AK294"/>
  <c r="AK295"/>
  <c r="AK296"/>
  <c r="AK292"/>
  <c r="AI293"/>
  <c r="AI294"/>
  <c r="AI295"/>
  <c r="AI296"/>
  <c r="AI292"/>
  <c r="AG293"/>
  <c r="AG294"/>
  <c r="AG295"/>
  <c r="AG296"/>
  <c r="AG292"/>
  <c r="AE175"/>
  <c r="AE176"/>
  <c r="AE177"/>
  <c r="AE178"/>
  <c r="AE180"/>
  <c r="AE182"/>
  <c r="AE183"/>
  <c r="AE184"/>
  <c r="AE185"/>
  <c r="AE187"/>
  <c r="AD186"/>
  <c r="AE186" s="1"/>
  <c r="AE174"/>
  <c r="AH94"/>
  <c r="AH93"/>
  <c r="AG94"/>
  <c r="AG93"/>
  <c r="AK167"/>
  <c r="AK168"/>
  <c r="AK169"/>
  <c r="AK170"/>
  <c r="AK166"/>
  <c r="AI167"/>
  <c r="AI168"/>
  <c r="AI169"/>
  <c r="AI170"/>
  <c r="AI166"/>
  <c r="AG167"/>
  <c r="AG168"/>
  <c r="AG169"/>
  <c r="AG170"/>
  <c r="AG166"/>
  <c r="AC109"/>
  <c r="AD109" s="1"/>
  <c r="AE109" s="1"/>
  <c r="AE99"/>
  <c r="AE100"/>
  <c r="AE101"/>
  <c r="AE103"/>
  <c r="AE105"/>
  <c r="AE106"/>
  <c r="AE107"/>
  <c r="AE108"/>
  <c r="AE110"/>
  <c r="AE98"/>
  <c r="AE25"/>
  <c r="AE26"/>
  <c r="AD36"/>
  <c r="AE36" s="1"/>
  <c r="AE27"/>
  <c r="AE28"/>
  <c r="AE30"/>
  <c r="AE32"/>
  <c r="AE33"/>
  <c r="AE34"/>
  <c r="AE35"/>
  <c r="AE37"/>
  <c r="AE24"/>
  <c r="AH17"/>
  <c r="AH19"/>
  <c r="AH16"/>
  <c r="AG16"/>
  <c r="AH20"/>
  <c r="AH15"/>
  <c r="AG17"/>
  <c r="AG18"/>
  <c r="AG19"/>
  <c r="AG20"/>
  <c r="AG15"/>
  <c r="AH18"/>
  <c r="D15"/>
  <c r="AL2331"/>
  <c r="AJ2331"/>
  <c r="AH2331"/>
  <c r="AF2331"/>
  <c r="AD2331"/>
  <c r="AE2316"/>
  <c r="AE2124"/>
  <c r="AD2124"/>
  <c r="AE796"/>
  <c r="E5"/>
  <c r="D4" i="7" s="1"/>
  <c r="B1" i="5"/>
  <c r="AG2247"/>
  <c r="AE2247"/>
  <c r="AE2188"/>
  <c r="AF2188"/>
  <c r="AG2188"/>
  <c r="AD2188"/>
  <c r="AE1688"/>
  <c r="AF1688"/>
  <c r="AG1688"/>
  <c r="AD1688"/>
  <c r="AE1614"/>
  <c r="AF1614"/>
  <c r="AG1614"/>
  <c r="AD1614"/>
  <c r="AG1540"/>
  <c r="AE1540"/>
  <c r="AF1540"/>
  <c r="AD1540"/>
  <c r="AE1466"/>
  <c r="AF1466"/>
  <c r="AG1466"/>
  <c r="AD1466"/>
  <c r="AE1393"/>
  <c r="AF1393"/>
  <c r="AG1393"/>
  <c r="AD1393"/>
  <c r="AE1321"/>
  <c r="AF1321"/>
  <c r="AG1321"/>
  <c r="AD1321"/>
  <c r="AE1244"/>
  <c r="AF1244"/>
  <c r="AG1244"/>
  <c r="AD1244"/>
  <c r="AD1171"/>
  <c r="AG1171"/>
  <c r="AE1171"/>
  <c r="AF1171"/>
  <c r="AE1093"/>
  <c r="AF1093"/>
  <c r="AG1093"/>
  <c r="AD1093"/>
  <c r="AE1015"/>
  <c r="AF1015"/>
  <c r="AG1015"/>
  <c r="AD1015"/>
  <c r="AF942"/>
  <c r="AE942"/>
  <c r="AG942"/>
  <c r="AD942"/>
  <c r="AE869"/>
  <c r="AF869"/>
  <c r="AG869"/>
  <c r="AD869"/>
  <c r="AF796"/>
  <c r="AG796"/>
  <c r="AD796"/>
  <c r="AE724"/>
  <c r="AF724"/>
  <c r="AG724"/>
  <c r="AD724"/>
  <c r="AD650"/>
  <c r="AE650"/>
  <c r="AF650"/>
  <c r="AG650"/>
  <c r="AF577"/>
  <c r="AG577"/>
  <c r="F1767"/>
  <c r="G1767" s="1"/>
  <c r="E348" i="7" s="1"/>
  <c r="L2677" i="5"/>
  <c r="M2677" s="1"/>
  <c r="H534" i="7" s="1"/>
  <c r="J2677" i="5"/>
  <c r="K2677" s="1"/>
  <c r="G534" i="7" s="1"/>
  <c r="H2677" i="5"/>
  <c r="I2677" s="1"/>
  <c r="F534" i="7" s="1"/>
  <c r="F2677" i="5"/>
  <c r="G2677" s="1"/>
  <c r="E534" i="7" s="1"/>
  <c r="D2677" i="5"/>
  <c r="E2677" s="1"/>
  <c r="D534" i="7" s="1"/>
  <c r="L2676" i="5"/>
  <c r="M2676" s="1"/>
  <c r="H533" i="7" s="1"/>
  <c r="J2676" i="5"/>
  <c r="K2676" s="1"/>
  <c r="G533" i="7" s="1"/>
  <c r="H2676" i="5"/>
  <c r="I2676" s="1"/>
  <c r="F533" i="7" s="1"/>
  <c r="F2676" i="5"/>
  <c r="G2676" s="1"/>
  <c r="E533" i="7" s="1"/>
  <c r="D2676" i="5"/>
  <c r="E2676" s="1"/>
  <c r="D533" i="7" s="1"/>
  <c r="L2675" i="5"/>
  <c r="M2675" s="1"/>
  <c r="H532" i="7" s="1"/>
  <c r="J2675" i="5"/>
  <c r="K2675" s="1"/>
  <c r="G532" i="7" s="1"/>
  <c r="H2675" i="5"/>
  <c r="I2675" s="1"/>
  <c r="F532" i="7" s="1"/>
  <c r="F2675" i="5"/>
  <c r="G2675" s="1"/>
  <c r="E532" i="7" s="1"/>
  <c r="D2675" i="5"/>
  <c r="E2675" s="1"/>
  <c r="L2674"/>
  <c r="M2674" s="1"/>
  <c r="H531" i="7" s="1"/>
  <c r="J2674" i="5"/>
  <c r="K2674" s="1"/>
  <c r="G531" i="7" s="1"/>
  <c r="H2674" i="5"/>
  <c r="I2674" s="1"/>
  <c r="F531" i="7" s="1"/>
  <c r="F2674" i="5"/>
  <c r="G2674" s="1"/>
  <c r="E531" i="7" s="1"/>
  <c r="D2674" i="5"/>
  <c r="E2674" s="1"/>
  <c r="D531" i="7" s="1"/>
  <c r="L2673" i="5"/>
  <c r="M2673" s="1"/>
  <c r="H530" i="7" s="1"/>
  <c r="J2673" i="5"/>
  <c r="K2673" s="1"/>
  <c r="G530" i="7" s="1"/>
  <c r="H2673" i="5"/>
  <c r="I2673" s="1"/>
  <c r="F530" i="7" s="1"/>
  <c r="F2673" i="5"/>
  <c r="G2673" s="1"/>
  <c r="E530" i="7" s="1"/>
  <c r="D2673" i="5"/>
  <c r="E2673" s="1"/>
  <c r="D530" i="7" s="1"/>
  <c r="L2672" i="5"/>
  <c r="M2672" s="1"/>
  <c r="H529" i="7" s="1"/>
  <c r="J2672" i="5"/>
  <c r="K2672" s="1"/>
  <c r="G529" i="7" s="1"/>
  <c r="H2672" i="5"/>
  <c r="I2672" s="1"/>
  <c r="F529" i="7" s="1"/>
  <c r="F2672" i="5"/>
  <c r="G2672" s="1"/>
  <c r="E529" i="7" s="1"/>
  <c r="D2672" i="5"/>
  <c r="E2672" s="1"/>
  <c r="D529" i="7" s="1"/>
  <c r="L2671" i="5"/>
  <c r="M2671" s="1"/>
  <c r="H528" i="7" s="1"/>
  <c r="J2671" i="5"/>
  <c r="K2671" s="1"/>
  <c r="G528" i="7" s="1"/>
  <c r="H2671" i="5"/>
  <c r="I2671" s="1"/>
  <c r="F528" i="7" s="1"/>
  <c r="F2671" i="5"/>
  <c r="G2671" s="1"/>
  <c r="E528" i="7" s="1"/>
  <c r="D2671" i="5"/>
  <c r="E2671" s="1"/>
  <c r="D528" i="7" s="1"/>
  <c r="L2670" i="5"/>
  <c r="M2670" s="1"/>
  <c r="H527" i="7" s="1"/>
  <c r="J2670" i="5"/>
  <c r="K2670" s="1"/>
  <c r="G527" i="7" s="1"/>
  <c r="H2670" i="5"/>
  <c r="I2670" s="1"/>
  <c r="F527" i="7" s="1"/>
  <c r="F2670" i="5"/>
  <c r="G2670" s="1"/>
  <c r="E527" i="7" s="1"/>
  <c r="D2670" i="5"/>
  <c r="E2670" s="1"/>
  <c r="D527" i="7" s="1"/>
  <c r="L2669" i="5"/>
  <c r="M2669" s="1"/>
  <c r="H526" i="7" s="1"/>
  <c r="J2669" i="5"/>
  <c r="K2669" s="1"/>
  <c r="G526" i="7" s="1"/>
  <c r="H2669" i="5"/>
  <c r="I2669" s="1"/>
  <c r="F526" i="7" s="1"/>
  <c r="F2669" i="5"/>
  <c r="G2669" s="1"/>
  <c r="E526" i="7" s="1"/>
  <c r="D2669" i="5"/>
  <c r="E2669" s="1"/>
  <c r="D526" i="7" s="1"/>
  <c r="L2668" i="5"/>
  <c r="M2668" s="1"/>
  <c r="H525" i="7" s="1"/>
  <c r="J2668" i="5"/>
  <c r="K2668" s="1"/>
  <c r="G525" i="7" s="1"/>
  <c r="H2668" i="5"/>
  <c r="I2668" s="1"/>
  <c r="F525" i="7" s="1"/>
  <c r="F2668" i="5"/>
  <c r="G2668" s="1"/>
  <c r="E525" i="7" s="1"/>
  <c r="D2668" i="5"/>
  <c r="E2668" s="1"/>
  <c r="D525" i="7" s="1"/>
  <c r="L2666" i="5"/>
  <c r="M2666" s="1"/>
  <c r="H523" i="7" s="1"/>
  <c r="J2666" i="5"/>
  <c r="K2666" s="1"/>
  <c r="G523" i="7" s="1"/>
  <c r="H2666" i="5"/>
  <c r="I2666" s="1"/>
  <c r="F523" i="7" s="1"/>
  <c r="F2666" i="5"/>
  <c r="G2666" s="1"/>
  <c r="E523" i="7" s="1"/>
  <c r="D2666" i="5"/>
  <c r="E2666" s="1"/>
  <c r="D523" i="7" s="1"/>
  <c r="L2608" i="5"/>
  <c r="M2608" s="1"/>
  <c r="H517" i="7" s="1"/>
  <c r="J2608" i="5"/>
  <c r="K2608" s="1"/>
  <c r="G517" i="7" s="1"/>
  <c r="H2608" i="5"/>
  <c r="I2608" s="1"/>
  <c r="F517" i="7" s="1"/>
  <c r="F2608" i="5"/>
  <c r="G2608" s="1"/>
  <c r="E517" i="7" s="1"/>
  <c r="D2608" i="5"/>
  <c r="E2608" s="1"/>
  <c r="D517" i="7" s="1"/>
  <c r="L2607" i="5"/>
  <c r="M2607" s="1"/>
  <c r="H516" i="7" s="1"/>
  <c r="J2607" i="5"/>
  <c r="K2607" s="1"/>
  <c r="G516" i="7" s="1"/>
  <c r="H2607" i="5"/>
  <c r="I2607" s="1"/>
  <c r="F516" i="7" s="1"/>
  <c r="F2607" i="5"/>
  <c r="G2607" s="1"/>
  <c r="E516" i="7" s="1"/>
  <c r="D2607" i="5"/>
  <c r="E2607" s="1"/>
  <c r="D516" i="7" s="1"/>
  <c r="L581" i="5"/>
  <c r="M581" s="1"/>
  <c r="H124" i="7" s="1"/>
  <c r="J581" i="5"/>
  <c r="K581" s="1"/>
  <c r="G124" i="7" s="1"/>
  <c r="H581" i="5"/>
  <c r="I581" s="1"/>
  <c r="F124" i="7" s="1"/>
  <c r="F581" i="5"/>
  <c r="G581" s="1"/>
  <c r="E124" i="7" s="1"/>
  <c r="D581" i="5"/>
  <c r="E581" s="1"/>
  <c r="D124" i="7" s="1"/>
  <c r="L580" i="5"/>
  <c r="M580" s="1"/>
  <c r="H123" i="7" s="1"/>
  <c r="J580" i="5"/>
  <c r="K580" s="1"/>
  <c r="G123" i="7" s="1"/>
  <c r="H580" i="5"/>
  <c r="I580" s="1"/>
  <c r="F123" i="7" s="1"/>
  <c r="F580" i="5"/>
  <c r="G580" s="1"/>
  <c r="E123" i="7" s="1"/>
  <c r="D580" i="5"/>
  <c r="E580" s="1"/>
  <c r="D123" i="7" s="1"/>
  <c r="L579" i="5"/>
  <c r="M579" s="1"/>
  <c r="H122" i="7" s="1"/>
  <c r="J579" i="5"/>
  <c r="K579" s="1"/>
  <c r="G122" i="7" s="1"/>
  <c r="H579" i="5"/>
  <c r="I579" s="1"/>
  <c r="F122" i="7" s="1"/>
  <c r="F579" i="5"/>
  <c r="G579" s="1"/>
  <c r="E122" i="7" s="1"/>
  <c r="D579" i="5"/>
  <c r="E579" s="1"/>
  <c r="D122" i="7" s="1"/>
  <c r="L654" i="5"/>
  <c r="M654" s="1"/>
  <c r="H137" i="7" s="1"/>
  <c r="J654" i="5"/>
  <c r="K654" s="1"/>
  <c r="G137" i="7" s="1"/>
  <c r="H654" i="5"/>
  <c r="I654" s="1"/>
  <c r="F137" i="7" s="1"/>
  <c r="F654" i="5"/>
  <c r="G654" s="1"/>
  <c r="E137" i="7" s="1"/>
  <c r="D654" i="5"/>
  <c r="E654" s="1"/>
  <c r="D137" i="7" s="1"/>
  <c r="L653" i="5"/>
  <c r="M653" s="1"/>
  <c r="H136" i="7" s="1"/>
  <c r="J653" i="5"/>
  <c r="K653" s="1"/>
  <c r="G136" i="7" s="1"/>
  <c r="H653" i="5"/>
  <c r="I653" s="1"/>
  <c r="F136" i="7" s="1"/>
  <c r="F653" i="5"/>
  <c r="G653" s="1"/>
  <c r="E136" i="7" s="1"/>
  <c r="D653" i="5"/>
  <c r="E653" s="1"/>
  <c r="D136" i="7" s="1"/>
  <c r="L652" i="5"/>
  <c r="M652" s="1"/>
  <c r="H135" i="7" s="1"/>
  <c r="J652" i="5"/>
  <c r="K652" s="1"/>
  <c r="G135" i="7" s="1"/>
  <c r="H652" i="5"/>
  <c r="I652" s="1"/>
  <c r="F135" i="7" s="1"/>
  <c r="F652" i="5"/>
  <c r="G652" s="1"/>
  <c r="E135" i="7" s="1"/>
  <c r="D652" i="5"/>
  <c r="E652" s="1"/>
  <c r="D135" i="7" s="1"/>
  <c r="L727" i="5"/>
  <c r="M727" s="1"/>
  <c r="H150" i="7" s="1"/>
  <c r="J727" i="5"/>
  <c r="K727" s="1"/>
  <c r="G150" i="7" s="1"/>
  <c r="H727" i="5"/>
  <c r="I727" s="1"/>
  <c r="F150" i="7" s="1"/>
  <c r="F727" i="5"/>
  <c r="G727" s="1"/>
  <c r="E150" i="7" s="1"/>
  <c r="D727" i="5"/>
  <c r="E727" s="1"/>
  <c r="D150" i="7" s="1"/>
  <c r="L726" i="5"/>
  <c r="M726" s="1"/>
  <c r="H149" i="7" s="1"/>
  <c r="J726" i="5"/>
  <c r="K726" s="1"/>
  <c r="G149" i="7" s="1"/>
  <c r="H726" i="5"/>
  <c r="I726" s="1"/>
  <c r="F149" i="7" s="1"/>
  <c r="F726" i="5"/>
  <c r="G726" s="1"/>
  <c r="E149" i="7" s="1"/>
  <c r="D726" i="5"/>
  <c r="E726" s="1"/>
  <c r="D149" i="7" s="1"/>
  <c r="L799" i="5"/>
  <c r="M799" s="1"/>
  <c r="H163" i="7" s="1"/>
  <c r="J799" i="5"/>
  <c r="K799" s="1"/>
  <c r="G163" i="7" s="1"/>
  <c r="H799" i="5"/>
  <c r="I799" s="1"/>
  <c r="F163" i="7" s="1"/>
  <c r="F799" i="5"/>
  <c r="G799" s="1"/>
  <c r="E163" i="7" s="1"/>
  <c r="D799" i="5"/>
  <c r="E799" s="1"/>
  <c r="D163" i="7" s="1"/>
  <c r="L798" i="5"/>
  <c r="M798" s="1"/>
  <c r="H162" i="7" s="1"/>
  <c r="J798" i="5"/>
  <c r="K798" s="1"/>
  <c r="G162" i="7" s="1"/>
  <c r="H798" i="5"/>
  <c r="I798" s="1"/>
  <c r="F162" i="7" s="1"/>
  <c r="F798" i="5"/>
  <c r="G798" s="1"/>
  <c r="E162" i="7" s="1"/>
  <c r="D798" i="5"/>
  <c r="E798" s="1"/>
  <c r="D162" i="7" s="1"/>
  <c r="L872" i="5"/>
  <c r="M872" s="1"/>
  <c r="H177" i="7" s="1"/>
  <c r="J872" i="5"/>
  <c r="K872" s="1"/>
  <c r="G177" i="7" s="1"/>
  <c r="H872" i="5"/>
  <c r="I872" s="1"/>
  <c r="F177" i="7" s="1"/>
  <c r="F872" i="5"/>
  <c r="G872" s="1"/>
  <c r="E177" i="7" s="1"/>
  <c r="D872" i="5"/>
  <c r="E872" s="1"/>
  <c r="D177" i="7" s="1"/>
  <c r="L871" i="5"/>
  <c r="M871" s="1"/>
  <c r="H176" i="7" s="1"/>
  <c r="J871" i="5"/>
  <c r="K871" s="1"/>
  <c r="G176" i="7" s="1"/>
  <c r="H871" i="5"/>
  <c r="I871" s="1"/>
  <c r="F176" i="7" s="1"/>
  <c r="F871" i="5"/>
  <c r="G871" s="1"/>
  <c r="E176" i="7" s="1"/>
  <c r="D871" i="5"/>
  <c r="E871" s="1"/>
  <c r="D176" i="7" s="1"/>
  <c r="L945" i="5"/>
  <c r="M945" s="1"/>
  <c r="H191" i="7" s="1"/>
  <c r="J945" i="5"/>
  <c r="K945" s="1"/>
  <c r="G191" i="7" s="1"/>
  <c r="H945" i="5"/>
  <c r="I945" s="1"/>
  <c r="F191" i="7" s="1"/>
  <c r="F945" i="5"/>
  <c r="G945" s="1"/>
  <c r="E191" i="7" s="1"/>
  <c r="D945" i="5"/>
  <c r="E945" s="1"/>
  <c r="D191" i="7" s="1"/>
  <c r="L944" i="5"/>
  <c r="M944" s="1"/>
  <c r="H190" i="7" s="1"/>
  <c r="J944" i="5"/>
  <c r="K944" s="1"/>
  <c r="G190" i="7" s="1"/>
  <c r="H944" i="5"/>
  <c r="I944" s="1"/>
  <c r="F190" i="7" s="1"/>
  <c r="F944" i="5"/>
  <c r="G944" s="1"/>
  <c r="E190" i="7" s="1"/>
  <c r="D944" i="5"/>
  <c r="E944" s="1"/>
  <c r="D190" i="7" s="1"/>
  <c r="L1022" i="5"/>
  <c r="M1022" s="1"/>
  <c r="H209" i="7" s="1"/>
  <c r="J1022" i="5"/>
  <c r="K1022" s="1"/>
  <c r="G209" i="7" s="1"/>
  <c r="H1022" i="5"/>
  <c r="I1022" s="1"/>
  <c r="F209" i="7" s="1"/>
  <c r="F1022" i="5"/>
  <c r="G1022" s="1"/>
  <c r="E209" i="7" s="1"/>
  <c r="D1022" i="5"/>
  <c r="E1022" s="1"/>
  <c r="D209" i="7" s="1"/>
  <c r="L1021" i="5"/>
  <c r="M1021" s="1"/>
  <c r="H208" i="7" s="1"/>
  <c r="J1021" i="5"/>
  <c r="K1021" s="1"/>
  <c r="G208" i="7" s="1"/>
  <c r="H1021" i="5"/>
  <c r="I1021" s="1"/>
  <c r="F208" i="7" s="1"/>
  <c r="F1021" i="5"/>
  <c r="G1021" s="1"/>
  <c r="E208" i="7" s="1"/>
  <c r="D1021" i="5"/>
  <c r="E1021" s="1"/>
  <c r="D208" i="7" s="1"/>
  <c r="L1020" i="5"/>
  <c r="M1020" s="1"/>
  <c r="H207" i="7" s="1"/>
  <c r="J1020" i="5"/>
  <c r="K1020" s="1"/>
  <c r="G207" i="7" s="1"/>
  <c r="H1020" i="5"/>
  <c r="I1020" s="1"/>
  <c r="F207" i="7" s="1"/>
  <c r="F1020" i="5"/>
  <c r="G1020" s="1"/>
  <c r="E207" i="7" s="1"/>
  <c r="D1020" i="5"/>
  <c r="E1020" s="1"/>
  <c r="D207" i="7" s="1"/>
  <c r="L1019" i="5"/>
  <c r="M1019" s="1"/>
  <c r="H206" i="7" s="1"/>
  <c r="J1019" i="5"/>
  <c r="K1019" s="1"/>
  <c r="G206" i="7" s="1"/>
  <c r="H1019" i="5"/>
  <c r="I1019" s="1"/>
  <c r="F206" i="7" s="1"/>
  <c r="F1019" i="5"/>
  <c r="G1019" s="1"/>
  <c r="E206" i="7" s="1"/>
  <c r="D1019" i="5"/>
  <c r="E1019" s="1"/>
  <c r="D206" i="7" s="1"/>
  <c r="L1018" i="5"/>
  <c r="M1018" s="1"/>
  <c r="H205" i="7" s="1"/>
  <c r="J1018" i="5"/>
  <c r="K1018" s="1"/>
  <c r="G205" i="7" s="1"/>
  <c r="H1018" i="5"/>
  <c r="I1018" s="1"/>
  <c r="F205" i="7" s="1"/>
  <c r="F1018" i="5"/>
  <c r="G1018" s="1"/>
  <c r="E205" i="7" s="1"/>
  <c r="D1018" i="5"/>
  <c r="E1018" s="1"/>
  <c r="D205" i="7" s="1"/>
  <c r="L1017" i="5"/>
  <c r="M1017" s="1"/>
  <c r="H204" i="7" s="1"/>
  <c r="J1017" i="5"/>
  <c r="K1017" s="1"/>
  <c r="G204" i="7" s="1"/>
  <c r="H1017" i="5"/>
  <c r="I1017" s="1"/>
  <c r="F204" i="7" s="1"/>
  <c r="F1017" i="5"/>
  <c r="G1017" s="1"/>
  <c r="E204" i="7" s="1"/>
  <c r="D1017" i="5"/>
  <c r="E1017" s="1"/>
  <c r="D204" i="7" s="1"/>
  <c r="L1100" i="5"/>
  <c r="M1100" s="1"/>
  <c r="H224" i="7" s="1"/>
  <c r="J1100" i="5"/>
  <c r="K1100" s="1"/>
  <c r="G224" i="7" s="1"/>
  <c r="H1100" i="5"/>
  <c r="I1100" s="1"/>
  <c r="F224" i="7" s="1"/>
  <c r="F1100" i="5"/>
  <c r="G1100" s="1"/>
  <c r="E224" i="7" s="1"/>
  <c r="D1100" i="5"/>
  <c r="E1100" s="1"/>
  <c r="D224" i="7" s="1"/>
  <c r="L1099" i="5"/>
  <c r="M1099" s="1"/>
  <c r="H223" i="7" s="1"/>
  <c r="J1099" i="5"/>
  <c r="K1099" s="1"/>
  <c r="G223" i="7" s="1"/>
  <c r="H1099" i="5"/>
  <c r="I1099" s="1"/>
  <c r="F223" i="7" s="1"/>
  <c r="F1099" i="5"/>
  <c r="G1099" s="1"/>
  <c r="E223" i="7" s="1"/>
  <c r="D1099" i="5"/>
  <c r="E1099" s="1"/>
  <c r="D223" i="7" s="1"/>
  <c r="L1098" i="5"/>
  <c r="M1098" s="1"/>
  <c r="H222" i="7" s="1"/>
  <c r="J1098" i="5"/>
  <c r="K1098" s="1"/>
  <c r="G222" i="7" s="1"/>
  <c r="H1098" i="5"/>
  <c r="I1098" s="1"/>
  <c r="F222" i="7" s="1"/>
  <c r="F1098" i="5"/>
  <c r="G1098" s="1"/>
  <c r="E222" i="7" s="1"/>
  <c r="D1098" i="5"/>
  <c r="E1098" s="1"/>
  <c r="D222" i="7" s="1"/>
  <c r="L1097" i="5"/>
  <c r="M1097" s="1"/>
  <c r="H221" i="7" s="1"/>
  <c r="J1097" i="5"/>
  <c r="K1097" s="1"/>
  <c r="G221" i="7" s="1"/>
  <c r="H1097" i="5"/>
  <c r="I1097" s="1"/>
  <c r="F221" i="7" s="1"/>
  <c r="F1097" i="5"/>
  <c r="G1097" s="1"/>
  <c r="E221" i="7" s="1"/>
  <c r="D1097" i="5"/>
  <c r="E1097" s="1"/>
  <c r="D221" i="7" s="1"/>
  <c r="L1096" i="5"/>
  <c r="M1096" s="1"/>
  <c r="H220" i="7" s="1"/>
  <c r="J1096" i="5"/>
  <c r="K1096" s="1"/>
  <c r="G220" i="7" s="1"/>
  <c r="H1096" i="5"/>
  <c r="I1096" s="1"/>
  <c r="F220" i="7" s="1"/>
  <c r="F1096" i="5"/>
  <c r="G1096" s="1"/>
  <c r="E220" i="7" s="1"/>
  <c r="D1096" i="5"/>
  <c r="E1096" s="1"/>
  <c r="D220" i="7" s="1"/>
  <c r="L1095" i="5"/>
  <c r="M1095" s="1"/>
  <c r="H219" i="7" s="1"/>
  <c r="J1095" i="5"/>
  <c r="K1095" s="1"/>
  <c r="G219" i="7" s="1"/>
  <c r="H1095" i="5"/>
  <c r="I1095" s="1"/>
  <c r="F219" i="7" s="1"/>
  <c r="F1095" i="5"/>
  <c r="G1095" s="1"/>
  <c r="E219" i="7" s="1"/>
  <c r="D1095" i="5"/>
  <c r="E1095" s="1"/>
  <c r="D219" i="7" s="1"/>
  <c r="L1174" i="5"/>
  <c r="M1174" s="1"/>
  <c r="H235" i="7" s="1"/>
  <c r="J1174" i="5"/>
  <c r="K1174" s="1"/>
  <c r="G235" i="7" s="1"/>
  <c r="H1174" i="5"/>
  <c r="I1174" s="1"/>
  <c r="F235" i="7" s="1"/>
  <c r="F1174" i="5"/>
  <c r="G1174" s="1"/>
  <c r="E235" i="7" s="1"/>
  <c r="D1174" i="5"/>
  <c r="E1174" s="1"/>
  <c r="D235" i="7" s="1"/>
  <c r="L1173" i="5"/>
  <c r="M1173" s="1"/>
  <c r="H234" i="7" s="1"/>
  <c r="J1173" i="5"/>
  <c r="K1173" s="1"/>
  <c r="G234" i="7" s="1"/>
  <c r="H1173" i="5"/>
  <c r="I1173" s="1"/>
  <c r="F234" i="7" s="1"/>
  <c r="F1173" i="5"/>
  <c r="G1173" s="1"/>
  <c r="E234" i="7" s="1"/>
  <c r="D1173" i="5"/>
  <c r="E1173" s="1"/>
  <c r="D234" i="7" s="1"/>
  <c r="L1250" i="5"/>
  <c r="M1250" s="1"/>
  <c r="H252" i="7" s="1"/>
  <c r="J1250" i="5"/>
  <c r="K1250" s="1"/>
  <c r="G252" i="7" s="1"/>
  <c r="H1250" i="5"/>
  <c r="I1250" s="1"/>
  <c r="F252" i="7" s="1"/>
  <c r="F1250" i="5"/>
  <c r="G1250" s="1"/>
  <c r="E252" i="7" s="1"/>
  <c r="D1250" i="5"/>
  <c r="E1250" s="1"/>
  <c r="D252" i="7" s="1"/>
  <c r="L1249" i="5"/>
  <c r="M1249" s="1"/>
  <c r="H251" i="7" s="1"/>
  <c r="J1249" i="5"/>
  <c r="K1249" s="1"/>
  <c r="G251" i="7" s="1"/>
  <c r="H1249" i="5"/>
  <c r="I1249" s="1"/>
  <c r="F251" i="7" s="1"/>
  <c r="F1249" i="5"/>
  <c r="G1249" s="1"/>
  <c r="E251" i="7" s="1"/>
  <c r="D1249" i="5"/>
  <c r="E1249" s="1"/>
  <c r="D251" i="7" s="1"/>
  <c r="L1248" i="5"/>
  <c r="M1248" s="1"/>
  <c r="H250" i="7" s="1"/>
  <c r="J1248" i="5"/>
  <c r="K1248" s="1"/>
  <c r="G250" i="7" s="1"/>
  <c r="H1248" i="5"/>
  <c r="I1248" s="1"/>
  <c r="F250" i="7" s="1"/>
  <c r="F1248" i="5"/>
  <c r="G1248" s="1"/>
  <c r="E250" i="7" s="1"/>
  <c r="D1248" i="5"/>
  <c r="E1248" s="1"/>
  <c r="D250" i="7" s="1"/>
  <c r="L1247" i="5"/>
  <c r="M1247" s="1"/>
  <c r="H249" i="7" s="1"/>
  <c r="J1247" i="5"/>
  <c r="K1247" s="1"/>
  <c r="G249" i="7" s="1"/>
  <c r="H1247" i="5"/>
  <c r="I1247" s="1"/>
  <c r="F249" i="7" s="1"/>
  <c r="F1247" i="5"/>
  <c r="G1247" s="1"/>
  <c r="E249" i="7" s="1"/>
  <c r="D1247" i="5"/>
  <c r="E1247" s="1"/>
  <c r="D249" i="7" s="1"/>
  <c r="L1246" i="5"/>
  <c r="M1246" s="1"/>
  <c r="H248" i="7" s="1"/>
  <c r="J1246" i="5"/>
  <c r="K1246" s="1"/>
  <c r="G248" i="7" s="1"/>
  <c r="H1246" i="5"/>
  <c r="I1246" s="1"/>
  <c r="F248" i="7" s="1"/>
  <c r="F1246" i="5"/>
  <c r="G1246" s="1"/>
  <c r="E248" i="7" s="1"/>
  <c r="D1246" i="5"/>
  <c r="E1246" s="1"/>
  <c r="D248" i="7" s="1"/>
  <c r="L1324" i="5"/>
  <c r="M1324" s="1"/>
  <c r="H264" i="7" s="1"/>
  <c r="J1324" i="5"/>
  <c r="K1324" s="1"/>
  <c r="G264" i="7" s="1"/>
  <c r="H1324" i="5"/>
  <c r="I1324" s="1"/>
  <c r="F264" i="7" s="1"/>
  <c r="F1324" i="5"/>
  <c r="G1324" s="1"/>
  <c r="E264" i="7" s="1"/>
  <c r="D1324" i="5"/>
  <c r="E1324" s="1"/>
  <c r="D264" i="7" s="1"/>
  <c r="L1323" i="5"/>
  <c r="M1323" s="1"/>
  <c r="H263" i="7" s="1"/>
  <c r="J1323" i="5"/>
  <c r="K1323" s="1"/>
  <c r="G263" i="7" s="1"/>
  <c r="H1323" i="5"/>
  <c r="I1323" s="1"/>
  <c r="F263" i="7" s="1"/>
  <c r="F1323" i="5"/>
  <c r="G1323" s="1"/>
  <c r="E263" i="7" s="1"/>
  <c r="D1323" i="5"/>
  <c r="E1323" s="1"/>
  <c r="D263" i="7" s="1"/>
  <c r="L1396" i="5"/>
  <c r="M1396" s="1"/>
  <c r="H277" i="7" s="1"/>
  <c r="J1396" i="5"/>
  <c r="K1396" s="1"/>
  <c r="G277" i="7" s="1"/>
  <c r="H1396" i="5"/>
  <c r="I1396" s="1"/>
  <c r="F277" i="7" s="1"/>
  <c r="F1396" i="5"/>
  <c r="G1396" s="1"/>
  <c r="E277" i="7" s="1"/>
  <c r="D1396" i="5"/>
  <c r="E1396" s="1"/>
  <c r="D277" i="7" s="1"/>
  <c r="L1395" i="5"/>
  <c r="M1395" s="1"/>
  <c r="H276" i="7" s="1"/>
  <c r="J1395" i="5"/>
  <c r="K1395" s="1"/>
  <c r="G276" i="7" s="1"/>
  <c r="H1395" i="5"/>
  <c r="I1395" s="1"/>
  <c r="F276" i="7" s="1"/>
  <c r="F1395" i="5"/>
  <c r="G1395" s="1"/>
  <c r="E276" i="7" s="1"/>
  <c r="D1395" i="5"/>
  <c r="E1395" s="1"/>
  <c r="D276" i="7" s="1"/>
  <c r="L1470" i="5"/>
  <c r="M1470" s="1"/>
  <c r="H292" i="7" s="1"/>
  <c r="J1470" i="5"/>
  <c r="K1470" s="1"/>
  <c r="G292" i="7" s="1"/>
  <c r="H1470" i="5"/>
  <c r="I1470" s="1"/>
  <c r="F292" i="7" s="1"/>
  <c r="F1470" i="5"/>
  <c r="G1470" s="1"/>
  <c r="E292" i="7" s="1"/>
  <c r="D1470" i="5"/>
  <c r="E1470" s="1"/>
  <c r="D292" i="7" s="1"/>
  <c r="L1469" i="5"/>
  <c r="M1469" s="1"/>
  <c r="H291" i="7" s="1"/>
  <c r="J1469" i="5"/>
  <c r="K1469" s="1"/>
  <c r="G291" i="7" s="1"/>
  <c r="H1469" i="5"/>
  <c r="I1469" s="1"/>
  <c r="F291" i="7" s="1"/>
  <c r="F1469" i="5"/>
  <c r="G1469" s="1"/>
  <c r="E291" i="7" s="1"/>
  <c r="D1469" i="5"/>
  <c r="E1469" s="1"/>
  <c r="D291" i="7" s="1"/>
  <c r="L1468" i="5"/>
  <c r="M1468" s="1"/>
  <c r="H290" i="7" s="1"/>
  <c r="J1468" i="5"/>
  <c r="K1468" s="1"/>
  <c r="G290" i="7" s="1"/>
  <c r="H1468" i="5"/>
  <c r="I1468" s="1"/>
  <c r="F290" i="7" s="1"/>
  <c r="F1468" i="5"/>
  <c r="G1468" s="1"/>
  <c r="E290" i="7" s="1"/>
  <c r="D1468" i="5"/>
  <c r="E1468" s="1"/>
  <c r="D290" i="7" s="1"/>
  <c r="L1544" i="5"/>
  <c r="M1544" s="1"/>
  <c r="H306" i="7" s="1"/>
  <c r="J1544" i="5"/>
  <c r="K1544" s="1"/>
  <c r="G306" i="7" s="1"/>
  <c r="H1544" i="5"/>
  <c r="I1544" s="1"/>
  <c r="F306" i="7" s="1"/>
  <c r="F1544" i="5"/>
  <c r="G1544" s="1"/>
  <c r="E306" i="7" s="1"/>
  <c r="D1544" i="5"/>
  <c r="E1544" s="1"/>
  <c r="D306" i="7" s="1"/>
  <c r="L1543" i="5"/>
  <c r="M1543" s="1"/>
  <c r="H305" i="7" s="1"/>
  <c r="J1543" i="5"/>
  <c r="K1543" s="1"/>
  <c r="G305" i="7" s="1"/>
  <c r="H1543" i="5"/>
  <c r="I1543" s="1"/>
  <c r="F305" i="7" s="1"/>
  <c r="F1543" i="5"/>
  <c r="G1543" s="1"/>
  <c r="E305" i="7" s="1"/>
  <c r="D1543" i="5"/>
  <c r="E1543" s="1"/>
  <c r="D305" i="7" s="1"/>
  <c r="L1542" i="5"/>
  <c r="M1542" s="1"/>
  <c r="H304" i="7" s="1"/>
  <c r="J1542" i="5"/>
  <c r="K1542" s="1"/>
  <c r="G304" i="7" s="1"/>
  <c r="H1542" i="5"/>
  <c r="I1542" s="1"/>
  <c r="F304" i="7" s="1"/>
  <c r="F1542" i="5"/>
  <c r="G1542" s="1"/>
  <c r="E304" i="7" s="1"/>
  <c r="D1542" i="5"/>
  <c r="E1542" s="1"/>
  <c r="D304" i="7" s="1"/>
  <c r="L1618" i="5"/>
  <c r="M1618" s="1"/>
  <c r="H320" i="7" s="1"/>
  <c r="J1618" i="5"/>
  <c r="K1618" s="1"/>
  <c r="G320" i="7" s="1"/>
  <c r="H1618" i="5"/>
  <c r="I1618" s="1"/>
  <c r="F320" i="7" s="1"/>
  <c r="F1618" i="5"/>
  <c r="G1618" s="1"/>
  <c r="E320" i="7" s="1"/>
  <c r="D1618" i="5"/>
  <c r="E1618" s="1"/>
  <c r="D320" i="7" s="1"/>
  <c r="L1617" i="5"/>
  <c r="M1617" s="1"/>
  <c r="H319" i="7" s="1"/>
  <c r="J1617" i="5"/>
  <c r="K1617" s="1"/>
  <c r="G319" i="7" s="1"/>
  <c r="H1617" i="5"/>
  <c r="I1617" s="1"/>
  <c r="F319" i="7" s="1"/>
  <c r="F1617" i="5"/>
  <c r="G1617" s="1"/>
  <c r="E319" i="7" s="1"/>
  <c r="D1617" i="5"/>
  <c r="E1617" s="1"/>
  <c r="D319" i="7" s="1"/>
  <c r="L1616" i="5"/>
  <c r="M1616" s="1"/>
  <c r="H318" i="7" s="1"/>
  <c r="J1616" i="5"/>
  <c r="K1616" s="1"/>
  <c r="G318" i="7" s="1"/>
  <c r="H1616" i="5"/>
  <c r="I1616" s="1"/>
  <c r="F318" i="7" s="1"/>
  <c r="F1616" i="5"/>
  <c r="G1616" s="1"/>
  <c r="E318" i="7" s="1"/>
  <c r="D1616" i="5"/>
  <c r="E1616" s="1"/>
  <c r="D318" i="7" s="1"/>
  <c r="L1693" i="5"/>
  <c r="M1693" s="1"/>
  <c r="H335" i="7" s="1"/>
  <c r="J1693" i="5"/>
  <c r="K1693" s="1"/>
  <c r="G335" i="7" s="1"/>
  <c r="H1693" i="5"/>
  <c r="I1693" s="1"/>
  <c r="F335" i="7" s="1"/>
  <c r="F1693" i="5"/>
  <c r="G1693" s="1"/>
  <c r="E335" i="7" s="1"/>
  <c r="D1693" i="5"/>
  <c r="E1693" s="1"/>
  <c r="D335" i="7" s="1"/>
  <c r="L1692" i="5"/>
  <c r="M1692" s="1"/>
  <c r="H334" i="7" s="1"/>
  <c r="J1692" i="5"/>
  <c r="K1692" s="1"/>
  <c r="G334" i="7" s="1"/>
  <c r="H1692" i="5"/>
  <c r="I1692" s="1"/>
  <c r="F334" i="7" s="1"/>
  <c r="F1692" i="5"/>
  <c r="G1692" s="1"/>
  <c r="E334" i="7" s="1"/>
  <c r="D1692" i="5"/>
  <c r="E1692" s="1"/>
  <c r="D334" i="7" s="1"/>
  <c r="L1691" i="5"/>
  <c r="M1691" s="1"/>
  <c r="H333" i="7" s="1"/>
  <c r="J1691" i="5"/>
  <c r="K1691" s="1"/>
  <c r="G333" i="7" s="1"/>
  <c r="H1691" i="5"/>
  <c r="I1691" s="1"/>
  <c r="F333" i="7" s="1"/>
  <c r="F1691" i="5"/>
  <c r="G1691" s="1"/>
  <c r="E333" i="7" s="1"/>
  <c r="D1691" i="5"/>
  <c r="E1691" s="1"/>
  <c r="D333" i="7" s="1"/>
  <c r="L1690" i="5"/>
  <c r="M1690" s="1"/>
  <c r="H332" i="7" s="1"/>
  <c r="J1690" i="5"/>
  <c r="K1690" s="1"/>
  <c r="G332" i="7" s="1"/>
  <c r="H1690" i="5"/>
  <c r="I1690" s="1"/>
  <c r="F332" i="7" s="1"/>
  <c r="F1690" i="5"/>
  <c r="G1690" s="1"/>
  <c r="E332" i="7" s="1"/>
  <c r="D1690" i="5"/>
  <c r="E1690" s="1"/>
  <c r="D332" i="7" s="1"/>
  <c r="L2062" i="5"/>
  <c r="M2062" s="1"/>
  <c r="H398" i="7" s="1"/>
  <c r="J2062" i="5"/>
  <c r="K2062" s="1"/>
  <c r="G398" i="7" s="1"/>
  <c r="H2062" i="5"/>
  <c r="I2062" s="1"/>
  <c r="F398" i="7" s="1"/>
  <c r="F2062" i="5"/>
  <c r="G2062" s="1"/>
  <c r="E398" i="7" s="1"/>
  <c r="D2062" i="5"/>
  <c r="E2062" s="1"/>
  <c r="D398" i="7" s="1"/>
  <c r="L2061" i="5"/>
  <c r="M2061" s="1"/>
  <c r="H397" i="7" s="1"/>
  <c r="J2061" i="5"/>
  <c r="K2061" s="1"/>
  <c r="G397" i="7" s="1"/>
  <c r="H2061" i="5"/>
  <c r="I2061" s="1"/>
  <c r="F397" i="7" s="1"/>
  <c r="F2061" i="5"/>
  <c r="G2061" s="1"/>
  <c r="E397" i="7" s="1"/>
  <c r="D2061" i="5"/>
  <c r="E2061" s="1"/>
  <c r="D397" i="7" s="1"/>
  <c r="L2060" i="5"/>
  <c r="M2060" s="1"/>
  <c r="H396" i="7" s="1"/>
  <c r="J2060" i="5"/>
  <c r="K2060" s="1"/>
  <c r="G396" i="7" s="1"/>
  <c r="H2060" i="5"/>
  <c r="I2060" s="1"/>
  <c r="F396" i="7" s="1"/>
  <c r="F2060" i="5"/>
  <c r="G2060" s="1"/>
  <c r="E396" i="7" s="1"/>
  <c r="D2060" i="5"/>
  <c r="E2060" s="1"/>
  <c r="D396" i="7" s="1"/>
  <c r="L2059" i="5"/>
  <c r="M2059" s="1"/>
  <c r="H395" i="7" s="1"/>
  <c r="J2059" i="5"/>
  <c r="K2059" s="1"/>
  <c r="G395" i="7" s="1"/>
  <c r="H2059" i="5"/>
  <c r="I2059" s="1"/>
  <c r="F395" i="7" s="1"/>
  <c r="F2059" i="5"/>
  <c r="G2059" s="1"/>
  <c r="E395" i="7" s="1"/>
  <c r="D2059" i="5"/>
  <c r="E2059" s="1"/>
  <c r="D395" i="7" s="1"/>
  <c r="L2058" i="5"/>
  <c r="M2058" s="1"/>
  <c r="H394" i="7" s="1"/>
  <c r="J2058" i="5"/>
  <c r="K2058" s="1"/>
  <c r="G394" i="7" s="1"/>
  <c r="H2058" i="5"/>
  <c r="I2058" s="1"/>
  <c r="F394" i="7" s="1"/>
  <c r="F2058" i="5"/>
  <c r="G2058" s="1"/>
  <c r="E394" i="7" s="1"/>
  <c r="D2058" i="5"/>
  <c r="E2058" s="1"/>
  <c r="D394" i="7" s="1"/>
  <c r="L2190" i="5"/>
  <c r="M2190" s="1"/>
  <c r="H411" i="7" s="1"/>
  <c r="J2190" i="5"/>
  <c r="K2190" s="1"/>
  <c r="G411" i="7" s="1"/>
  <c r="H2190" i="5"/>
  <c r="I2190" s="1"/>
  <c r="F411" i="7" s="1"/>
  <c r="F2190" i="5"/>
  <c r="G2190" s="1"/>
  <c r="E411" i="7" s="1"/>
  <c r="D2190" i="5"/>
  <c r="E2190" s="1"/>
  <c r="D411" i="7" s="1"/>
  <c r="H2511" i="5"/>
  <c r="I2511" s="1"/>
  <c r="H2463"/>
  <c r="I2463" s="1"/>
  <c r="F483" i="7" s="1"/>
  <c r="H2461" i="5"/>
  <c r="I2461" s="1"/>
  <c r="F481" i="7" s="1"/>
  <c r="H2460" i="5"/>
  <c r="I2460" s="1"/>
  <c r="F480" i="7" s="1"/>
  <c r="H2459" i="5"/>
  <c r="I2459" s="1"/>
  <c r="F479" i="7" s="1"/>
  <c r="H2458" i="5"/>
  <c r="I2458" s="1"/>
  <c r="F478" i="7" s="1"/>
  <c r="H2457" i="5"/>
  <c r="I2457" s="1"/>
  <c r="F477" i="7" s="1"/>
  <c r="P2513" i="5"/>
  <c r="L2513"/>
  <c r="M2513" s="1"/>
  <c r="H2513"/>
  <c r="I2513" s="1"/>
  <c r="D2513"/>
  <c r="E2513" s="1"/>
  <c r="P2512"/>
  <c r="L2512"/>
  <c r="M2512" s="1"/>
  <c r="H2512"/>
  <c r="I2512" s="1"/>
  <c r="D2512"/>
  <c r="E2512" s="1"/>
  <c r="P2511"/>
  <c r="L2511"/>
  <c r="M2511" s="1"/>
  <c r="D2511"/>
  <c r="E2511" s="1"/>
  <c r="T2466"/>
  <c r="U2466" s="1"/>
  <c r="L486" i="7" s="1"/>
  <c r="P2466" i="5"/>
  <c r="Q2466" s="1"/>
  <c r="J486" i="7" s="1"/>
  <c r="L2466" i="5"/>
  <c r="M2466" s="1"/>
  <c r="H486" i="7" s="1"/>
  <c r="D2466" i="5"/>
  <c r="E2466" s="1"/>
  <c r="D486" i="7" s="1"/>
  <c r="T2465" i="5"/>
  <c r="U2465" s="1"/>
  <c r="L485" i="7" s="1"/>
  <c r="P2465" i="5"/>
  <c r="Q2465" s="1"/>
  <c r="J485" i="7" s="1"/>
  <c r="L2465" i="5"/>
  <c r="M2465" s="1"/>
  <c r="H485" i="7" s="1"/>
  <c r="D2465" i="5"/>
  <c r="E2465" s="1"/>
  <c r="D485" i="7" s="1"/>
  <c r="T2464" i="5"/>
  <c r="U2464" s="1"/>
  <c r="L484" i="7" s="1"/>
  <c r="P2464" i="5"/>
  <c r="Q2464" s="1"/>
  <c r="J484" i="7" s="1"/>
  <c r="L2464" i="5"/>
  <c r="M2464" s="1"/>
  <c r="H484" i="7" s="1"/>
  <c r="D2464" i="5"/>
  <c r="E2464" s="1"/>
  <c r="D484" i="7" s="1"/>
  <c r="T2463" i="5"/>
  <c r="U2463" s="1"/>
  <c r="L483" i="7" s="1"/>
  <c r="P2463" i="5"/>
  <c r="Q2463" s="1"/>
  <c r="J483" i="7" s="1"/>
  <c r="L2463" i="5"/>
  <c r="M2463" s="1"/>
  <c r="H483" i="7" s="1"/>
  <c r="D2463" i="5"/>
  <c r="E2463" s="1"/>
  <c r="D483" i="7" s="1"/>
  <c r="T2462" i="5"/>
  <c r="U2462" s="1"/>
  <c r="L482" i="7" s="1"/>
  <c r="P2462" i="5"/>
  <c r="Q2462" s="1"/>
  <c r="J482" i="7" s="1"/>
  <c r="L2462" i="5"/>
  <c r="M2462" s="1"/>
  <c r="H482" i="7" s="1"/>
  <c r="H2462" i="5"/>
  <c r="I2462" s="1"/>
  <c r="F482" i="7" s="1"/>
  <c r="D2462" i="5"/>
  <c r="E2462" s="1"/>
  <c r="D482" i="7" s="1"/>
  <c r="T2461" i="5"/>
  <c r="U2461" s="1"/>
  <c r="L481" i="7" s="1"/>
  <c r="P2461" i="5"/>
  <c r="Q2461" s="1"/>
  <c r="J481" i="7" s="1"/>
  <c r="L2461" i="5"/>
  <c r="M2461" s="1"/>
  <c r="H481" i="7" s="1"/>
  <c r="D2461" i="5"/>
  <c r="E2461" s="1"/>
  <c r="D481" i="7" s="1"/>
  <c r="T2460" i="5"/>
  <c r="U2460" s="1"/>
  <c r="L480" i="7" s="1"/>
  <c r="P2460" i="5"/>
  <c r="Q2460" s="1"/>
  <c r="J480" i="7" s="1"/>
  <c r="L2460" i="5"/>
  <c r="M2460" s="1"/>
  <c r="H480" i="7" s="1"/>
  <c r="D2460" i="5"/>
  <c r="E2460" s="1"/>
  <c r="D480" i="7" s="1"/>
  <c r="T2459" i="5"/>
  <c r="U2459" s="1"/>
  <c r="L479" i="7" s="1"/>
  <c r="P2459" i="5"/>
  <c r="Q2459" s="1"/>
  <c r="J479" i="7" s="1"/>
  <c r="L2459" i="5"/>
  <c r="M2459" s="1"/>
  <c r="H479" i="7" s="1"/>
  <c r="D2459" i="5"/>
  <c r="E2459" s="1"/>
  <c r="D479" i="7" s="1"/>
  <c r="T2458" i="5"/>
  <c r="U2458" s="1"/>
  <c r="L478" i="7" s="1"/>
  <c r="P2458" i="5"/>
  <c r="Q2458" s="1"/>
  <c r="J478" i="7" s="1"/>
  <c r="L2458" i="5"/>
  <c r="M2458" s="1"/>
  <c r="H478" i="7" s="1"/>
  <c r="D2458" i="5"/>
  <c r="E2458" s="1"/>
  <c r="D478" i="7" s="1"/>
  <c r="T2457" i="5"/>
  <c r="U2457" s="1"/>
  <c r="L477" i="7" s="1"/>
  <c r="P2457" i="5"/>
  <c r="Q2457" s="1"/>
  <c r="J477" i="7" s="1"/>
  <c r="L2457" i="5"/>
  <c r="M2457" s="1"/>
  <c r="H477" i="7" s="1"/>
  <c r="D2457" i="5"/>
  <c r="E2457" s="1"/>
  <c r="D477" i="7" s="1"/>
  <c r="J2397" i="5"/>
  <c r="K2397" s="1"/>
  <c r="G469" i="7" s="1"/>
  <c r="H2397" i="5"/>
  <c r="I2397" s="1"/>
  <c r="F469" i="7" s="1"/>
  <c r="J2395" i="5"/>
  <c r="K2395" s="1"/>
  <c r="G467" i="7" s="1"/>
  <c r="H2394" i="5"/>
  <c r="I2394" s="1"/>
  <c r="F466" i="7" s="1"/>
  <c r="J2393" i="5"/>
  <c r="K2393" s="1"/>
  <c r="G465" i="7" s="1"/>
  <c r="V2398" i="5"/>
  <c r="W2398" s="1"/>
  <c r="M470" i="7" s="1"/>
  <c r="T2398" i="5"/>
  <c r="U2398" s="1"/>
  <c r="L470" i="7" s="1"/>
  <c r="R2398" i="5"/>
  <c r="S2398" s="1"/>
  <c r="K470" i="7" s="1"/>
  <c r="P2398" i="5"/>
  <c r="Q2398" s="1"/>
  <c r="J470" i="7" s="1"/>
  <c r="N2398" i="5"/>
  <c r="O2398" s="1"/>
  <c r="I470" i="7" s="1"/>
  <c r="L2398" i="5"/>
  <c r="M2398" s="1"/>
  <c r="H470" i="7" s="1"/>
  <c r="J2398" i="5"/>
  <c r="K2398" s="1"/>
  <c r="G470" i="7" s="1"/>
  <c r="H2398" i="5"/>
  <c r="I2398" s="1"/>
  <c r="F470" i="7" s="1"/>
  <c r="F2398" i="5"/>
  <c r="G2398" s="1"/>
  <c r="E470" i="7" s="1"/>
  <c r="D2398" i="5"/>
  <c r="E2398" s="1"/>
  <c r="D470" i="7" s="1"/>
  <c r="V2397" i="5"/>
  <c r="W2397" s="1"/>
  <c r="M469" i="7" s="1"/>
  <c r="T2397" i="5"/>
  <c r="U2397" s="1"/>
  <c r="L469" i="7" s="1"/>
  <c r="R2397" i="5"/>
  <c r="S2397" s="1"/>
  <c r="K469" i="7" s="1"/>
  <c r="P2397" i="5"/>
  <c r="Q2397" s="1"/>
  <c r="J469" i="7" s="1"/>
  <c r="N2397" i="5"/>
  <c r="O2397" s="1"/>
  <c r="I469" i="7" s="1"/>
  <c r="L2397" i="5"/>
  <c r="M2397" s="1"/>
  <c r="H469" i="7" s="1"/>
  <c r="F2397" i="5"/>
  <c r="G2397" s="1"/>
  <c r="E469" i="7" s="1"/>
  <c r="D2397" i="5"/>
  <c r="E2397" s="1"/>
  <c r="D469" i="7" s="1"/>
  <c r="V2396" i="5"/>
  <c r="W2396" s="1"/>
  <c r="M468" i="7" s="1"/>
  <c r="T2396" i="5"/>
  <c r="U2396" s="1"/>
  <c r="L468" i="7" s="1"/>
  <c r="R2396" i="5"/>
  <c r="S2396" s="1"/>
  <c r="K468" i="7" s="1"/>
  <c r="P2396" i="5"/>
  <c r="Q2396" s="1"/>
  <c r="J468" i="7" s="1"/>
  <c r="N2396" i="5"/>
  <c r="O2396" s="1"/>
  <c r="I468" i="7" s="1"/>
  <c r="L2396" i="5"/>
  <c r="M2396" s="1"/>
  <c r="H468" i="7" s="1"/>
  <c r="J2396" i="5"/>
  <c r="K2396" s="1"/>
  <c r="G468" i="7" s="1"/>
  <c r="H2396" i="5"/>
  <c r="I2396" s="1"/>
  <c r="F468" i="7" s="1"/>
  <c r="F2396" i="5"/>
  <c r="G2396" s="1"/>
  <c r="E468" i="7" s="1"/>
  <c r="D2396" i="5"/>
  <c r="E2396" s="1"/>
  <c r="D468" i="7" s="1"/>
  <c r="V2395" i="5"/>
  <c r="W2395" s="1"/>
  <c r="M467" i="7" s="1"/>
  <c r="T2395" i="5"/>
  <c r="U2395" s="1"/>
  <c r="L467" i="7" s="1"/>
  <c r="R2395" i="5"/>
  <c r="S2395" s="1"/>
  <c r="K467" i="7" s="1"/>
  <c r="P2395" i="5"/>
  <c r="Q2395" s="1"/>
  <c r="J467" i="7" s="1"/>
  <c r="N2395" i="5"/>
  <c r="O2395" s="1"/>
  <c r="I467" i="7" s="1"/>
  <c r="L2395" i="5"/>
  <c r="M2395" s="1"/>
  <c r="H467" i="7" s="1"/>
  <c r="H2395" i="5"/>
  <c r="I2395" s="1"/>
  <c r="F467" i="7" s="1"/>
  <c r="F2395" i="5"/>
  <c r="G2395" s="1"/>
  <c r="E467" i="7" s="1"/>
  <c r="D2395" i="5"/>
  <c r="E2395" s="1"/>
  <c r="D467" i="7" s="1"/>
  <c r="V2394" i="5"/>
  <c r="W2394" s="1"/>
  <c r="M466" i="7" s="1"/>
  <c r="T2394" i="5"/>
  <c r="U2394" s="1"/>
  <c r="L466" i="7" s="1"/>
  <c r="R2394" i="5"/>
  <c r="S2394" s="1"/>
  <c r="K466" i="7" s="1"/>
  <c r="P2394" i="5"/>
  <c r="Q2394" s="1"/>
  <c r="J466" i="7" s="1"/>
  <c r="N2394" i="5"/>
  <c r="O2394" s="1"/>
  <c r="I466" i="7" s="1"/>
  <c r="L2394" i="5"/>
  <c r="M2394" s="1"/>
  <c r="H466" i="7" s="1"/>
  <c r="J2394" i="5"/>
  <c r="K2394" s="1"/>
  <c r="G466" i="7" s="1"/>
  <c r="F2394" i="5"/>
  <c r="G2394" s="1"/>
  <c r="E466" i="7" s="1"/>
  <c r="D2394" i="5"/>
  <c r="E2394" s="1"/>
  <c r="D466" i="7" s="1"/>
  <c r="V2393" i="5"/>
  <c r="V2384" s="1"/>
  <c r="T2393"/>
  <c r="U2393" s="1"/>
  <c r="L465" i="7" s="1"/>
  <c r="R2393" i="5"/>
  <c r="S2393" s="1"/>
  <c r="K465" i="7" s="1"/>
  <c r="P2393" i="5"/>
  <c r="Q2393" s="1"/>
  <c r="J465" i="7" s="1"/>
  <c r="N2393" i="5"/>
  <c r="O2393" s="1"/>
  <c r="I465" i="7" s="1"/>
  <c r="L2393" i="5"/>
  <c r="M2393" s="1"/>
  <c r="H465" i="7" s="1"/>
  <c r="H2393" i="5"/>
  <c r="I2393" s="1"/>
  <c r="F465" i="7" s="1"/>
  <c r="F2393" i="5"/>
  <c r="G2393" s="1"/>
  <c r="E465" i="7" s="1"/>
  <c r="D2393" i="5"/>
  <c r="E2393" s="1"/>
  <c r="D465" i="7" s="1"/>
  <c r="V2392" i="5"/>
  <c r="W2392" s="1"/>
  <c r="M464" i="7" s="1"/>
  <c r="T2392" i="5"/>
  <c r="U2392" s="1"/>
  <c r="L464" i="7" s="1"/>
  <c r="R2392" i="5"/>
  <c r="S2392" s="1"/>
  <c r="K464" i="7" s="1"/>
  <c r="P2392" i="5"/>
  <c r="Q2392" s="1"/>
  <c r="J464" i="7" s="1"/>
  <c r="N2392" i="5"/>
  <c r="O2392" s="1"/>
  <c r="I464" i="7" s="1"/>
  <c r="L2392" i="5"/>
  <c r="M2392" s="1"/>
  <c r="H464" i="7" s="1"/>
  <c r="J2392" i="5"/>
  <c r="K2392" s="1"/>
  <c r="G464" i="7" s="1"/>
  <c r="F2392" i="5"/>
  <c r="G2392" s="1"/>
  <c r="E464" i="7" s="1"/>
  <c r="D2392" i="5"/>
  <c r="E2392" s="1"/>
  <c r="D464" i="7" s="1"/>
  <c r="V2391" i="5"/>
  <c r="W2391" s="1"/>
  <c r="M463" i="7" s="1"/>
  <c r="T2391" i="5"/>
  <c r="U2391" s="1"/>
  <c r="L463" i="7" s="1"/>
  <c r="R2391" i="5"/>
  <c r="S2391" s="1"/>
  <c r="K463" i="7" s="1"/>
  <c r="P2391" i="5"/>
  <c r="Q2391" s="1"/>
  <c r="J463" i="7" s="1"/>
  <c r="N2391" i="5"/>
  <c r="O2391" s="1"/>
  <c r="I463" i="7" s="1"/>
  <c r="L2391" i="5"/>
  <c r="M2391" s="1"/>
  <c r="H463" i="7" s="1"/>
  <c r="H2391" i="5"/>
  <c r="I2391" s="1"/>
  <c r="F463" i="7" s="1"/>
  <c r="F2391" i="5"/>
  <c r="G2391" s="1"/>
  <c r="E463" i="7" s="1"/>
  <c r="D2391" i="5"/>
  <c r="E2391" s="1"/>
  <c r="D463" i="7" s="1"/>
  <c r="V2390" i="5"/>
  <c r="W2390" s="1"/>
  <c r="M462" i="7" s="1"/>
  <c r="T2390" i="5"/>
  <c r="U2390" s="1"/>
  <c r="L462" i="7" s="1"/>
  <c r="R2390" i="5"/>
  <c r="S2390" s="1"/>
  <c r="K462" i="7" s="1"/>
  <c r="P2390" i="5"/>
  <c r="Q2390" s="1"/>
  <c r="J462" i="7" s="1"/>
  <c r="N2390" i="5"/>
  <c r="O2390" s="1"/>
  <c r="I462" i="7" s="1"/>
  <c r="L2390" i="5"/>
  <c r="M2390" s="1"/>
  <c r="H462" i="7" s="1"/>
  <c r="J2390" i="5"/>
  <c r="K2390" s="1"/>
  <c r="G462" i="7" s="1"/>
  <c r="H2390" i="5"/>
  <c r="I2390" s="1"/>
  <c r="F462" i="7" s="1"/>
  <c r="F2390" i="5"/>
  <c r="G2390" s="1"/>
  <c r="E462" i="7" s="1"/>
  <c r="D2390" i="5"/>
  <c r="E2390" s="1"/>
  <c r="D462" i="7" s="1"/>
  <c r="V2389" i="5"/>
  <c r="W2389" s="1"/>
  <c r="M461" i="7" s="1"/>
  <c r="T2389" i="5"/>
  <c r="U2389" s="1"/>
  <c r="L461" i="7" s="1"/>
  <c r="R2389" i="5"/>
  <c r="S2389" s="1"/>
  <c r="K461" i="7" s="1"/>
  <c r="P2389" i="5"/>
  <c r="Q2389" s="1"/>
  <c r="J461" i="7" s="1"/>
  <c r="N2389" i="5"/>
  <c r="O2389" s="1"/>
  <c r="I461" i="7" s="1"/>
  <c r="L2389" i="5"/>
  <c r="M2389" s="1"/>
  <c r="H461" i="7" s="1"/>
  <c r="F2389" i="5"/>
  <c r="G2389" s="1"/>
  <c r="E461" i="7" s="1"/>
  <c r="D2389" i="5"/>
  <c r="E2389" s="1"/>
  <c r="D461" i="7" s="1"/>
  <c r="J2330" i="5"/>
  <c r="K2330" s="1"/>
  <c r="G454" i="7" s="1"/>
  <c r="J2328" i="5"/>
  <c r="K2328" s="1"/>
  <c r="G452" i="7" s="1"/>
  <c r="H2328" i="5"/>
  <c r="I2328" s="1"/>
  <c r="F452" i="7" s="1"/>
  <c r="J2321" i="5"/>
  <c r="K2321" s="1"/>
  <c r="G445" i="7" s="1"/>
  <c r="J2317" i="5"/>
  <c r="K2317" s="1"/>
  <c r="G441" i="7" s="1"/>
  <c r="H2321" i="5"/>
  <c r="I2321" s="1"/>
  <c r="F445" i="7" s="1"/>
  <c r="H2320" i="5"/>
  <c r="I2320" s="1"/>
  <c r="F444" i="7" s="1"/>
  <c r="H2317" i="5"/>
  <c r="I2317" s="1"/>
  <c r="F441" i="7" s="1"/>
  <c r="V2330" i="5"/>
  <c r="W2330" s="1"/>
  <c r="M454" i="7" s="1"/>
  <c r="T2330" i="5"/>
  <c r="U2330" s="1"/>
  <c r="L454" i="7" s="1"/>
  <c r="R2330" i="5"/>
  <c r="S2330" s="1"/>
  <c r="K454" i="7" s="1"/>
  <c r="P2330" i="5"/>
  <c r="Q2330" s="1"/>
  <c r="J454" i="7" s="1"/>
  <c r="N2330" i="5"/>
  <c r="O2330" s="1"/>
  <c r="I454" i="7" s="1"/>
  <c r="L2330" i="5"/>
  <c r="M2330" s="1"/>
  <c r="H454" i="7" s="1"/>
  <c r="H2330" i="5"/>
  <c r="I2330" s="1"/>
  <c r="F454" i="7" s="1"/>
  <c r="F2330" i="5"/>
  <c r="G2330" s="1"/>
  <c r="E454" i="7" s="1"/>
  <c r="D2330" i="5"/>
  <c r="E2330" s="1"/>
  <c r="D454" i="7" s="1"/>
  <c r="V2329" i="5"/>
  <c r="V2331" s="1"/>
  <c r="T2329"/>
  <c r="U2329" s="1"/>
  <c r="L453" i="7" s="1"/>
  <c r="R2329" i="5"/>
  <c r="S2329" s="1"/>
  <c r="K453" i="7" s="1"/>
  <c r="P2329" i="5"/>
  <c r="Q2329" s="1"/>
  <c r="J453" i="7" s="1"/>
  <c r="N2329" i="5"/>
  <c r="O2329" s="1"/>
  <c r="I453" i="7" s="1"/>
  <c r="L2329" i="5"/>
  <c r="M2329" s="1"/>
  <c r="H453" i="7" s="1"/>
  <c r="J2329" i="5"/>
  <c r="K2329" s="1"/>
  <c r="G453" i="7" s="1"/>
  <c r="H2329" i="5"/>
  <c r="I2329" s="1"/>
  <c r="F453" i="7" s="1"/>
  <c r="F2329" i="5"/>
  <c r="G2329" s="1"/>
  <c r="E453" i="7" s="1"/>
  <c r="D2329" i="5"/>
  <c r="E2329" s="1"/>
  <c r="D453" i="7" s="1"/>
  <c r="V2328" i="5"/>
  <c r="W2328" s="1"/>
  <c r="M452" i="7" s="1"/>
  <c r="T2328" i="5"/>
  <c r="U2328" s="1"/>
  <c r="L452" i="7" s="1"/>
  <c r="R2328" i="5"/>
  <c r="S2328" s="1"/>
  <c r="K452" i="7" s="1"/>
  <c r="P2328" i="5"/>
  <c r="Q2328" s="1"/>
  <c r="J452" i="7" s="1"/>
  <c r="N2328" i="5"/>
  <c r="O2328" s="1"/>
  <c r="I452" i="7" s="1"/>
  <c r="L2328" i="5"/>
  <c r="M2328" s="1"/>
  <c r="H452" i="7" s="1"/>
  <c r="F2328" i="5"/>
  <c r="G2328" s="1"/>
  <c r="E452" i="7" s="1"/>
  <c r="D2328" i="5"/>
  <c r="E2328" s="1"/>
  <c r="D452" i="7" s="1"/>
  <c r="V2326" i="5"/>
  <c r="V2312" s="1"/>
  <c r="T2326"/>
  <c r="U2326" s="1"/>
  <c r="L450" i="7" s="1"/>
  <c r="R2326" i="5"/>
  <c r="S2326" s="1"/>
  <c r="K450" i="7" s="1"/>
  <c r="P2326" i="5"/>
  <c r="Q2326" s="1"/>
  <c r="J450" i="7" s="1"/>
  <c r="N2326" i="5"/>
  <c r="O2326" s="1"/>
  <c r="I450" i="7" s="1"/>
  <c r="L2326" i="5"/>
  <c r="M2326" s="1"/>
  <c r="H450" i="7" s="1"/>
  <c r="F2326" i="5"/>
  <c r="G2326" s="1"/>
  <c r="E450" i="7" s="1"/>
  <c r="D2326" i="5"/>
  <c r="E2326" s="1"/>
  <c r="D450" i="7" s="1"/>
  <c r="V2325" i="5"/>
  <c r="W2325" s="1"/>
  <c r="M449" i="7" s="1"/>
  <c r="T2325" i="5"/>
  <c r="U2325" s="1"/>
  <c r="L449" i="7" s="1"/>
  <c r="R2325" i="5"/>
  <c r="S2325" s="1"/>
  <c r="K449" i="7" s="1"/>
  <c r="P2325" i="5"/>
  <c r="Q2325" s="1"/>
  <c r="J449" i="7" s="1"/>
  <c r="N2325" i="5"/>
  <c r="O2325" s="1"/>
  <c r="I449" i="7" s="1"/>
  <c r="L2325" i="5"/>
  <c r="M2325" s="1"/>
  <c r="H449" i="7" s="1"/>
  <c r="F2325" i="5"/>
  <c r="G2325" s="1"/>
  <c r="E449" i="7" s="1"/>
  <c r="D2325" i="5"/>
  <c r="E2325" s="1"/>
  <c r="D449" i="7" s="1"/>
  <c r="V2324" i="5"/>
  <c r="W2324" s="1"/>
  <c r="M448" i="7" s="1"/>
  <c r="T2324" i="5"/>
  <c r="U2324" s="1"/>
  <c r="L448" i="7" s="1"/>
  <c r="R2324" i="5"/>
  <c r="S2324" s="1"/>
  <c r="K448" i="7" s="1"/>
  <c r="P2324" i="5"/>
  <c r="Q2324" s="1"/>
  <c r="J448" i="7" s="1"/>
  <c r="N2324" i="5"/>
  <c r="O2324" s="1"/>
  <c r="I448" i="7" s="1"/>
  <c r="L2324" i="5"/>
  <c r="M2324" s="1"/>
  <c r="H448" i="7" s="1"/>
  <c r="F2324" i="5"/>
  <c r="G2324" s="1"/>
  <c r="E448" i="7" s="1"/>
  <c r="D2324" i="5"/>
  <c r="E2324" s="1"/>
  <c r="D448" i="7" s="1"/>
  <c r="V2323" i="5"/>
  <c r="W2323" s="1"/>
  <c r="M447" i="7" s="1"/>
  <c r="T2323" i="5"/>
  <c r="U2323" s="1"/>
  <c r="L447" i="7" s="1"/>
  <c r="R2323" i="5"/>
  <c r="S2323" s="1"/>
  <c r="K447" i="7" s="1"/>
  <c r="P2323" i="5"/>
  <c r="Q2323" s="1"/>
  <c r="J447" i="7" s="1"/>
  <c r="N2323" i="5"/>
  <c r="O2323" s="1"/>
  <c r="I447" i="7" s="1"/>
  <c r="L2323" i="5"/>
  <c r="M2323" s="1"/>
  <c r="H447" i="7" s="1"/>
  <c r="J2323" i="5"/>
  <c r="K2323" s="1"/>
  <c r="G447" i="7" s="1"/>
  <c r="H2323" i="5"/>
  <c r="I2323" s="1"/>
  <c r="F447" i="7" s="1"/>
  <c r="F2323" i="5"/>
  <c r="G2323" s="1"/>
  <c r="E447" i="7" s="1"/>
  <c r="D2323" i="5"/>
  <c r="E2323" s="1"/>
  <c r="D447" i="7" s="1"/>
  <c r="V2322" i="5"/>
  <c r="W2322" s="1"/>
  <c r="M446" i="7" s="1"/>
  <c r="T2322" i="5"/>
  <c r="U2322" s="1"/>
  <c r="L446" i="7" s="1"/>
  <c r="R2322" i="5"/>
  <c r="S2322" s="1"/>
  <c r="K446" i="7" s="1"/>
  <c r="P2322" i="5"/>
  <c r="Q2322" s="1"/>
  <c r="J446" i="7" s="1"/>
  <c r="N2322" i="5"/>
  <c r="O2322" s="1"/>
  <c r="I446" i="7" s="1"/>
  <c r="L2322" i="5"/>
  <c r="M2322" s="1"/>
  <c r="H446" i="7" s="1"/>
  <c r="J2322" i="5"/>
  <c r="K2322" s="1"/>
  <c r="G446" i="7" s="1"/>
  <c r="H2322" i="5"/>
  <c r="I2322" s="1"/>
  <c r="F446" i="7" s="1"/>
  <c r="F2322" i="5"/>
  <c r="G2322" s="1"/>
  <c r="E446" i="7" s="1"/>
  <c r="D2322" i="5"/>
  <c r="E2322" s="1"/>
  <c r="D446" i="7" s="1"/>
  <c r="V2321" i="5"/>
  <c r="W2321" s="1"/>
  <c r="M445" i="7" s="1"/>
  <c r="T2321" i="5"/>
  <c r="U2321" s="1"/>
  <c r="L445" i="7" s="1"/>
  <c r="R2321" i="5"/>
  <c r="S2321" s="1"/>
  <c r="K445" i="7" s="1"/>
  <c r="P2321" i="5"/>
  <c r="Q2321" s="1"/>
  <c r="J445" i="7" s="1"/>
  <c r="N2321" i="5"/>
  <c r="O2321" s="1"/>
  <c r="I445" i="7" s="1"/>
  <c r="L2321" i="5"/>
  <c r="M2321" s="1"/>
  <c r="H445" i="7" s="1"/>
  <c r="F2321" i="5"/>
  <c r="G2321" s="1"/>
  <c r="E445" i="7" s="1"/>
  <c r="D2321" i="5"/>
  <c r="E2321" s="1"/>
  <c r="D445" i="7" s="1"/>
  <c r="V2320" i="5"/>
  <c r="W2320" s="1"/>
  <c r="M444" i="7" s="1"/>
  <c r="T2320" i="5"/>
  <c r="U2320" s="1"/>
  <c r="L444" i="7" s="1"/>
  <c r="R2320" i="5"/>
  <c r="S2320" s="1"/>
  <c r="K444" i="7" s="1"/>
  <c r="P2320" i="5"/>
  <c r="Q2320" s="1"/>
  <c r="J444" i="7" s="1"/>
  <c r="N2320" i="5"/>
  <c r="O2320" s="1"/>
  <c r="I444" i="7" s="1"/>
  <c r="L2320" i="5"/>
  <c r="M2320" s="1"/>
  <c r="H444" i="7" s="1"/>
  <c r="F2320" i="5"/>
  <c r="G2320" s="1"/>
  <c r="E444" i="7" s="1"/>
  <c r="D2320" i="5"/>
  <c r="E2320" s="1"/>
  <c r="D444" i="7" s="1"/>
  <c r="V2319" i="5"/>
  <c r="W2319" s="1"/>
  <c r="M443" i="7" s="1"/>
  <c r="T2319" i="5"/>
  <c r="U2319" s="1"/>
  <c r="L443" i="7" s="1"/>
  <c r="R2319" i="5"/>
  <c r="S2319" s="1"/>
  <c r="K443" i="7" s="1"/>
  <c r="P2319" i="5"/>
  <c r="Q2319" s="1"/>
  <c r="J443" i="7" s="1"/>
  <c r="N2319" i="5"/>
  <c r="O2319" s="1"/>
  <c r="I443" i="7" s="1"/>
  <c r="L2319" i="5"/>
  <c r="M2319" s="1"/>
  <c r="H443" i="7" s="1"/>
  <c r="H2319" i="5"/>
  <c r="I2319" s="1"/>
  <c r="F443" i="7" s="1"/>
  <c r="F2319" i="5"/>
  <c r="G2319" s="1"/>
  <c r="E443" i="7" s="1"/>
  <c r="D2319" i="5"/>
  <c r="E2319" s="1"/>
  <c r="D443" i="7" s="1"/>
  <c r="V2318" i="5"/>
  <c r="W2318" s="1"/>
  <c r="M442" i="7" s="1"/>
  <c r="T2318" i="5"/>
  <c r="U2318" s="1"/>
  <c r="L442" i="7" s="1"/>
  <c r="R2318" i="5"/>
  <c r="S2318" s="1"/>
  <c r="K442" i="7" s="1"/>
  <c r="P2318" i="5"/>
  <c r="Q2318" s="1"/>
  <c r="J442" i="7" s="1"/>
  <c r="N2318" i="5"/>
  <c r="O2318" s="1"/>
  <c r="I442" i="7" s="1"/>
  <c r="L2318" i="5"/>
  <c r="M2318" s="1"/>
  <c r="H442" i="7" s="1"/>
  <c r="H2318" i="5"/>
  <c r="I2318" s="1"/>
  <c r="F442" i="7" s="1"/>
  <c r="F2318" i="5"/>
  <c r="G2318" s="1"/>
  <c r="E442" i="7" s="1"/>
  <c r="D2318" i="5"/>
  <c r="E2318" s="1"/>
  <c r="D442" i="7" s="1"/>
  <c r="V2317" i="5"/>
  <c r="W2317" s="1"/>
  <c r="M441" i="7" s="1"/>
  <c r="T2317" i="5"/>
  <c r="U2317" s="1"/>
  <c r="L441" i="7" s="1"/>
  <c r="R2317" i="5"/>
  <c r="S2317" s="1"/>
  <c r="K441" i="7" s="1"/>
  <c r="P2317" i="5"/>
  <c r="Q2317" s="1"/>
  <c r="J441" i="7" s="1"/>
  <c r="N2317" i="5"/>
  <c r="O2317" s="1"/>
  <c r="I441" i="7" s="1"/>
  <c r="L2317" i="5"/>
  <c r="M2317" s="1"/>
  <c r="H441" i="7" s="1"/>
  <c r="F2317" i="5"/>
  <c r="G2317" s="1"/>
  <c r="E441" i="7" s="1"/>
  <c r="D2317" i="5"/>
  <c r="E2317" s="1"/>
  <c r="D441" i="7" s="1"/>
  <c r="J2252" i="5"/>
  <c r="K2252" s="1"/>
  <c r="G419" i="7" s="1"/>
  <c r="J2257" i="5"/>
  <c r="K2257" s="1"/>
  <c r="G424" i="7" s="1"/>
  <c r="J2256" i="5"/>
  <c r="K2256" s="1"/>
  <c r="G423" i="7" s="1"/>
  <c r="J2255" i="5"/>
  <c r="K2255" s="1"/>
  <c r="G422" i="7" s="1"/>
  <c r="J2250" i="5"/>
  <c r="K2250" s="1"/>
  <c r="G417" i="7" s="1"/>
  <c r="J2249" i="5"/>
  <c r="K2249" s="1"/>
  <c r="G416" i="7" s="1"/>
  <c r="H2257" i="5"/>
  <c r="I2257" s="1"/>
  <c r="F424" i="7" s="1"/>
  <c r="H2253" i="5"/>
  <c r="H2249"/>
  <c r="I2249" s="1"/>
  <c r="F416" i="7" s="1"/>
  <c r="L2257" i="5"/>
  <c r="M2257" s="1"/>
  <c r="H424" i="7" s="1"/>
  <c r="N2257" i="5"/>
  <c r="O2257" s="1"/>
  <c r="I424" i="7" s="1"/>
  <c r="R2257" i="5"/>
  <c r="S2257" s="1"/>
  <c r="K424" i="7" s="1"/>
  <c r="V2257" i="5"/>
  <c r="V2254" s="1"/>
  <c r="T2257"/>
  <c r="U2257" s="1"/>
  <c r="L424" i="7" s="1"/>
  <c r="P2257" i="5"/>
  <c r="Q2257" s="1"/>
  <c r="J424" i="7" s="1"/>
  <c r="V2256" i="5"/>
  <c r="W2256" s="1"/>
  <c r="M423" i="7" s="1"/>
  <c r="T2256" i="5"/>
  <c r="U2256" s="1"/>
  <c r="L423" i="7" s="1"/>
  <c r="R2256" i="5"/>
  <c r="S2256" s="1"/>
  <c r="K423" i="7" s="1"/>
  <c r="P2256" i="5"/>
  <c r="Q2256" s="1"/>
  <c r="J423" i="7" s="1"/>
  <c r="N2256" i="5"/>
  <c r="O2256" s="1"/>
  <c r="I423" i="7" s="1"/>
  <c r="L2256" i="5"/>
  <c r="M2256" s="1"/>
  <c r="H423" i="7" s="1"/>
  <c r="H2256" i="5"/>
  <c r="I2256" s="1"/>
  <c r="F423" i="7" s="1"/>
  <c r="F2256" i="5"/>
  <c r="G2256" s="1"/>
  <c r="E423" i="7" s="1"/>
  <c r="D2256" i="5"/>
  <c r="E2256" s="1"/>
  <c r="D423" i="7" s="1"/>
  <c r="V2255" i="5"/>
  <c r="W2255" s="1"/>
  <c r="M422" i="7" s="1"/>
  <c r="T2255" i="5"/>
  <c r="U2255" s="1"/>
  <c r="L422" i="7" s="1"/>
  <c r="R2255" i="5"/>
  <c r="S2255" s="1"/>
  <c r="K422" i="7" s="1"/>
  <c r="P2255" i="5"/>
  <c r="Q2255" s="1"/>
  <c r="J422" i="7" s="1"/>
  <c r="N2255" i="5"/>
  <c r="O2255" s="1"/>
  <c r="I422" i="7" s="1"/>
  <c r="L2255" i="5"/>
  <c r="M2255" s="1"/>
  <c r="H422" i="7" s="1"/>
  <c r="H2255" i="5"/>
  <c r="I2255" s="1"/>
  <c r="F422" i="7" s="1"/>
  <c r="F2255" i="5"/>
  <c r="G2255" s="1"/>
  <c r="E422" i="7" s="1"/>
  <c r="D2255" i="5"/>
  <c r="E2255" s="1"/>
  <c r="D422" i="7" s="1"/>
  <c r="V2253" i="5"/>
  <c r="W2253" s="1"/>
  <c r="M420" i="7" s="1"/>
  <c r="T2253" i="5"/>
  <c r="U2253" s="1"/>
  <c r="L420" i="7" s="1"/>
  <c r="R2253" i="5"/>
  <c r="S2253" s="1"/>
  <c r="K420" i="7" s="1"/>
  <c r="P2253" i="5"/>
  <c r="Q2253" s="1"/>
  <c r="J420" i="7" s="1"/>
  <c r="N2253" i="5"/>
  <c r="O2253" s="1"/>
  <c r="I420" i="7" s="1"/>
  <c r="L2253" i="5"/>
  <c r="M2253" s="1"/>
  <c r="H420" i="7" s="1"/>
  <c r="J2253" i="5"/>
  <c r="K2253" s="1"/>
  <c r="G420" i="7" s="1"/>
  <c r="F2253" i="5"/>
  <c r="G2253" s="1"/>
  <c r="E420" i="7" s="1"/>
  <c r="D2253" i="5"/>
  <c r="E2253" s="1"/>
  <c r="D420" i="7" s="1"/>
  <c r="V2252" i="5"/>
  <c r="W2252" s="1"/>
  <c r="M419" i="7" s="1"/>
  <c r="T2252" i="5"/>
  <c r="U2252" s="1"/>
  <c r="L419" i="7" s="1"/>
  <c r="R2252" i="5"/>
  <c r="S2252" s="1"/>
  <c r="K419" i="7" s="1"/>
  <c r="P2252" i="5"/>
  <c r="Q2252" s="1"/>
  <c r="J419" i="7" s="1"/>
  <c r="N2252" i="5"/>
  <c r="O2252" s="1"/>
  <c r="I419" i="7" s="1"/>
  <c r="L2252" i="5"/>
  <c r="M2252" s="1"/>
  <c r="H419" i="7" s="1"/>
  <c r="F2252" i="5"/>
  <c r="G2252" s="1"/>
  <c r="E419" i="7" s="1"/>
  <c r="D2252" i="5"/>
  <c r="E2252" s="1"/>
  <c r="D419" i="7" s="1"/>
  <c r="V2250" i="5"/>
  <c r="W2250" s="1"/>
  <c r="M417" i="7" s="1"/>
  <c r="T2250" i="5"/>
  <c r="U2250" s="1"/>
  <c r="L417" i="7" s="1"/>
  <c r="R2250" i="5"/>
  <c r="S2250" s="1"/>
  <c r="K417" i="7" s="1"/>
  <c r="P2250" i="5"/>
  <c r="Q2250" s="1"/>
  <c r="J417" i="7" s="1"/>
  <c r="N2250" i="5"/>
  <c r="O2250" s="1"/>
  <c r="I417" i="7" s="1"/>
  <c r="L2250" i="5"/>
  <c r="M2250" s="1"/>
  <c r="H417" i="7" s="1"/>
  <c r="H2250" i="5"/>
  <c r="I2250" s="1"/>
  <c r="F417" i="7" s="1"/>
  <c r="F2250" i="5"/>
  <c r="G2250" s="1"/>
  <c r="E417" i="7" s="1"/>
  <c r="D2250" i="5"/>
  <c r="E2250" s="1"/>
  <c r="D417" i="7" s="1"/>
  <c r="V2249" i="5"/>
  <c r="W2249" s="1"/>
  <c r="M416" i="7" s="1"/>
  <c r="T2249" i="5"/>
  <c r="U2249" s="1"/>
  <c r="L416" i="7" s="1"/>
  <c r="R2249" i="5"/>
  <c r="S2249" s="1"/>
  <c r="K416" i="7" s="1"/>
  <c r="P2249" i="5"/>
  <c r="Q2249" s="1"/>
  <c r="J416" i="7" s="1"/>
  <c r="N2249" i="5"/>
  <c r="O2249" s="1"/>
  <c r="I416" i="7" s="1"/>
  <c r="L2249" i="5"/>
  <c r="M2249" s="1"/>
  <c r="H416" i="7" s="1"/>
  <c r="F2249" i="5"/>
  <c r="G2249" s="1"/>
  <c r="E416" i="7" s="1"/>
  <c r="D2249" i="5"/>
  <c r="E2249" s="1"/>
  <c r="D416" i="7" s="1"/>
  <c r="F2125" i="5"/>
  <c r="G2125" s="1"/>
  <c r="E404" i="7" s="1"/>
  <c r="H2126" i="5"/>
  <c r="I2126" s="1"/>
  <c r="F405" i="7" s="1"/>
  <c r="F2126" i="5"/>
  <c r="G2126" s="1"/>
  <c r="E405" i="7" s="1"/>
  <c r="H2125" i="5"/>
  <c r="I2125" s="1"/>
  <c r="F404" i="7" s="1"/>
  <c r="F296" i="5"/>
  <c r="G296" s="1"/>
  <c r="E64" i="7" s="1"/>
  <c r="F293" i="5"/>
  <c r="G293" s="1"/>
  <c r="E61" i="7" s="1"/>
  <c r="F292" i="5"/>
  <c r="G292" s="1"/>
  <c r="E60" i="7" s="1"/>
  <c r="H296" i="5"/>
  <c r="I296" s="1"/>
  <c r="F64" i="7" s="1"/>
  <c r="H295" i="5"/>
  <c r="I295" s="1"/>
  <c r="F63" i="7" s="1"/>
  <c r="F295" i="5"/>
  <c r="G295" s="1"/>
  <c r="E63" i="7" s="1"/>
  <c r="H294" i="5"/>
  <c r="I294" s="1"/>
  <c r="F62" i="7" s="1"/>
  <c r="F294" i="5"/>
  <c r="G294" s="1"/>
  <c r="E62" i="7" s="1"/>
  <c r="H293" i="5"/>
  <c r="I293" s="1"/>
  <c r="F61" i="7" s="1"/>
  <c r="H292" i="5"/>
  <c r="I292" s="1"/>
  <c r="F60" i="7" s="1"/>
  <c r="F170" i="5"/>
  <c r="G170" s="1"/>
  <c r="E48" i="7" s="1"/>
  <c r="F169" i="5"/>
  <c r="G169" s="1"/>
  <c r="E47" i="7" s="1"/>
  <c r="F166" i="5"/>
  <c r="G166" s="1"/>
  <c r="E44" i="7" s="1"/>
  <c r="H167" i="5"/>
  <c r="I167" s="1"/>
  <c r="F45" i="7" s="1"/>
  <c r="F167" i="5"/>
  <c r="G167" s="1"/>
  <c r="E45" i="7" s="1"/>
  <c r="D167" i="5"/>
  <c r="E167" s="1"/>
  <c r="D45" i="7" s="1"/>
  <c r="H170" i="5"/>
  <c r="I170" s="1"/>
  <c r="F48" i="7" s="1"/>
  <c r="H169" i="5"/>
  <c r="I169" s="1"/>
  <c r="F47" i="7" s="1"/>
  <c r="H168" i="5"/>
  <c r="I168" s="1"/>
  <c r="F46" i="7" s="1"/>
  <c r="F168" i="5"/>
  <c r="G168" s="1"/>
  <c r="E46" i="7" s="1"/>
  <c r="H166" i="5"/>
  <c r="F94"/>
  <c r="G94" s="1"/>
  <c r="E30" i="7" s="1"/>
  <c r="F93" i="5"/>
  <c r="G93" s="1"/>
  <c r="E29" i="7" s="1"/>
  <c r="F19" i="5"/>
  <c r="G19" s="1"/>
  <c r="E16" i="7" s="1"/>
  <c r="F18" i="5"/>
  <c r="G18" s="1"/>
  <c r="E15" i="7" s="1"/>
  <c r="F16" i="5"/>
  <c r="G16" s="1"/>
  <c r="E13" i="7" s="1"/>
  <c r="F15" i="5"/>
  <c r="F20"/>
  <c r="G20" s="1"/>
  <c r="E17" i="7" s="1"/>
  <c r="F17" i="5"/>
  <c r="G17" s="1"/>
  <c r="E14" i="7" s="1"/>
  <c r="C54" i="6"/>
  <c r="B2795" i="5" s="1"/>
  <c r="T2745" s="1"/>
  <c r="B52" i="6"/>
  <c r="C53"/>
  <c r="C47"/>
  <c r="B474" i="7" s="1"/>
  <c r="C46" i="6"/>
  <c r="B458" i="7" s="1"/>
  <c r="B2385" i="5"/>
  <c r="C45" i="6"/>
  <c r="B2313" i="5" s="1"/>
  <c r="C43" i="6"/>
  <c r="B2245" i="5" s="1"/>
  <c r="B42" i="6"/>
  <c r="C50"/>
  <c r="B2661" i="5" s="1"/>
  <c r="C49" i="6"/>
  <c r="C40"/>
  <c r="B408" i="7" s="1"/>
  <c r="B39" i="6"/>
  <c r="C37"/>
  <c r="B2120" i="5" s="1"/>
  <c r="B400" i="7" s="1"/>
  <c r="C36" i="6"/>
  <c r="B2053" i="5" s="1"/>
  <c r="C35" i="6"/>
  <c r="B380" i="7" s="1"/>
  <c r="C34" i="6"/>
  <c r="B1910" i="5" s="1"/>
  <c r="T1985" s="1"/>
  <c r="C33" i="6"/>
  <c r="B1833" i="5" s="1"/>
  <c r="C32" i="6"/>
  <c r="B342" i="7" s="1"/>
  <c r="C31" i="6"/>
  <c r="B1685" i="5" s="1"/>
  <c r="C30" i="6"/>
  <c r="B1611" i="5" s="1"/>
  <c r="T1561" s="1"/>
  <c r="C29" i="6"/>
  <c r="B1537" i="5" s="1"/>
  <c r="C28" i="6"/>
  <c r="B1463" i="5" s="1"/>
  <c r="C27" i="6"/>
  <c r="B1390" i="5" s="1"/>
  <c r="C26" i="6"/>
  <c r="B1318" i="5" s="1"/>
  <c r="B259" i="7" s="1"/>
  <c r="C25" i="6"/>
  <c r="B1241" i="5" s="1"/>
  <c r="C24" i="6"/>
  <c r="B1168" i="5" s="1"/>
  <c r="C23" i="6"/>
  <c r="B1090" i="5" s="1"/>
  <c r="C22" i="6"/>
  <c r="B200" i="7" s="1"/>
  <c r="B1012" i="5"/>
  <c r="C21" i="6"/>
  <c r="B939" i="5" s="1"/>
  <c r="B186" i="7" s="1"/>
  <c r="C20" i="6"/>
  <c r="B866" i="5" s="1"/>
  <c r="C19" i="6"/>
  <c r="B793" i="5" s="1"/>
  <c r="T743" s="1"/>
  <c r="C18" i="6"/>
  <c r="B721" i="5" s="1"/>
  <c r="C17" i="6"/>
  <c r="B647" i="5" s="1"/>
  <c r="B131" i="7" s="1"/>
  <c r="C12" i="6"/>
  <c r="B364" i="5" s="1"/>
  <c r="C11" i="6"/>
  <c r="B56" i="7" s="1"/>
  <c r="C10" i="6"/>
  <c r="B40" i="7" s="1"/>
  <c r="C9" i="6"/>
  <c r="B25" i="7" s="1"/>
  <c r="C8" i="6"/>
  <c r="B10" i="5" s="1"/>
  <c r="B7" i="6"/>
  <c r="D4"/>
  <c r="B75" i="7"/>
  <c r="D2743" i="5"/>
  <c r="E2743" s="1"/>
  <c r="D541" i="7" s="1"/>
  <c r="D385" i="5"/>
  <c r="E385" s="1"/>
  <c r="M84" i="7" s="1"/>
  <c r="D384" i="5"/>
  <c r="D383"/>
  <c r="E383" s="1"/>
  <c r="M82" i="7" s="1"/>
  <c r="D382" i="5"/>
  <c r="E382" s="1"/>
  <c r="M81" i="7" s="1"/>
  <c r="D381" i="5"/>
  <c r="E381" s="1"/>
  <c r="M80" i="7" s="1"/>
  <c r="D380" i="5"/>
  <c r="E380" s="1"/>
  <c r="M79" i="7" s="1"/>
  <c r="D378" i="5"/>
  <c r="E378" s="1"/>
  <c r="M77" i="7" s="1"/>
  <c r="D376" i="5"/>
  <c r="E376" s="1"/>
  <c r="M75" i="7" s="1"/>
  <c r="D375" i="5"/>
  <c r="E375" s="1"/>
  <c r="M74" i="7" s="1"/>
  <c r="D374" i="5"/>
  <c r="E374" s="1"/>
  <c r="M73" i="7" s="1"/>
  <c r="D373" i="5"/>
  <c r="E373" s="1"/>
  <c r="M72" i="7" s="1"/>
  <c r="D369" i="5"/>
  <c r="D303"/>
  <c r="E303" s="1"/>
  <c r="M60" i="7" s="1"/>
  <c r="D177" i="5"/>
  <c r="E177" s="1"/>
  <c r="M44" i="7" s="1"/>
  <c r="D100" i="5"/>
  <c r="E100" s="1"/>
  <c r="M28" i="7" s="1"/>
  <c r="D27" i="5"/>
  <c r="E27" s="1"/>
  <c r="M12" i="7" s="1"/>
  <c r="B398"/>
  <c r="B397"/>
  <c r="B396"/>
  <c r="B395"/>
  <c r="B394"/>
  <c r="D2069" i="5"/>
  <c r="E2069" s="1"/>
  <c r="M394" i="7" s="1"/>
  <c r="D2068" i="5"/>
  <c r="E2068" s="1"/>
  <c r="M393" i="7" s="1"/>
  <c r="D2066" i="5"/>
  <c r="E2066" s="1"/>
  <c r="M391" i="7" s="1"/>
  <c r="B335"/>
  <c r="B334"/>
  <c r="B333"/>
  <c r="B332"/>
  <c r="D1709" i="5"/>
  <c r="D1708"/>
  <c r="E1708" s="1"/>
  <c r="M340" i="7" s="1"/>
  <c r="D1707" i="5"/>
  <c r="E1707" s="1"/>
  <c r="M339" i="7" s="1"/>
  <c r="D1706" i="5"/>
  <c r="E1706" s="1"/>
  <c r="M338" i="7" s="1"/>
  <c r="D1705" i="5"/>
  <c r="E1705" s="1"/>
  <c r="M337" i="7" s="1"/>
  <c r="D1703" i="5"/>
  <c r="E1703" s="1"/>
  <c r="M335" i="7" s="1"/>
  <c r="D1701" i="5"/>
  <c r="E1701" s="1"/>
  <c r="M333" i="7" s="1"/>
  <c r="D1700" i="5"/>
  <c r="E1700" s="1"/>
  <c r="M332" i="7" s="1"/>
  <c r="D1699" i="5"/>
  <c r="E1699" s="1"/>
  <c r="M331" i="7" s="1"/>
  <c r="D1698" i="5"/>
  <c r="E1698" s="1"/>
  <c r="M330" i="7" s="1"/>
  <c r="D1697" i="5"/>
  <c r="E1697" s="1"/>
  <c r="M329" i="7" s="1"/>
  <c r="B292"/>
  <c r="B291"/>
  <c r="B290"/>
  <c r="B277"/>
  <c r="B276"/>
  <c r="B264"/>
  <c r="B263"/>
  <c r="B304"/>
  <c r="D1486" i="5"/>
  <c r="D1485"/>
  <c r="E1485" s="1"/>
  <c r="M298" i="7" s="1"/>
  <c r="D1484" i="5"/>
  <c r="E1484" s="1"/>
  <c r="M297" i="7" s="1"/>
  <c r="D1483" i="5"/>
  <c r="E1483" s="1"/>
  <c r="M296" i="7" s="1"/>
  <c r="D1482" i="5"/>
  <c r="E1482" s="1"/>
  <c r="M295" i="7" s="1"/>
  <c r="D1480" i="5"/>
  <c r="E1480" s="1"/>
  <c r="M293" i="7" s="1"/>
  <c r="D1478" i="5"/>
  <c r="E1478" s="1"/>
  <c r="M291" i="7" s="1"/>
  <c r="D1476" i="5"/>
  <c r="E1476" s="1"/>
  <c r="M289" i="7" s="1"/>
  <c r="D1475" i="5"/>
  <c r="E1475" s="1"/>
  <c r="M288" i="7" s="1"/>
  <c r="D1474" i="5"/>
  <c r="E1474" s="1"/>
  <c r="M287" i="7" s="1"/>
  <c r="D1412" i="5"/>
  <c r="D1411"/>
  <c r="E1411" s="1"/>
  <c r="M284" i="7" s="1"/>
  <c r="D1410" i="5"/>
  <c r="E1410" s="1"/>
  <c r="M283" i="7" s="1"/>
  <c r="D1409" i="5"/>
  <c r="E1409" s="1"/>
  <c r="M282" i="7" s="1"/>
  <c r="D1408" i="5"/>
  <c r="E1408" s="1"/>
  <c r="M281" i="7" s="1"/>
  <c r="D1406" i="5"/>
  <c r="E1406" s="1"/>
  <c r="M279" i="7" s="1"/>
  <c r="D1404" i="5"/>
  <c r="E1404" s="1"/>
  <c r="M277" i="7" s="1"/>
  <c r="D1402" i="5"/>
  <c r="E1402" s="1"/>
  <c r="M275" i="7" s="1"/>
  <c r="D1401" i="5"/>
  <c r="E1401" s="1"/>
  <c r="M274" i="7" s="1"/>
  <c r="D1400" i="5"/>
  <c r="E1400" s="1"/>
  <c r="M273" i="7" s="1"/>
  <c r="D1339" i="5"/>
  <c r="D1338"/>
  <c r="E1338" s="1"/>
  <c r="M270" i="7" s="1"/>
  <c r="D1337" i="5"/>
  <c r="E1337" s="1"/>
  <c r="M269" i="7" s="1"/>
  <c r="D1336" i="5"/>
  <c r="E1336" s="1"/>
  <c r="M268" i="7" s="1"/>
  <c r="D1335" i="5"/>
  <c r="E1335" s="1"/>
  <c r="M267" i="7" s="1"/>
  <c r="D1333" i="5"/>
  <c r="E1333" s="1"/>
  <c r="M265" i="7" s="1"/>
  <c r="D1331" i="5"/>
  <c r="E1331" s="1"/>
  <c r="M263" i="7" s="1"/>
  <c r="D1330" i="5"/>
  <c r="E1330" s="1"/>
  <c r="M262" i="7" s="1"/>
  <c r="D1329" i="5"/>
  <c r="E1329" s="1"/>
  <c r="M261" i="7" s="1"/>
  <c r="D1328" i="5"/>
  <c r="E1328" s="1"/>
  <c r="M260" i="7" s="1"/>
  <c r="B235"/>
  <c r="B234"/>
  <c r="B191"/>
  <c r="B190"/>
  <c r="B177"/>
  <c r="B176"/>
  <c r="D1190" i="5"/>
  <c r="D1189"/>
  <c r="E1189" s="1"/>
  <c r="M242" i="7" s="1"/>
  <c r="D1188" i="5"/>
  <c r="E1188" s="1"/>
  <c r="M241" i="7" s="1"/>
  <c r="D1187" i="5"/>
  <c r="E1187" s="1"/>
  <c r="M240" i="7" s="1"/>
  <c r="D1186" i="5"/>
  <c r="E1186" s="1"/>
  <c r="M239" i="7" s="1"/>
  <c r="D1184" i="5"/>
  <c r="E1184" s="1"/>
  <c r="M237" i="7" s="1"/>
  <c r="D1182" i="5"/>
  <c r="E1182" s="1"/>
  <c r="M235" i="7" s="1"/>
  <c r="D1180" i="5"/>
  <c r="E1180" s="1"/>
  <c r="M233" i="7" s="1"/>
  <c r="D1179" i="5"/>
  <c r="E1179" s="1"/>
  <c r="M232" i="7" s="1"/>
  <c r="D1178" i="5"/>
  <c r="E1178" s="1"/>
  <c r="M231" i="7" s="1"/>
  <c r="D961" i="5"/>
  <c r="D960"/>
  <c r="E960" s="1"/>
  <c r="M198" i="7" s="1"/>
  <c r="D959" i="5"/>
  <c r="E959" s="1"/>
  <c r="M197" i="7" s="1"/>
  <c r="D958" i="5"/>
  <c r="E958" s="1"/>
  <c r="M196" i="7" s="1"/>
  <c r="D957" i="5"/>
  <c r="E957" s="1"/>
  <c r="M195" i="7" s="1"/>
  <c r="D955" i="5"/>
  <c r="E955" s="1"/>
  <c r="M193" i="7" s="1"/>
  <c r="D953" i="5"/>
  <c r="E953" s="1"/>
  <c r="M191" i="7" s="1"/>
  <c r="D951" i="5"/>
  <c r="E951" s="1"/>
  <c r="M189" i="7" s="1"/>
  <c r="D950" i="5"/>
  <c r="E950" s="1"/>
  <c r="M188" i="7" s="1"/>
  <c r="D949" i="5"/>
  <c r="E949" s="1"/>
  <c r="M187" i="7" s="1"/>
  <c r="D888" i="5"/>
  <c r="D887"/>
  <c r="E887" s="1"/>
  <c r="M184" i="7" s="1"/>
  <c r="D886" i="5"/>
  <c r="E886" s="1"/>
  <c r="M183" i="7" s="1"/>
  <c r="D885" i="5"/>
  <c r="E885" s="1"/>
  <c r="M182" i="7" s="1"/>
  <c r="D884" i="5"/>
  <c r="E884" s="1"/>
  <c r="M181" i="7" s="1"/>
  <c r="D882" i="5"/>
  <c r="E882" s="1"/>
  <c r="M179" i="7" s="1"/>
  <c r="D880" i="5"/>
  <c r="E880" s="1"/>
  <c r="M177" i="7" s="1"/>
  <c r="D878" i="5"/>
  <c r="E878" s="1"/>
  <c r="M175" i="7" s="1"/>
  <c r="D877" i="5"/>
  <c r="E877" s="1"/>
  <c r="M174" i="7" s="1"/>
  <c r="D876" i="5"/>
  <c r="E876" s="1"/>
  <c r="M173" i="7" s="1"/>
  <c r="J1916" i="5"/>
  <c r="K1916" s="1"/>
  <c r="G373" i="7" s="1"/>
  <c r="J1918" i="5"/>
  <c r="K1918" s="1"/>
  <c r="G375" i="7" s="1"/>
  <c r="J1919" i="5"/>
  <c r="K1919" s="1"/>
  <c r="G376" i="7" s="1"/>
  <c r="J1920" i="5"/>
  <c r="K1920" s="1"/>
  <c r="G377" i="7" s="1"/>
  <c r="J1921" i="5"/>
  <c r="K1921" s="1"/>
  <c r="G378" i="7" s="1"/>
  <c r="J1915" i="5"/>
  <c r="K1915" s="1"/>
  <c r="G372" i="7" s="1"/>
  <c r="J1840" i="5"/>
  <c r="K1840" s="1"/>
  <c r="G361" i="7" s="1"/>
  <c r="J1841" i="5"/>
  <c r="K1841" s="1"/>
  <c r="G362" i="7" s="1"/>
  <c r="J1842" i="5"/>
  <c r="K1842" s="1"/>
  <c r="G363" i="7" s="1"/>
  <c r="B163"/>
  <c r="B162"/>
  <c r="B150"/>
  <c r="B149"/>
  <c r="B137"/>
  <c r="B136"/>
  <c r="B135"/>
  <c r="B124"/>
  <c r="B123"/>
  <c r="B122"/>
  <c r="D742" i="5"/>
  <c r="D741"/>
  <c r="E741" s="1"/>
  <c r="M156" i="7" s="1"/>
  <c r="D740" i="5"/>
  <c r="E740" s="1"/>
  <c r="M155" i="7" s="1"/>
  <c r="D739" i="5"/>
  <c r="E739" s="1"/>
  <c r="M154" i="7" s="1"/>
  <c r="D738" i="5"/>
  <c r="E738" s="1"/>
  <c r="M153" i="7" s="1"/>
  <c r="D736" i="5"/>
  <c r="E736" s="1"/>
  <c r="M151" i="7" s="1"/>
  <c r="D734" i="5"/>
  <c r="E734" s="1"/>
  <c r="M149" i="7" s="1"/>
  <c r="D733" i="5"/>
  <c r="E733" s="1"/>
  <c r="M148" i="7" s="1"/>
  <c r="D732" i="5"/>
  <c r="E732" s="1"/>
  <c r="M147" i="7" s="1"/>
  <c r="D731" i="5"/>
  <c r="E731" s="1"/>
  <c r="M146" i="7" s="1"/>
  <c r="D670" i="5"/>
  <c r="D669"/>
  <c r="E669" s="1"/>
  <c r="M143" i="7" s="1"/>
  <c r="D668" i="5"/>
  <c r="E668" s="1"/>
  <c r="M142" i="7" s="1"/>
  <c r="D667" i="5"/>
  <c r="E667" s="1"/>
  <c r="M141" i="7" s="1"/>
  <c r="D666" i="5"/>
  <c r="E666" s="1"/>
  <c r="M140" i="7" s="1"/>
  <c r="D664" i="5"/>
  <c r="E664" s="1"/>
  <c r="M138" i="7" s="1"/>
  <c r="D662" i="5"/>
  <c r="E662" s="1"/>
  <c r="M136" i="7" s="1"/>
  <c r="D660" i="5"/>
  <c r="E660" s="1"/>
  <c r="M134" i="7" s="1"/>
  <c r="D659" i="5"/>
  <c r="E659" s="1"/>
  <c r="M133" i="7" s="1"/>
  <c r="D658" i="5"/>
  <c r="E658" s="1"/>
  <c r="M132" i="7" s="1"/>
  <c r="J1917" i="5"/>
  <c r="K1917" s="1"/>
  <c r="G374" i="7" s="1"/>
  <c r="J1839" i="5"/>
  <c r="K1839" s="1"/>
  <c r="G360" i="7" s="1"/>
  <c r="J1843" i="5"/>
  <c r="K1843" s="1"/>
  <c r="G364" i="7" s="1"/>
  <c r="J1844" i="5"/>
  <c r="K1844" s="1"/>
  <c r="G365" i="7" s="1"/>
  <c r="J1838" i="5"/>
  <c r="K1838" s="1"/>
  <c r="G359" i="7" s="1"/>
  <c r="D815" i="5"/>
  <c r="D814"/>
  <c r="E814" s="1"/>
  <c r="M170" i="7" s="1"/>
  <c r="D813" i="5"/>
  <c r="E813" s="1"/>
  <c r="M169" i="7" s="1"/>
  <c r="D812" i="5"/>
  <c r="E812" s="1"/>
  <c r="M168" i="7" s="1"/>
  <c r="D811" i="5"/>
  <c r="E811" s="1"/>
  <c r="M167" i="7" s="1"/>
  <c r="D809" i="5"/>
  <c r="E809" s="1"/>
  <c r="M165" i="7" s="1"/>
  <c r="D807" i="5"/>
  <c r="E807" s="1"/>
  <c r="M163" i="7" s="1"/>
  <c r="D805" i="5"/>
  <c r="E805" s="1"/>
  <c r="M161" i="7" s="1"/>
  <c r="D804" i="5"/>
  <c r="E804" s="1"/>
  <c r="M160" i="7" s="1"/>
  <c r="D803" i="5"/>
  <c r="E803" s="1"/>
  <c r="M159" i="7" s="1"/>
  <c r="D16" i="5"/>
  <c r="E16" s="1"/>
  <c r="D13" i="7" s="1"/>
  <c r="D17" i="5"/>
  <c r="E17" s="1"/>
  <c r="D14" i="7" s="1"/>
  <c r="D18" i="5"/>
  <c r="E18" s="1"/>
  <c r="D15" i="7" s="1"/>
  <c r="D19" i="5"/>
  <c r="E19" s="1"/>
  <c r="D16" i="7" s="1"/>
  <c r="D20" i="5"/>
  <c r="E20" s="1"/>
  <c r="D17" i="7" s="1"/>
  <c r="D24" i="5"/>
  <c r="E24" s="1"/>
  <c r="M9" i="7" s="1"/>
  <c r="D25" i="5"/>
  <c r="E25" s="1"/>
  <c r="M10" i="7" s="1"/>
  <c r="D26" i="5"/>
  <c r="E26" s="1"/>
  <c r="M11" i="7" s="1"/>
  <c r="D28" i="5"/>
  <c r="E28" s="1"/>
  <c r="M13" i="7" s="1"/>
  <c r="D30" i="5"/>
  <c r="E30" s="1"/>
  <c r="M15" i="7" s="1"/>
  <c r="D32" i="5"/>
  <c r="E32" s="1"/>
  <c r="M17" i="7" s="1"/>
  <c r="D33" i="5"/>
  <c r="E33" s="1"/>
  <c r="M18" i="7" s="1"/>
  <c r="D34" i="5"/>
  <c r="E34" s="1"/>
  <c r="M19" i="7" s="1"/>
  <c r="D35" i="5"/>
  <c r="E35" s="1"/>
  <c r="M20" i="7" s="1"/>
  <c r="D36" i="5"/>
  <c r="D37"/>
  <c r="E37" s="1"/>
  <c r="M22" i="7" s="1"/>
  <c r="D93" i="5"/>
  <c r="E93" s="1"/>
  <c r="D29" i="7" s="1"/>
  <c r="D94" i="5"/>
  <c r="E94" s="1"/>
  <c r="D30" i="7" s="1"/>
  <c r="D98" i="5"/>
  <c r="E98" s="1"/>
  <c r="M26" i="7" s="1"/>
  <c r="D99" i="5"/>
  <c r="E99" s="1"/>
  <c r="M27" i="7" s="1"/>
  <c r="D101" i="5"/>
  <c r="E101" s="1"/>
  <c r="M29" i="7" s="1"/>
  <c r="D103" i="5"/>
  <c r="E103" s="1"/>
  <c r="M31" i="7" s="1"/>
  <c r="D105" i="5"/>
  <c r="E105" s="1"/>
  <c r="M33" i="7" s="1"/>
  <c r="D106" i="5"/>
  <c r="E106" s="1"/>
  <c r="M34" i="7" s="1"/>
  <c r="D107" i="5"/>
  <c r="E107" s="1"/>
  <c r="M35" i="7" s="1"/>
  <c r="D108" i="5"/>
  <c r="E108" s="1"/>
  <c r="M36" i="7" s="1"/>
  <c r="D110" i="5"/>
  <c r="E110" s="1"/>
  <c r="M38" i="7" s="1"/>
  <c r="D166" i="5"/>
  <c r="E166" s="1"/>
  <c r="D44" i="7" s="1"/>
  <c r="D168" i="5"/>
  <c r="E168" s="1"/>
  <c r="D46" i="7" s="1"/>
  <c r="D169" i="5"/>
  <c r="E169" s="1"/>
  <c r="D47" i="7" s="1"/>
  <c r="D170" i="5"/>
  <c r="E170" s="1"/>
  <c r="D48" i="7" s="1"/>
  <c r="D174" i="5"/>
  <c r="E174" s="1"/>
  <c r="M41" i="7" s="1"/>
  <c r="D175" i="5"/>
  <c r="E175" s="1"/>
  <c r="M42" i="7" s="1"/>
  <c r="D176" i="5"/>
  <c r="E176" s="1"/>
  <c r="M43" i="7" s="1"/>
  <c r="D178" i="5"/>
  <c r="E178" s="1"/>
  <c r="M45" i="7" s="1"/>
  <c r="E180" i="5"/>
  <c r="M47" i="7" s="1"/>
  <c r="D182" i="5"/>
  <c r="E182" s="1"/>
  <c r="M49" i="7" s="1"/>
  <c r="D183" i="5"/>
  <c r="E183" s="1"/>
  <c r="M50" i="7" s="1"/>
  <c r="D184" i="5"/>
  <c r="E184" s="1"/>
  <c r="M51" i="7" s="1"/>
  <c r="D185" i="5"/>
  <c r="E185" s="1"/>
  <c r="M52" i="7" s="1"/>
  <c r="D186" i="5"/>
  <c r="D187"/>
  <c r="E187" s="1"/>
  <c r="M54" i="7" s="1"/>
  <c r="D292" i="5"/>
  <c r="E292" s="1"/>
  <c r="D60" i="7" s="1"/>
  <c r="D293" i="5"/>
  <c r="E293" s="1"/>
  <c r="D61" i="7" s="1"/>
  <c r="D294" i="5"/>
  <c r="E294" s="1"/>
  <c r="D62" i="7" s="1"/>
  <c r="D295" i="5"/>
  <c r="E295" s="1"/>
  <c r="D63" i="7" s="1"/>
  <c r="D296" i="5"/>
  <c r="E296" s="1"/>
  <c r="D64" i="7" s="1"/>
  <c r="D300" i="5"/>
  <c r="E300" s="1"/>
  <c r="M57" i="7" s="1"/>
  <c r="D301" i="5"/>
  <c r="E301" s="1"/>
  <c r="M58" i="7" s="1"/>
  <c r="D302" i="5"/>
  <c r="E302" s="1"/>
  <c r="M59" i="7" s="1"/>
  <c r="D304" i="5"/>
  <c r="E304" s="1"/>
  <c r="M61" i="7" s="1"/>
  <c r="D306" i="5"/>
  <c r="E306" s="1"/>
  <c r="M63" i="7" s="1"/>
  <c r="D308" i="5"/>
  <c r="E308" s="1"/>
  <c r="M65" i="7" s="1"/>
  <c r="D309" i="5"/>
  <c r="E309" s="1"/>
  <c r="M66" i="7" s="1"/>
  <c r="D310" i="5"/>
  <c r="E310" s="1"/>
  <c r="M67" i="7" s="1"/>
  <c r="D311" i="5"/>
  <c r="E311" s="1"/>
  <c r="M68" i="7" s="1"/>
  <c r="D312" i="5"/>
  <c r="D313"/>
  <c r="E313" s="1"/>
  <c r="M70" i="7" s="1"/>
  <c r="D585" i="5"/>
  <c r="E585" s="1"/>
  <c r="M119" i="7" s="1"/>
  <c r="D586" i="5"/>
  <c r="E586" s="1"/>
  <c r="M120" i="7" s="1"/>
  <c r="D587" i="5"/>
  <c r="E587" s="1"/>
  <c r="M121" i="7" s="1"/>
  <c r="D588" i="5"/>
  <c r="E588" s="1"/>
  <c r="M122" i="7" s="1"/>
  <c r="D590" i="5"/>
  <c r="E590" s="1"/>
  <c r="M124" i="7" s="1"/>
  <c r="D592" i="5"/>
  <c r="E592" s="1"/>
  <c r="M126" i="7" s="1"/>
  <c r="D593" i="5"/>
  <c r="E593" s="1"/>
  <c r="M127" i="7" s="1"/>
  <c r="D594" i="5"/>
  <c r="E594" s="1"/>
  <c r="M128" i="7" s="1"/>
  <c r="D595" i="5"/>
  <c r="E595" s="1"/>
  <c r="M129" i="7" s="1"/>
  <c r="D596" i="5"/>
  <c r="D1026"/>
  <c r="E1026" s="1"/>
  <c r="M201" i="7" s="1"/>
  <c r="D1027" i="5"/>
  <c r="E1027" s="1"/>
  <c r="M202" i="7" s="1"/>
  <c r="D1028" i="5"/>
  <c r="E1028" s="1"/>
  <c r="M203" i="7" s="1"/>
  <c r="D1029" i="5"/>
  <c r="E1029" s="1"/>
  <c r="M204" i="7" s="1"/>
  <c r="D1031" i="5"/>
  <c r="E1031" s="1"/>
  <c r="M206" i="7" s="1"/>
  <c r="D1033" i="5"/>
  <c r="E1033" s="1"/>
  <c r="M208" i="7" s="1"/>
  <c r="D1035" i="5"/>
  <c r="E1035" s="1"/>
  <c r="M210" i="7" s="1"/>
  <c r="D1036" i="5"/>
  <c r="E1036" s="1"/>
  <c r="M211" i="7" s="1"/>
  <c r="D1037" i="5"/>
  <c r="E1037" s="1"/>
  <c r="M212" i="7" s="1"/>
  <c r="D1038" i="5"/>
  <c r="E1038" s="1"/>
  <c r="M213" i="7" s="1"/>
  <c r="D1039" i="5"/>
  <c r="D1104"/>
  <c r="E1104" s="1"/>
  <c r="M216" i="7" s="1"/>
  <c r="D1105" i="5"/>
  <c r="E1105" s="1"/>
  <c r="M217" i="7" s="1"/>
  <c r="D1106" i="5"/>
  <c r="E1106" s="1"/>
  <c r="M218" i="7" s="1"/>
  <c r="D1107" i="5"/>
  <c r="E1107" s="1"/>
  <c r="M219" i="7" s="1"/>
  <c r="D1109" i="5"/>
  <c r="E1109" s="1"/>
  <c r="M221" i="7" s="1"/>
  <c r="D1111" i="5"/>
  <c r="E1111" s="1"/>
  <c r="M223" i="7" s="1"/>
  <c r="D1113" i="5"/>
  <c r="E1113" s="1"/>
  <c r="M225" i="7" s="1"/>
  <c r="D1114" i="5"/>
  <c r="E1114" s="1"/>
  <c r="M226" i="7" s="1"/>
  <c r="D1115" i="5"/>
  <c r="E1115" s="1"/>
  <c r="M227" i="7" s="1"/>
  <c r="D1116" i="5"/>
  <c r="E1116" s="1"/>
  <c r="M228" i="7" s="1"/>
  <c r="D1117" i="5"/>
  <c r="D1254"/>
  <c r="E1254" s="1"/>
  <c r="M245" i="7" s="1"/>
  <c r="D1255" i="5"/>
  <c r="E1255" s="1"/>
  <c r="M246" i="7" s="1"/>
  <c r="D1256" i="5"/>
  <c r="E1256" s="1"/>
  <c r="M247" i="7" s="1"/>
  <c r="D1257" i="5"/>
  <c r="E1257" s="1"/>
  <c r="M248" i="7" s="1"/>
  <c r="D1259" i="5"/>
  <c r="E1259" s="1"/>
  <c r="M250" i="7" s="1"/>
  <c r="D1261" i="5"/>
  <c r="E1261" s="1"/>
  <c r="M252" i="7" s="1"/>
  <c r="D1263" i="5"/>
  <c r="E1263" s="1"/>
  <c r="M254" i="7" s="1"/>
  <c r="D1264" i="5"/>
  <c r="E1264" s="1"/>
  <c r="M255" i="7" s="1"/>
  <c r="D1265" i="5"/>
  <c r="E1265" s="1"/>
  <c r="M256" i="7" s="1"/>
  <c r="D1266" i="5"/>
  <c r="E1266" s="1"/>
  <c r="M257" i="7" s="1"/>
  <c r="D1267" i="5"/>
  <c r="D1548"/>
  <c r="E1548" s="1"/>
  <c r="M301" i="7" s="1"/>
  <c r="D1549" i="5"/>
  <c r="E1549" s="1"/>
  <c r="M302" i="7" s="1"/>
  <c r="D1550" i="5"/>
  <c r="E1550" s="1"/>
  <c r="M303" i="7" s="1"/>
  <c r="D1551" i="5"/>
  <c r="E1551" s="1"/>
  <c r="M304" i="7" s="1"/>
  <c r="D1552" i="5"/>
  <c r="E1552" s="1"/>
  <c r="M305" i="7" s="1"/>
  <c r="D1554" i="5"/>
  <c r="E1554" s="1"/>
  <c r="M307" i="7" s="1"/>
  <c r="D1556" i="5"/>
  <c r="E1556" s="1"/>
  <c r="M309" i="7" s="1"/>
  <c r="D1557" i="5"/>
  <c r="E1557" s="1"/>
  <c r="M310" i="7" s="1"/>
  <c r="D1558" i="5"/>
  <c r="E1558" s="1"/>
  <c r="M311" i="7" s="1"/>
  <c r="D1559" i="5"/>
  <c r="E1559" s="1"/>
  <c r="M312" i="7" s="1"/>
  <c r="D1560" i="5"/>
  <c r="D1622"/>
  <c r="E1622" s="1"/>
  <c r="M315" i="7" s="1"/>
  <c r="D1623" i="5"/>
  <c r="E1623" s="1"/>
  <c r="M316" i="7" s="1"/>
  <c r="D1624" i="5"/>
  <c r="E1624" s="1"/>
  <c r="M317" i="7" s="1"/>
  <c r="D1625" i="5"/>
  <c r="E1625" s="1"/>
  <c r="M318" i="7" s="1"/>
  <c r="D1626" i="5"/>
  <c r="E1626" s="1"/>
  <c r="M319" i="7" s="1"/>
  <c r="D1628" i="5"/>
  <c r="E1628" s="1"/>
  <c r="M321" i="7" s="1"/>
  <c r="D1630" i="5"/>
  <c r="E1630" s="1"/>
  <c r="M323" i="7" s="1"/>
  <c r="D1631" i="5"/>
  <c r="E1631" s="1"/>
  <c r="M324" i="7" s="1"/>
  <c r="D1632" i="5"/>
  <c r="E1632" s="1"/>
  <c r="M325" i="7" s="1"/>
  <c r="D1633" i="5"/>
  <c r="E1633" s="1"/>
  <c r="M326" i="7" s="1"/>
  <c r="D1634" i="5"/>
  <c r="D1765"/>
  <c r="E1765" s="1"/>
  <c r="D346" i="7" s="1"/>
  <c r="D1766" i="5"/>
  <c r="E1766" s="1"/>
  <c r="D347" i="7" s="1"/>
  <c r="D1767" i="5"/>
  <c r="E1767" s="1"/>
  <c r="D348" i="7" s="1"/>
  <c r="D1771" i="5"/>
  <c r="E1771" s="1"/>
  <c r="M343" i="7" s="1"/>
  <c r="D1774" i="5"/>
  <c r="E1774" s="1"/>
  <c r="M346" i="7" s="1"/>
  <c r="D1776" i="5"/>
  <c r="E1776" s="1"/>
  <c r="M348" i="7" s="1"/>
  <c r="D1778" i="5"/>
  <c r="E1778" s="1"/>
  <c r="M350" i="7" s="1"/>
  <c r="D1779" i="5"/>
  <c r="E1779" s="1"/>
  <c r="M351" i="7" s="1"/>
  <c r="D1780" i="5"/>
  <c r="E1780" s="1"/>
  <c r="M352" i="7" s="1"/>
  <c r="D1782" i="5"/>
  <c r="E1782" s="1"/>
  <c r="M354" i="7" s="1"/>
  <c r="D1838" i="5"/>
  <c r="E1838" s="1"/>
  <c r="D359" i="7" s="1"/>
  <c r="D1839" i="5"/>
  <c r="E1839" s="1"/>
  <c r="D360" i="7" s="1"/>
  <c r="D1840" i="5"/>
  <c r="E1840" s="1"/>
  <c r="D361" i="7" s="1"/>
  <c r="D1841" i="5"/>
  <c r="E1841" s="1"/>
  <c r="D362" i="7" s="1"/>
  <c r="D1842" i="5"/>
  <c r="E1842" s="1"/>
  <c r="D363" i="7" s="1"/>
  <c r="D1843" i="5"/>
  <c r="E1843" s="1"/>
  <c r="D364" i="7" s="1"/>
  <c r="D1844" i="5"/>
  <c r="E1844" s="1"/>
  <c r="D365" i="7" s="1"/>
  <c r="D1848" i="5"/>
  <c r="E1848" s="1"/>
  <c r="M356" i="7" s="1"/>
  <c r="D1849" i="5"/>
  <c r="E1849" s="1"/>
  <c r="M357" i="7" s="1"/>
  <c r="D1850" i="5"/>
  <c r="E1850" s="1"/>
  <c r="M358" i="7" s="1"/>
  <c r="D1851" i="5"/>
  <c r="E1851" s="1"/>
  <c r="M359" i="7" s="1"/>
  <c r="D1853" i="5"/>
  <c r="E1853" s="1"/>
  <c r="M361" i="7" s="1"/>
  <c r="D1855" i="5"/>
  <c r="E1855" s="1"/>
  <c r="M363" i="7" s="1"/>
  <c r="D1856" i="5"/>
  <c r="E1856" s="1"/>
  <c r="M364" i="7" s="1"/>
  <c r="D1857" i="5"/>
  <c r="E1857" s="1"/>
  <c r="M365" i="7" s="1"/>
  <c r="D1858" i="5"/>
  <c r="D1859"/>
  <c r="E1859" s="1"/>
  <c r="M367" i="7" s="1"/>
  <c r="D1915" i="5"/>
  <c r="E1915" s="1"/>
  <c r="D372" i="7" s="1"/>
  <c r="D1916" i="5"/>
  <c r="E1916" s="1"/>
  <c r="D373" i="7" s="1"/>
  <c r="D1917" i="5"/>
  <c r="E1917" s="1"/>
  <c r="D374" i="7" s="1"/>
  <c r="D1918" i="5"/>
  <c r="E1918" s="1"/>
  <c r="D375" i="7" s="1"/>
  <c r="D1919" i="5"/>
  <c r="E1919" s="1"/>
  <c r="D376" i="7" s="1"/>
  <c r="D1920" i="5"/>
  <c r="E1920" s="1"/>
  <c r="D377" i="7" s="1"/>
  <c r="D1921" i="5"/>
  <c r="E1921" s="1"/>
  <c r="D378" i="7" s="1"/>
  <c r="D1925" i="5"/>
  <c r="E1925" s="1"/>
  <c r="M369" i="7" s="1"/>
  <c r="D1926" i="5"/>
  <c r="E1926" s="1"/>
  <c r="M370" i="7" s="1"/>
  <c r="D1927" i="5"/>
  <c r="E1927" s="1"/>
  <c r="M371" i="7" s="1"/>
  <c r="D1929" i="5"/>
  <c r="E1929" s="1"/>
  <c r="M373" i="7" s="1"/>
  <c r="D1931" i="5"/>
  <c r="E1931" s="1"/>
  <c r="M375" i="7" s="1"/>
  <c r="D1932" i="5"/>
  <c r="E1932" s="1"/>
  <c r="M376" i="7" s="1"/>
  <c r="D1933" i="5"/>
  <c r="E1933" s="1"/>
  <c r="M377" i="7" s="1"/>
  <c r="D1934" i="5"/>
  <c r="D1990"/>
  <c r="E1990" s="1"/>
  <c r="D384" i="7" s="1"/>
  <c r="D1991" i="5"/>
  <c r="E1991" s="1"/>
  <c r="D385" i="7" s="1"/>
  <c r="D1992" i="5"/>
  <c r="E1992" s="1"/>
  <c r="D386" i="7" s="1"/>
  <c r="D1993" i="5"/>
  <c r="E1993" s="1"/>
  <c r="D387" i="7" s="1"/>
  <c r="D1994" i="5"/>
  <c r="E1994" s="1"/>
  <c r="D388" i="7" s="1"/>
  <c r="D1998" i="5"/>
  <c r="E1998" s="1"/>
  <c r="M381" i="7" s="1"/>
  <c r="D1999" i="5"/>
  <c r="E1999" s="1"/>
  <c r="M382" i="7" s="1"/>
  <c r="D2000" i="5"/>
  <c r="E2000" s="1"/>
  <c r="M383" i="7" s="1"/>
  <c r="D2001" i="5"/>
  <c r="E2001" s="1"/>
  <c r="M384" i="7" s="1"/>
  <c r="D2002" i="5"/>
  <c r="E2002" s="1"/>
  <c r="M385" i="7" s="1"/>
  <c r="D2003" i="5"/>
  <c r="E2003" s="1"/>
  <c r="M386" i="7" s="1"/>
  <c r="D2125" i="5"/>
  <c r="E2125" s="1"/>
  <c r="D404" i="7" s="1"/>
  <c r="D2126" i="5"/>
  <c r="E2126" s="1"/>
  <c r="D405" i="7" s="1"/>
  <c r="D2130" i="5"/>
  <c r="E2130" s="1"/>
  <c r="M401" i="7" s="1"/>
  <c r="D2131" i="5"/>
  <c r="E2131" s="1"/>
  <c r="M402" i="7" s="1"/>
  <c r="D2132" i="5"/>
  <c r="E2132" s="1"/>
  <c r="M403" i="7" s="1"/>
  <c r="D2133" i="5"/>
  <c r="E2133" s="1"/>
  <c r="M404" i="7" s="1"/>
  <c r="D2134" i="5"/>
  <c r="E2134" s="1"/>
  <c r="M405" i="7" s="1"/>
  <c r="D2135" i="5"/>
  <c r="E2135" s="1"/>
  <c r="M406" i="7" s="1"/>
  <c r="D2194" i="5"/>
  <c r="E2194" s="1"/>
  <c r="M409" i="7" s="1"/>
  <c r="D2261" i="5"/>
  <c r="E2261" s="1"/>
  <c r="D426" i="7" s="1"/>
  <c r="D2262" i="5"/>
  <c r="E2262" s="1"/>
  <c r="D427" i="7" s="1"/>
  <c r="D2334" i="5"/>
  <c r="E2334" s="1"/>
  <c r="D456" i="7" s="1"/>
  <c r="D2402" i="5"/>
  <c r="E2402" s="1"/>
  <c r="D472" i="7" s="1"/>
  <c r="D2517" i="5"/>
  <c r="D2681"/>
  <c r="E2681" s="1"/>
  <c r="M520" i="7" s="1"/>
  <c r="D2682" i="5"/>
  <c r="E2682" s="1"/>
  <c r="M521" i="7" s="1"/>
  <c r="D2683" i="5"/>
  <c r="E2683" s="1"/>
  <c r="M522" i="7" s="1"/>
  <c r="D2684" i="5"/>
  <c r="E2684" s="1"/>
  <c r="M523" i="7" s="1"/>
  <c r="D2685" i="5"/>
  <c r="E2685" s="1"/>
  <c r="M524" i="7" s="1"/>
  <c r="D2686" i="5"/>
  <c r="E2686" s="1"/>
  <c r="M525" i="7" s="1"/>
  <c r="D2740" i="5"/>
  <c r="E2740" s="1"/>
  <c r="D538" i="7" s="1"/>
  <c r="D2741" i="5"/>
  <c r="E2741" s="1"/>
  <c r="D539" i="7" s="1"/>
  <c r="D2742" i="5"/>
  <c r="E2742" s="1"/>
  <c r="D540" i="7" s="1"/>
  <c r="D2744" i="5"/>
  <c r="E2744" s="1"/>
  <c r="D542" i="7" s="1"/>
  <c r="D2798" i="5"/>
  <c r="E2798" s="1"/>
  <c r="D546" i="7" s="1"/>
  <c r="D2799" i="5"/>
  <c r="E2799" s="1"/>
  <c r="D547" i="7" s="1"/>
  <c r="D2800" i="5"/>
  <c r="E2800" s="1"/>
  <c r="D549" i="7" s="1"/>
  <c r="D2801" i="5"/>
  <c r="E2801" s="1"/>
  <c r="D551" i="7" s="1"/>
  <c r="L514"/>
  <c r="F2257" i="5"/>
  <c r="G2257" s="1"/>
  <c r="E424" i="7" s="1"/>
  <c r="D2257" i="5"/>
  <c r="E2257" s="1"/>
  <c r="D424" i="7" s="1"/>
  <c r="H1765" i="5"/>
  <c r="I1765" s="1"/>
  <c r="F346" i="7" s="1"/>
  <c r="H1766" i="5"/>
  <c r="I1766" s="1"/>
  <c r="F347" i="7" s="1"/>
  <c r="H1767" i="5"/>
  <c r="I1767" s="1"/>
  <c r="F348" i="7" s="1"/>
  <c r="F1766" i="5"/>
  <c r="G1766" s="1"/>
  <c r="E347" i="7" s="1"/>
  <c r="B320"/>
  <c r="B319"/>
  <c r="B318"/>
  <c r="B306"/>
  <c r="B305"/>
  <c r="B252"/>
  <c r="B251"/>
  <c r="B250"/>
  <c r="B249"/>
  <c r="B248"/>
  <c r="F1765" i="5"/>
  <c r="G1765" s="1"/>
  <c r="E346" i="7" s="1"/>
  <c r="H1921" i="5"/>
  <c r="I1921" s="1"/>
  <c r="F378" i="7" s="1"/>
  <c r="H1920" i="5"/>
  <c r="I1920" s="1"/>
  <c r="F377" i="7" s="1"/>
  <c r="H1919" i="5"/>
  <c r="I1919" s="1"/>
  <c r="F376" i="7" s="1"/>
  <c r="H1918" i="5"/>
  <c r="I1918" s="1"/>
  <c r="F375" i="7" s="1"/>
  <c r="H1917" i="5"/>
  <c r="I1917" s="1"/>
  <c r="F374" i="7" s="1"/>
  <c r="H1916" i="5"/>
  <c r="I1916" s="1"/>
  <c r="F373" i="7" s="1"/>
  <c r="H1915" i="5"/>
  <c r="I1915" s="1"/>
  <c r="F372" i="7" s="1"/>
  <c r="F1921" i="5"/>
  <c r="G1921" s="1"/>
  <c r="E378" i="7" s="1"/>
  <c r="F1920" i="5"/>
  <c r="G1920" s="1"/>
  <c r="E377" i="7" s="1"/>
  <c r="F1919" i="5"/>
  <c r="G1919" s="1"/>
  <c r="E376" i="7" s="1"/>
  <c r="F1918" i="5"/>
  <c r="G1918" s="1"/>
  <c r="E375" i="7" s="1"/>
  <c r="F1917" i="5"/>
  <c r="G1917" s="1"/>
  <c r="E374" i="7" s="1"/>
  <c r="F1916" i="5"/>
  <c r="G1916" s="1"/>
  <c r="E373" i="7" s="1"/>
  <c r="F1915" i="5"/>
  <c r="G1915" s="1"/>
  <c r="E372" i="7" s="1"/>
  <c r="H1844" i="5"/>
  <c r="I1844" s="1"/>
  <c r="F365" i="7" s="1"/>
  <c r="H1843" i="5"/>
  <c r="I1843" s="1"/>
  <c r="F364" i="7" s="1"/>
  <c r="H1842" i="5"/>
  <c r="I1842" s="1"/>
  <c r="F363" i="7" s="1"/>
  <c r="H1841" i="5"/>
  <c r="I1841" s="1"/>
  <c r="F362" i="7" s="1"/>
  <c r="H1840" i="5"/>
  <c r="I1840" s="1"/>
  <c r="F361" i="7" s="1"/>
  <c r="H1839" i="5"/>
  <c r="I1839" s="1"/>
  <c r="F360" i="7" s="1"/>
  <c r="H1838" i="5"/>
  <c r="I1838" s="1"/>
  <c r="F359" i="7" s="1"/>
  <c r="F1844" i="5"/>
  <c r="G1844" s="1"/>
  <c r="E365" i="7" s="1"/>
  <c r="F1843" i="5"/>
  <c r="G1843" s="1"/>
  <c r="E364" i="7" s="1"/>
  <c r="F1842" i="5"/>
  <c r="G1842" s="1"/>
  <c r="E363" i="7" s="1"/>
  <c r="F1841" i="5"/>
  <c r="G1841" s="1"/>
  <c r="E362" i="7" s="1"/>
  <c r="F1840" i="5"/>
  <c r="G1840" s="1"/>
  <c r="E361" i="7" s="1"/>
  <c r="F1839" i="5"/>
  <c r="G1839" s="1"/>
  <c r="E360" i="7" s="1"/>
  <c r="F1838" i="5"/>
  <c r="G1838" s="1"/>
  <c r="E359" i="7" s="1"/>
  <c r="B224"/>
  <c r="B223"/>
  <c r="B222"/>
  <c r="B221"/>
  <c r="B220"/>
  <c r="B209"/>
  <c r="B208"/>
  <c r="B207"/>
  <c r="L4"/>
  <c r="L3"/>
  <c r="L2"/>
  <c r="B378"/>
  <c r="B377"/>
  <c r="B376"/>
  <c r="B375"/>
  <c r="B374"/>
  <c r="B373"/>
  <c r="B365"/>
  <c r="B364"/>
  <c r="B363"/>
  <c r="B362"/>
  <c r="B361"/>
  <c r="B360"/>
  <c r="B206"/>
  <c r="B205"/>
  <c r="B204"/>
  <c r="B64"/>
  <c r="B63"/>
  <c r="B62"/>
  <c r="B405"/>
  <c r="B404"/>
  <c r="B388"/>
  <c r="B387"/>
  <c r="B386"/>
  <c r="B385"/>
  <c r="B384"/>
  <c r="B372"/>
  <c r="B359"/>
  <c r="B348"/>
  <c r="B347"/>
  <c r="B346"/>
  <c r="B219"/>
  <c r="B61"/>
  <c r="B60"/>
  <c r="B48"/>
  <c r="B47"/>
  <c r="B46"/>
  <c r="B45"/>
  <c r="B44"/>
  <c r="B30"/>
  <c r="B29"/>
  <c r="B17"/>
  <c r="B16"/>
  <c r="B15"/>
  <c r="B14"/>
  <c r="B13"/>
  <c r="B12"/>
  <c r="B2603" i="5"/>
  <c r="B513" i="7" s="1"/>
  <c r="B544"/>
  <c r="B2737" i="5"/>
  <c r="B536" i="7" s="1"/>
  <c r="J2391" i="5"/>
  <c r="K2391" s="1"/>
  <c r="G463" i="7" s="1"/>
  <c r="H2392" i="5"/>
  <c r="I2392" s="1"/>
  <c r="F464" i="7" s="1"/>
  <c r="J2389" i="5"/>
  <c r="K2389" s="1"/>
  <c r="G461" i="7" s="1"/>
  <c r="H2389" i="5"/>
  <c r="I2389" s="1"/>
  <c r="F461" i="7" s="1"/>
  <c r="J2324" i="5"/>
  <c r="K2324" s="1"/>
  <c r="G448" i="7" s="1"/>
  <c r="J2320" i="5"/>
  <c r="K2320" s="1"/>
  <c r="G444" i="7" s="1"/>
  <c r="J2319" i="5"/>
  <c r="K2319" s="1"/>
  <c r="G443" i="7" s="1"/>
  <c r="J2318" i="5"/>
  <c r="K2318" s="1"/>
  <c r="G442" i="7" s="1"/>
  <c r="H2252" i="5"/>
  <c r="I2252" s="1"/>
  <c r="F419" i="7" s="1"/>
  <c r="H2464" i="5"/>
  <c r="I2464" s="1"/>
  <c r="F484" i="7" s="1"/>
  <c r="J2325" i="5"/>
  <c r="K2325" s="1"/>
  <c r="G449" i="7" s="1"/>
  <c r="J2326" i="5"/>
  <c r="K2326" s="1"/>
  <c r="G450" i="7" s="1"/>
  <c r="H2324" i="5"/>
  <c r="I2324" s="1"/>
  <c r="F448" i="7" s="1"/>
  <c r="H2465" i="5"/>
  <c r="I2465" s="1"/>
  <c r="F485" i="7" s="1"/>
  <c r="H2466" i="5"/>
  <c r="I2466" s="1"/>
  <c r="F486" i="7" s="1"/>
  <c r="H2325" i="5"/>
  <c r="I2325" s="1"/>
  <c r="F449" i="7" s="1"/>
  <c r="H2326" i="5"/>
  <c r="I2326" s="1"/>
  <c r="F450" i="7" s="1"/>
  <c r="B2186" i="5"/>
  <c r="B287"/>
  <c r="E11" i="7"/>
  <c r="I2253" i="5"/>
  <c r="F420" i="7" s="1"/>
  <c r="D11"/>
  <c r="B1"/>
  <c r="E2277" i="5" l="1"/>
  <c r="E2453" s="1"/>
  <c r="F474" i="7" s="1"/>
  <c r="B2285" i="5"/>
  <c r="C434" i="7" s="1"/>
  <c r="F2280" i="5"/>
  <c r="E431" i="7" s="1"/>
  <c r="B2283" i="5"/>
  <c r="D2280"/>
  <c r="D431" i="7" s="1"/>
  <c r="B2281" i="5"/>
  <c r="B432" i="7" s="1"/>
  <c r="T2277" i="5"/>
  <c r="B2279"/>
  <c r="B430" i="7" s="1"/>
  <c r="C2280" i="5"/>
  <c r="C431" i="7" s="1"/>
  <c r="C2279" i="5"/>
  <c r="C430" i="7" s="1"/>
  <c r="B2317" i="5"/>
  <c r="B441" i="7" s="1"/>
  <c r="E8" i="5"/>
  <c r="H1322"/>
  <c r="F262" i="7" s="1"/>
  <c r="B310" i="5"/>
  <c r="L67" i="7" s="1"/>
  <c r="B305" i="5"/>
  <c r="L62" i="7" s="1"/>
  <c r="F415" i="5"/>
  <c r="E87" i="7" s="1"/>
  <c r="F414" i="5"/>
  <c r="E86" i="7" s="1"/>
  <c r="H415" i="5"/>
  <c r="F87" i="7" s="1"/>
  <c r="H414" i="5"/>
  <c r="F86" i="7" s="1"/>
  <c r="B414" i="5"/>
  <c r="B86" i="7" s="1"/>
  <c r="D414" i="5"/>
  <c r="D86" i="7" s="1"/>
  <c r="C416" i="5"/>
  <c r="C88" i="7" s="1"/>
  <c r="C415" i="5"/>
  <c r="C87" i="7" s="1"/>
  <c r="C414" i="5"/>
  <c r="C86" i="7" s="1"/>
  <c r="D415" i="5"/>
  <c r="D87" i="7" s="1"/>
  <c r="E369" i="5"/>
  <c r="D75" i="7" s="1"/>
  <c r="R2388" i="5"/>
  <c r="K460" i="7" s="1"/>
  <c r="B667" i="5"/>
  <c r="L141" i="7" s="1"/>
  <c r="T2455" i="5"/>
  <c r="L475" i="7" s="1"/>
  <c r="R7" i="5"/>
  <c r="D2387"/>
  <c r="D459" i="7" s="1"/>
  <c r="J1014" i="5"/>
  <c r="G201" i="7" s="1"/>
  <c r="P7" i="5"/>
  <c r="D1016"/>
  <c r="D203" i="7" s="1"/>
  <c r="B806" i="5"/>
  <c r="L162" i="7" s="1"/>
  <c r="B805" i="5"/>
  <c r="L161" i="7" s="1"/>
  <c r="F723" i="5"/>
  <c r="E146" i="7" s="1"/>
  <c r="C941" i="5"/>
  <c r="C187" i="7" s="1"/>
  <c r="B649" i="5"/>
  <c r="B132" i="7" s="1"/>
  <c r="B424" i="5"/>
  <c r="L88" i="7" s="1"/>
  <c r="T425" i="5"/>
  <c r="E424"/>
  <c r="M88" i="7" s="1"/>
  <c r="B420" i="5"/>
  <c r="B422"/>
  <c r="L86" i="7" s="1"/>
  <c r="T412" i="5"/>
  <c r="H1540"/>
  <c r="F302" i="7" s="1"/>
  <c r="B1772" i="5"/>
  <c r="L344" i="7" s="1"/>
  <c r="B1333" i="5"/>
  <c r="L265" i="7" s="1"/>
  <c r="B373" i="5"/>
  <c r="L72" i="7" s="1"/>
  <c r="B2319" i="5"/>
  <c r="B443" i="7" s="1"/>
  <c r="B2607" i="5"/>
  <c r="B516" i="7" s="1"/>
  <c r="B1633" i="5"/>
  <c r="L326" i="7" s="1"/>
  <c r="C1689" i="5"/>
  <c r="C331" i="7" s="1"/>
  <c r="B2512" i="5"/>
  <c r="B508" i="7" s="1"/>
  <c r="C2682" i="5"/>
  <c r="L521" i="7" s="1"/>
  <c r="L1093" i="5"/>
  <c r="H217" i="7" s="1"/>
  <c r="C1539" i="5"/>
  <c r="C301" i="7" s="1"/>
  <c r="B100" i="5"/>
  <c r="L28" i="7" s="1"/>
  <c r="B304" i="5"/>
  <c r="L61" i="7" s="1"/>
  <c r="B1337" i="5"/>
  <c r="L269" i="7" s="1"/>
  <c r="C2056" i="5"/>
  <c r="C392" i="7" s="1"/>
  <c r="B595" i="5"/>
  <c r="L129" i="7" s="1"/>
  <c r="B2511" i="5"/>
  <c r="F477"/>
  <c r="E94" i="7" s="1"/>
  <c r="C870" i="5"/>
  <c r="C175" i="7" s="1"/>
  <c r="B2673" i="5"/>
  <c r="B530" i="7" s="1"/>
  <c r="L869" i="5"/>
  <c r="H174" i="7" s="1"/>
  <c r="B1256" i="5"/>
  <c r="L247" i="7" s="1"/>
  <c r="C1016" i="5"/>
  <c r="C203" i="7" s="1"/>
  <c r="C2124" i="5"/>
  <c r="C403" i="7" s="1"/>
  <c r="B1465" i="5"/>
  <c r="B287" i="7" s="1"/>
  <c r="B2134" i="5"/>
  <c r="L405" i="7" s="1"/>
  <c r="D1541" i="5"/>
  <c r="D303" i="7" s="1"/>
  <c r="B2797" i="5"/>
  <c r="B545" i="7" s="1"/>
  <c r="F476" i="5"/>
  <c r="E93" i="7" s="1"/>
  <c r="B1028" i="5"/>
  <c r="L203" i="7" s="1"/>
  <c r="H1835" i="5"/>
  <c r="F356" i="7" s="1"/>
  <c r="B795" i="5"/>
  <c r="B159" i="7" s="1"/>
  <c r="J725" i="5"/>
  <c r="G148" i="7" s="1"/>
  <c r="B1266" i="5"/>
  <c r="L257" i="7" s="1"/>
  <c r="E1412" i="5"/>
  <c r="M285" i="7" s="1"/>
  <c r="B2739" i="5"/>
  <c r="B537" i="7" s="1"/>
  <c r="J796" i="5"/>
  <c r="G160" i="7" s="1"/>
  <c r="H1467" i="5"/>
  <c r="F289" i="7" s="1"/>
  <c r="F1539" i="5"/>
  <c r="E301" i="7" s="1"/>
  <c r="F2124" i="5"/>
  <c r="E403" i="7" s="1"/>
  <c r="I8" i="5"/>
  <c r="F1466"/>
  <c r="E288" i="7" s="1"/>
  <c r="D2605" i="5"/>
  <c r="D514" i="7" s="1"/>
  <c r="C651" i="5"/>
  <c r="C134" i="7" s="1"/>
  <c r="L1014" i="5"/>
  <c r="H201" i="7" s="1"/>
  <c r="B1931" i="5"/>
  <c r="L375" i="7" s="1"/>
  <c r="D289" i="5"/>
  <c r="AC291" s="1"/>
  <c r="H797"/>
  <c r="F161" i="7" s="1"/>
  <c r="B1114" i="5"/>
  <c r="L226" i="7" s="1"/>
  <c r="J2056" i="5"/>
  <c r="G392" i="7" s="1"/>
  <c r="C942" i="5"/>
  <c r="C188" i="7" s="1"/>
  <c r="B1708" i="5"/>
  <c r="L340" i="7" s="1"/>
  <c r="L2606" i="5"/>
  <c r="H515" i="7" s="1"/>
  <c r="B1553" i="5"/>
  <c r="L306" i="7" s="1"/>
  <c r="B179" i="5"/>
  <c r="L46" i="7" s="1"/>
  <c r="B1775" i="5"/>
  <c r="L347" i="7" s="1"/>
  <c r="B1479" i="5"/>
  <c r="L292" i="7" s="1"/>
  <c r="B1183" i="5"/>
  <c r="L236" i="7" s="1"/>
  <c r="B881" i="5"/>
  <c r="L178" i="7" s="1"/>
  <c r="B589" i="5"/>
  <c r="L123" i="7" s="1"/>
  <c r="B306" i="5"/>
  <c r="L63" i="7" s="1"/>
  <c r="B31" i="5"/>
  <c r="L16" i="7" s="1"/>
  <c r="C478" i="5"/>
  <c r="C95" i="7" s="1"/>
  <c r="B485" i="5"/>
  <c r="B496"/>
  <c r="L102" i="7" s="1"/>
  <c r="B490" i="5"/>
  <c r="L96" i="7" s="1"/>
  <c r="D478" i="5"/>
  <c r="D95" i="7" s="1"/>
  <c r="F478" i="5"/>
  <c r="E95" i="7" s="1"/>
  <c r="B1403" i="5"/>
  <c r="L276" i="7" s="1"/>
  <c r="B1108" i="5"/>
  <c r="L220" i="7" s="1"/>
  <c r="B661" i="5"/>
  <c r="L135" i="7" s="1"/>
  <c r="C2055" i="5"/>
  <c r="C391" i="7" s="1"/>
  <c r="E1486" i="5"/>
  <c r="M299" i="7" s="1"/>
  <c r="B1037" i="5"/>
  <c r="L212" i="7" s="1"/>
  <c r="L2056" i="5"/>
  <c r="H392" i="7" s="1"/>
  <c r="L2455" i="5"/>
  <c r="H475" i="7" s="1"/>
  <c r="L1092" i="5"/>
  <c r="H216" i="7" s="1"/>
  <c r="B28" i="5"/>
  <c r="L13" i="7" s="1"/>
  <c r="B2459" i="5"/>
  <c r="B479" i="7" s="1"/>
  <c r="C1321" i="5"/>
  <c r="C261" i="7" s="1"/>
  <c r="L1170" i="5"/>
  <c r="H231" i="7" s="1"/>
  <c r="H1465" i="5"/>
  <c r="F287" i="7" s="1"/>
  <c r="B2744" i="5"/>
  <c r="B542" i="7" s="1"/>
  <c r="B1926" i="5"/>
  <c r="L370" i="7" s="1"/>
  <c r="B739" i="5"/>
  <c r="L154" i="7" s="1"/>
  <c r="C1835" i="5"/>
  <c r="C356" i="7" s="1"/>
  <c r="D1171" i="5"/>
  <c r="D232" i="7" s="1"/>
  <c r="D1393" i="5"/>
  <c r="D274" i="7" s="1"/>
  <c r="E815" i="5"/>
  <c r="M171" i="7" s="1"/>
  <c r="B22" i="5"/>
  <c r="F90"/>
  <c r="AD92" s="1"/>
  <c r="B289"/>
  <c r="B57" i="7" s="1"/>
  <c r="B2679" i="5"/>
  <c r="C1243"/>
  <c r="C245" i="7" s="1"/>
  <c r="B2320" i="5"/>
  <c r="B444" i="7" s="1"/>
  <c r="L795" i="5"/>
  <c r="H159" i="7" s="1"/>
  <c r="H795" i="5"/>
  <c r="F159" i="7" s="1"/>
  <c r="L2664" i="5"/>
  <c r="H521" i="7" s="1"/>
  <c r="B1184" i="5"/>
  <c r="L237" i="7" s="1"/>
  <c r="B941" i="5"/>
  <c r="B187" i="7" s="1"/>
  <c r="B1558" i="5"/>
  <c r="L311" i="7" s="1"/>
  <c r="T7" i="5"/>
  <c r="H2057"/>
  <c r="F393" i="7" s="1"/>
  <c r="B877" i="5"/>
  <c r="L174" i="7" s="1"/>
  <c r="B302" i="5"/>
  <c r="L59" i="7" s="1"/>
  <c r="J942" i="5"/>
  <c r="G188" i="7" s="1"/>
  <c r="B2671" i="5"/>
  <c r="B528" i="7" s="1"/>
  <c r="B1546" i="5"/>
  <c r="F576"/>
  <c r="E119" i="7" s="1"/>
  <c r="B1912" i="5"/>
  <c r="B369" i="7" s="1"/>
  <c r="L1687" i="5"/>
  <c r="H329" i="7" s="1"/>
  <c r="H576" i="5"/>
  <c r="F119" i="7" s="1"/>
  <c r="C1987" i="5"/>
  <c r="C381" i="7" s="1"/>
  <c r="L941" i="5"/>
  <c r="H187" i="7" s="1"/>
  <c r="F1836" i="5"/>
  <c r="E357" i="7" s="1"/>
  <c r="H577" i="5"/>
  <c r="F120" i="7" s="1"/>
  <c r="B1338" i="5"/>
  <c r="L270" i="7" s="1"/>
  <c r="B301" i="5"/>
  <c r="L58" i="7" s="1"/>
  <c r="D2797" i="5"/>
  <c r="D545" i="7" s="1"/>
  <c r="B1698" i="5"/>
  <c r="L330" i="7" s="1"/>
  <c r="B2315" i="5"/>
  <c r="B439" i="7" s="1"/>
  <c r="F1764" i="5"/>
  <c r="E345" i="7" s="1"/>
  <c r="B1631" i="5"/>
  <c r="L324" i="7" s="1"/>
  <c r="B1412" i="5"/>
  <c r="L285" i="7" s="1"/>
  <c r="F7" i="5"/>
  <c r="H1836"/>
  <c r="F357" i="7" s="1"/>
  <c r="B1255" i="5"/>
  <c r="L246" i="7" s="1"/>
  <c r="C797" i="5"/>
  <c r="C161" i="7" s="1"/>
  <c r="H2056" i="5"/>
  <c r="F392" i="7" s="1"/>
  <c r="B586" i="5"/>
  <c r="L120" i="7" s="1"/>
  <c r="H1244" i="5"/>
  <c r="F246" i="7" s="1"/>
  <c r="B2610" i="5"/>
  <c r="K514" i="7" s="1"/>
  <c r="B1707" i="5"/>
  <c r="L339" i="7" s="1"/>
  <c r="J2057" i="5"/>
  <c r="G393" i="7" s="1"/>
  <c r="L1244" i="5"/>
  <c r="H246" i="7" s="1"/>
  <c r="D2056" i="5"/>
  <c r="D392" i="7" s="1"/>
  <c r="B1773" i="5"/>
  <c r="L345" i="7" s="1"/>
  <c r="T2387" i="5"/>
  <c r="L459" i="7" s="1"/>
  <c r="B2194" i="5"/>
  <c r="L409" i="7" s="1"/>
  <c r="T2456" i="5"/>
  <c r="L476" i="7" s="1"/>
  <c r="F868" i="5"/>
  <c r="E173" i="7" s="1"/>
  <c r="B2674" i="5"/>
  <c r="B531" i="7" s="1"/>
  <c r="B1858" i="5"/>
  <c r="L366" i="7" s="1"/>
  <c r="H649" i="5"/>
  <c r="F132" i="7" s="1"/>
  <c r="B2742" i="5"/>
  <c r="B540" i="7" s="1"/>
  <c r="L943" i="5"/>
  <c r="H189" i="7" s="1"/>
  <c r="B813" i="5"/>
  <c r="L169" i="7" s="1"/>
  <c r="C2189" i="5"/>
  <c r="C410" i="7" s="1"/>
  <c r="H1172" i="5"/>
  <c r="F233" i="7" s="1"/>
  <c r="L1392" i="5"/>
  <c r="H273" i="7" s="1"/>
  <c r="B2252" i="5"/>
  <c r="B419" i="7" s="1"/>
  <c r="C796" i="5"/>
  <c r="C160" i="7" s="1"/>
  <c r="L870" i="5"/>
  <c r="H175" i="7" s="1"/>
  <c r="B2455" i="5"/>
  <c r="B475" i="7" s="1"/>
  <c r="L1689" i="5"/>
  <c r="H331" i="7" s="1"/>
  <c r="B1178" i="5"/>
  <c r="L231" i="7" s="1"/>
  <c r="H1015" i="5"/>
  <c r="F202" i="7" s="1"/>
  <c r="D943" i="5"/>
  <c r="D189" i="7" s="1"/>
  <c r="B2799" i="5"/>
  <c r="B547" i="7" s="1"/>
  <c r="B2334" i="5"/>
  <c r="C456" i="7" s="1"/>
  <c r="L1541" i="5"/>
  <c r="H303" i="7" s="1"/>
  <c r="H2122" i="5"/>
  <c r="F401" i="7" s="1"/>
  <c r="D578" i="5"/>
  <c r="D121" i="7" s="1"/>
  <c r="D1467" i="5"/>
  <c r="D289" i="7" s="1"/>
  <c r="B2394" i="5"/>
  <c r="B466" i="7" s="1"/>
  <c r="B308" i="5"/>
  <c r="L65" i="7" s="1"/>
  <c r="B2133" i="5"/>
  <c r="L404" i="7" s="1"/>
  <c r="B2251" i="5"/>
  <c r="B418" i="7" s="1"/>
  <c r="L1171" i="5"/>
  <c r="H232" i="7" s="1"/>
  <c r="B801" i="5"/>
  <c r="B2392"/>
  <c r="B464" i="7" s="1"/>
  <c r="B878" i="5"/>
  <c r="L175" i="7" s="1"/>
  <c r="B807" i="5"/>
  <c r="L163" i="7" s="1"/>
  <c r="J2605" i="5"/>
  <c r="G514" i="7" s="1"/>
  <c r="L723" i="5"/>
  <c r="H146" i="7" s="1"/>
  <c r="J1321" i="5"/>
  <c r="G261" i="7" s="1"/>
  <c r="C163" i="5"/>
  <c r="C41" i="7" s="1"/>
  <c r="B961" i="5"/>
  <c r="L199" i="7" s="1"/>
  <c r="B178" i="5"/>
  <c r="L45" i="7" s="1"/>
  <c r="B1987" i="5"/>
  <c r="B381" i="7" s="1"/>
  <c r="H2248" i="5"/>
  <c r="F415" i="7" s="1"/>
  <c r="D1763" i="5"/>
  <c r="D344" i="7" s="1"/>
  <c r="F1392" i="5"/>
  <c r="E273" i="7" s="1"/>
  <c r="J1094" i="5"/>
  <c r="G218" i="7" s="1"/>
  <c r="B1846" i="5"/>
  <c r="F1170"/>
  <c r="E231" i="7" s="1"/>
  <c r="L1321" i="5"/>
  <c r="H261" i="7" s="1"/>
  <c r="B1117" i="5"/>
  <c r="L229" i="7" s="1"/>
  <c r="C14" i="5"/>
  <c r="C11" i="7" s="1"/>
  <c r="F1092" i="5"/>
  <c r="E216" i="7" s="1"/>
  <c r="F796" i="5"/>
  <c r="E160" i="7" s="1"/>
  <c r="F2189" i="5"/>
  <c r="E410" i="7" s="1"/>
  <c r="B1189" i="5"/>
  <c r="L242" i="7" s="1"/>
  <c r="B741" i="5"/>
  <c r="L156" i="7" s="1"/>
  <c r="E742" i="5"/>
  <c r="M157" i="7" s="1"/>
  <c r="C1172" i="5"/>
  <c r="C233" i="7" s="1"/>
  <c r="D1466" i="5"/>
  <c r="D288" i="7" s="1"/>
  <c r="J1688" i="5"/>
  <c r="G330" i="7" s="1"/>
  <c r="B1485" i="5"/>
  <c r="L298" i="7" s="1"/>
  <c r="B1176" i="5"/>
  <c r="H2605"/>
  <c r="F514" i="7" s="1"/>
  <c r="C1540" i="5"/>
  <c r="C302" i="7" s="1"/>
  <c r="B1774" i="5"/>
  <c r="L346" i="7" s="1"/>
  <c r="J1320" i="5"/>
  <c r="G260" i="7" s="1"/>
  <c r="F724" i="5"/>
  <c r="E147" i="7" s="1"/>
  <c r="F943" i="5"/>
  <c r="E189" i="7" s="1"/>
  <c r="F2056" i="5"/>
  <c r="E392" i="7" s="1"/>
  <c r="B2003" i="5"/>
  <c r="L386" i="7" s="1"/>
  <c r="B1106" i="5"/>
  <c r="L218" i="7" s="1"/>
  <c r="F1014" i="5"/>
  <c r="E201" i="7" s="1"/>
  <c r="C2388" i="5"/>
  <c r="C460" i="7" s="1"/>
  <c r="L2605" i="5"/>
  <c r="H514" i="7" s="1"/>
  <c r="C578" i="5"/>
  <c r="C121" i="7" s="1"/>
  <c r="B1634" i="5"/>
  <c r="L327" i="7" s="1"/>
  <c r="F650" i="5"/>
  <c r="E133" i="7" s="1"/>
  <c r="C724" i="5"/>
  <c r="C147" i="7" s="1"/>
  <c r="D2316" i="5"/>
  <c r="D440" i="7" s="1"/>
  <c r="B1853" i="5"/>
  <c r="L361" i="7" s="1"/>
  <c r="L1320" i="5"/>
  <c r="H260" i="7" s="1"/>
  <c r="B1111" i="5"/>
  <c r="L223" i="7" s="1"/>
  <c r="D1094" i="5"/>
  <c r="D218" i="7" s="1"/>
  <c r="B1404" i="5"/>
  <c r="L277" i="7" s="1"/>
  <c r="B2663" i="5"/>
  <c r="B520" i="7" s="1"/>
  <c r="B1474" i="5"/>
  <c r="L287" i="7" s="1"/>
  <c r="D2247" i="5"/>
  <c r="D414" i="7" s="1"/>
  <c r="D868" i="5"/>
  <c r="D173" i="7" s="1"/>
  <c r="D2455" i="5"/>
  <c r="D475" i="7" s="1"/>
  <c r="D649" i="5"/>
  <c r="D132" i="7" s="1"/>
  <c r="D2055" i="5"/>
  <c r="D391" i="7" s="1"/>
  <c r="D1014" i="5"/>
  <c r="D201" i="7" s="1"/>
  <c r="D2663" i="5"/>
  <c r="D520" i="7" s="1"/>
  <c r="C164" i="5"/>
  <c r="C42" i="7" s="1"/>
  <c r="B1115" i="5"/>
  <c r="L227" i="7" s="1"/>
  <c r="H1539" i="5"/>
  <c r="F301" i="7" s="1"/>
  <c r="J1015" i="5"/>
  <c r="G202" i="7" s="1"/>
  <c r="F1016" i="5"/>
  <c r="E203" i="7" s="1"/>
  <c r="B876" i="5"/>
  <c r="L173" i="7" s="1"/>
  <c r="B1190" i="5"/>
  <c r="L243" i="7" s="1"/>
  <c r="C291" i="5"/>
  <c r="C59" i="7" s="1"/>
  <c r="B1339" i="5"/>
  <c r="L271" i="7" s="1"/>
  <c r="P2315" i="5"/>
  <c r="J439" i="7" s="1"/>
  <c r="H2606" i="5"/>
  <c r="F515" i="7" s="1"/>
  <c r="B1856" i="5"/>
  <c r="L364" i="7" s="1"/>
  <c r="B1320" i="5"/>
  <c r="B260" i="7" s="1"/>
  <c r="L578" i="5"/>
  <c r="H121" i="7" s="1"/>
  <c r="J1541" i="5"/>
  <c r="G303" i="7" s="1"/>
  <c r="T2388" i="5"/>
  <c r="L460" i="7" s="1"/>
  <c r="B1624" i="5"/>
  <c r="L317" i="7" s="1"/>
  <c r="C1245" i="5"/>
  <c r="C247" i="7" s="1"/>
  <c r="D163" i="5"/>
  <c r="AC165" s="1"/>
  <c r="J7"/>
  <c r="C577"/>
  <c r="C120" i="7" s="1"/>
  <c r="N7" i="5"/>
  <c r="B742"/>
  <c r="L157" i="7" s="1"/>
  <c r="C2315" i="5"/>
  <c r="C439" i="7" s="1"/>
  <c r="F1320" i="5"/>
  <c r="E260" i="7" s="1"/>
  <c r="B378" i="5"/>
  <c r="L77" i="7" s="1"/>
  <c r="B2605" i="5"/>
  <c r="B514" i="7" s="1"/>
  <c r="B1551" i="5"/>
  <c r="L304" i="7" s="1"/>
  <c r="B885" i="5"/>
  <c r="L182" i="7" s="1"/>
  <c r="B2466" i="5"/>
  <c r="B486" i="7" s="1"/>
  <c r="J1689" i="5"/>
  <c r="G331" i="7" s="1"/>
  <c r="B1697" i="5"/>
  <c r="L329" i="7" s="1"/>
  <c r="J576" i="5"/>
  <c r="G119" i="7" s="1"/>
  <c r="V2248" i="5"/>
  <c r="M415" i="7" s="1"/>
  <c r="B1478" i="5"/>
  <c r="L291" i="7" s="1"/>
  <c r="B2122" i="5"/>
  <c r="B401" i="7" s="1"/>
  <c r="F1835" i="5"/>
  <c r="E356" i="7" s="1"/>
  <c r="D1988" i="5"/>
  <c r="D382" i="7" s="1"/>
  <c r="B1243" i="5"/>
  <c r="B245" i="7" s="1"/>
  <c r="B596" i="5"/>
  <c r="L130" i="7" s="1"/>
  <c r="B2677" i="5"/>
  <c r="B534" i="7" s="1"/>
  <c r="H1014" i="5"/>
  <c r="F201" i="7" s="1"/>
  <c r="D797" i="5"/>
  <c r="D161" i="7" s="1"/>
  <c r="U8" i="5"/>
  <c r="H1688"/>
  <c r="F330" i="7" s="1"/>
  <c r="B187" i="5"/>
  <c r="L54" i="7" s="1"/>
  <c r="C1"/>
  <c r="M1" s="1"/>
  <c r="P2456" i="5"/>
  <c r="J476" i="7" s="1"/>
  <c r="L1322" i="5"/>
  <c r="H262" i="7" s="1"/>
  <c r="C290" i="5"/>
  <c r="C58" i="7" s="1"/>
  <c r="L1243" i="5"/>
  <c r="H245" i="7" s="1"/>
  <c r="L1614" i="5"/>
  <c r="H316" i="7" s="1"/>
  <c r="P2455" i="5"/>
  <c r="J475" i="7" s="1"/>
  <c r="B2325" i="5"/>
  <c r="B449" i="7" s="1"/>
  <c r="B1996" i="5"/>
  <c r="B1850"/>
  <c r="L358" i="7" s="1"/>
  <c r="F2123" i="5"/>
  <c r="E402" i="7" s="1"/>
  <c r="B1705" i="5"/>
  <c r="L337" i="7" s="1"/>
  <c r="B1029" i="5"/>
  <c r="L204" i="7" s="1"/>
  <c r="B1932" i="5"/>
  <c r="L376" i="7" s="1"/>
  <c r="B2665" i="5"/>
  <c r="B522" i="7" s="1"/>
  <c r="B2667" i="5"/>
  <c r="B524" i="7" s="1"/>
  <c r="J2316" i="5"/>
  <c r="G440" i="7" s="1"/>
  <c r="B2132" i="5"/>
  <c r="L403" i="7" s="1"/>
  <c r="B2400" i="5"/>
  <c r="C1466"/>
  <c r="C288" i="7" s="1"/>
  <c r="F1614" i="5"/>
  <c r="E316" i="7" s="1"/>
  <c r="F2664" i="5"/>
  <c r="E521" i="7" s="1"/>
  <c r="L2248" i="5"/>
  <c r="H415" i="7" s="1"/>
  <c r="B1107" i="5"/>
  <c r="L219" i="7" s="1"/>
  <c r="C649" i="5"/>
  <c r="C132" i="7" s="1"/>
  <c r="B1925" i="5"/>
  <c r="L369" i="7" s="1"/>
  <c r="F1467" i="5"/>
  <c r="E289" i="7" s="1"/>
  <c r="C12" i="5"/>
  <c r="C9" i="7" s="1"/>
  <c r="B184" i="5"/>
  <c r="L51" i="7" s="1"/>
  <c r="B1702" i="5"/>
  <c r="L334" i="7" s="1"/>
  <c r="B1405" i="5"/>
  <c r="L278" i="7" s="1"/>
  <c r="B1110" i="5"/>
  <c r="L222" i="7" s="1"/>
  <c r="B808" i="5"/>
  <c r="L164" i="7" s="1"/>
  <c r="B491" i="5"/>
  <c r="L97" i="7" s="1"/>
  <c r="B102" i="5"/>
  <c r="L30" i="7" s="1"/>
  <c r="C181" i="5"/>
  <c r="L48" i="7" s="1"/>
  <c r="E498" i="5"/>
  <c r="M104" i="7" s="1"/>
  <c r="T499" i="5"/>
  <c r="B497"/>
  <c r="L103" i="7" s="1"/>
  <c r="B492" i="5"/>
  <c r="L98" i="7" s="1"/>
  <c r="B487" i="5"/>
  <c r="L93" i="7" s="1"/>
  <c r="S474" i="5"/>
  <c r="B1477"/>
  <c r="L290" i="7" s="1"/>
  <c r="B2067" i="5"/>
  <c r="L392" i="7" s="1"/>
  <c r="T2316" i="5"/>
  <c r="L440" i="7" s="1"/>
  <c r="B1539" i="5"/>
  <c r="B301" i="7" s="1"/>
  <c r="B1105" i="5"/>
  <c r="L217" i="7" s="1"/>
  <c r="B2740" i="5"/>
  <c r="B538" i="7" s="1"/>
  <c r="F1688" i="5"/>
  <c r="E330" i="7" s="1"/>
  <c r="H1393" i="5"/>
  <c r="F274" i="7" s="1"/>
  <c r="C2663" i="5"/>
  <c r="C520" i="7" s="1"/>
  <c r="C2123" i="5"/>
  <c r="C402" i="7" s="1"/>
  <c r="H1614" i="5"/>
  <c r="F316" i="7" s="1"/>
  <c r="F1243" i="5"/>
  <c r="E245" i="7" s="1"/>
  <c r="F2122" i="5"/>
  <c r="E401" i="7" s="1"/>
  <c r="E2245" i="5"/>
  <c r="F413" i="7" s="1"/>
  <c r="B1024" i="5"/>
  <c r="B2249"/>
  <c r="B416" i="7" s="1"/>
  <c r="H870" i="5"/>
  <c r="F175" i="7" s="1"/>
  <c r="D1615" i="5"/>
  <c r="D317" i="7" s="1"/>
  <c r="B1782" i="5"/>
  <c r="L354" i="7" s="1"/>
  <c r="E1934" i="5"/>
  <c r="M378" i="7" s="1"/>
  <c r="D91" i="5"/>
  <c r="D27" i="7" s="1"/>
  <c r="L2189" i="5"/>
  <c r="H410" i="7" s="1"/>
  <c r="B177" i="5"/>
  <c r="L44" i="7" s="1"/>
  <c r="B2135" i="5"/>
  <c r="B381"/>
  <c r="L80" i="7" s="1"/>
  <c r="B2460" i="5"/>
  <c r="B480" i="7" s="1"/>
  <c r="E2" i="5"/>
  <c r="Q8"/>
  <c r="B1700"/>
  <c r="L332" i="7" s="1"/>
  <c r="B172" i="5"/>
  <c r="B1328"/>
  <c r="L260" i="7" s="1"/>
  <c r="B1550" i="5"/>
  <c r="L303" i="7" s="1"/>
  <c r="B740" i="5"/>
  <c r="L155" i="7" s="1"/>
  <c r="B955" i="5"/>
  <c r="L193" i="7" s="1"/>
  <c r="B1625" i="5"/>
  <c r="L318" i="7" s="1"/>
  <c r="E1190" i="5"/>
  <c r="M243" i="7" s="1"/>
  <c r="U2" i="5"/>
  <c r="K2" i="7" s="1"/>
  <c r="C1093" i="5"/>
  <c r="C217" i="7" s="1"/>
  <c r="C1688" i="5"/>
  <c r="C330" i="7" s="1"/>
  <c r="B103" i="5"/>
  <c r="L31" i="7" s="1"/>
  <c r="B1265" i="5"/>
  <c r="L256" i="7" s="1"/>
  <c r="C366" i="5"/>
  <c r="C72" i="7" s="1"/>
  <c r="B1560" i="5"/>
  <c r="L313" i="7" s="1"/>
  <c r="B1701" i="5"/>
  <c r="L333" i="7" s="1"/>
  <c r="B27" i="5"/>
  <c r="L12" i="7" s="1"/>
  <c r="B1849" i="5"/>
  <c r="L357" i="7" s="1"/>
  <c r="V7" i="5"/>
  <c r="B1170"/>
  <c r="B231" i="7" s="1"/>
  <c r="B1703" i="5"/>
  <c r="L335" i="7" s="1"/>
  <c r="B809" i="5"/>
  <c r="L165" i="7" s="1"/>
  <c r="B1187" i="5"/>
  <c r="L240" i="7" s="1"/>
  <c r="H651" i="5"/>
  <c r="F134" i="7" s="1"/>
  <c r="B1329" i="5"/>
  <c r="L261" i="7" s="1"/>
  <c r="B2254" i="5"/>
  <c r="B421" i="7" s="1"/>
  <c r="B1557" i="5"/>
  <c r="L310" i="7" s="1"/>
  <c r="U5" i="5"/>
  <c r="K4" i="7" s="1"/>
  <c r="B2318" i="5"/>
  <c r="B442" i="7" s="1"/>
  <c r="F795" i="5"/>
  <c r="E159" i="7" s="1"/>
  <c r="B1261" i="5"/>
  <c r="L252" i="7" s="1"/>
  <c r="B2458" i="5"/>
  <c r="B478" i="7" s="1"/>
  <c r="H2055" i="5"/>
  <c r="F391" i="7" s="1"/>
  <c r="J577" i="5"/>
  <c r="G120" i="7" s="1"/>
  <c r="B309" i="5"/>
  <c r="L66" i="7" s="1"/>
  <c r="F941" i="5"/>
  <c r="E187" i="7" s="1"/>
  <c r="B37" i="5"/>
  <c r="L22" i="7" s="1"/>
  <c r="B736" i="5"/>
  <c r="L151" i="7" s="1"/>
  <c r="E2327" i="5"/>
  <c r="D451" i="7" s="1"/>
  <c r="E961" i="5"/>
  <c r="M199" i="7" s="1"/>
  <c r="E384" i="5"/>
  <c r="M83" i="7" s="1"/>
  <c r="F1613" i="5"/>
  <c r="E315" i="7" s="1"/>
  <c r="B1776" i="5"/>
  <c r="L348" i="7" s="1"/>
  <c r="D2606" i="5"/>
  <c r="D515" i="7" s="1"/>
  <c r="B1482" i="5"/>
  <c r="L295" i="7" s="1"/>
  <c r="B803" i="5"/>
  <c r="L159" i="7" s="1"/>
  <c r="D1093" i="5"/>
  <c r="D217" i="7" s="1"/>
  <c r="B669" i="5"/>
  <c r="L143" i="7" s="1"/>
  <c r="D2123" i="5"/>
  <c r="D402" i="7" s="1"/>
  <c r="B1326" i="5"/>
  <c r="B1859"/>
  <c r="L367" i="7" s="1"/>
  <c r="B2190" i="5"/>
  <c r="B411" i="7" s="1"/>
  <c r="E1781" i="5"/>
  <c r="M353" i="7" s="1"/>
  <c r="B1182" i="5"/>
  <c r="L235" i="7" s="1"/>
  <c r="B1033" i="5"/>
  <c r="L208" i="7" s="1"/>
  <c r="B1180" i="5"/>
  <c r="L233" i="7" s="1"/>
  <c r="H943" i="5"/>
  <c r="F189" i="7" s="1"/>
  <c r="H2316" i="5"/>
  <c r="F440" i="7" s="1"/>
  <c r="J869" i="5"/>
  <c r="G174" i="7" s="1"/>
  <c r="C1988" i="5"/>
  <c r="C382" i="7" s="1"/>
  <c r="D1835" i="5"/>
  <c r="D356" i="7" s="1"/>
  <c r="L1613" i="5"/>
  <c r="H315" i="7" s="1"/>
  <c r="B2395" i="5"/>
  <c r="B467" i="7" s="1"/>
  <c r="B1027" i="5"/>
  <c r="L202" i="7" s="1"/>
  <c r="J2188" i="5"/>
  <c r="G409" i="7" s="1"/>
  <c r="B815" i="5"/>
  <c r="L171" i="7" s="1"/>
  <c r="H1687" i="5"/>
  <c r="F329" i="7" s="1"/>
  <c r="J1687" i="5"/>
  <c r="G329" i="7" s="1"/>
  <c r="F649" i="5"/>
  <c r="E132" i="7" s="1"/>
  <c r="B313" i="5"/>
  <c r="L70" i="7" s="1"/>
  <c r="E1267" i="5"/>
  <c r="M258" i="7" s="1"/>
  <c r="H2455" i="5"/>
  <c r="F475" i="7" s="1"/>
  <c r="B1257" i="5"/>
  <c r="L248" i="7" s="1"/>
  <c r="H2124" i="5"/>
  <c r="F403" i="7" s="1"/>
  <c r="D2739" i="5"/>
  <c r="D537" i="7" s="1"/>
  <c r="H1541" i="5"/>
  <c r="F303" i="7" s="1"/>
  <c r="L2315" i="5"/>
  <c r="H439" i="7" s="1"/>
  <c r="B2464" i="5"/>
  <c r="B484" i="7" s="1"/>
  <c r="T2248" i="5"/>
  <c r="L415" i="7" s="1"/>
  <c r="P2316" i="5"/>
  <c r="J440" i="7" s="1"/>
  <c r="C1912" i="5"/>
  <c r="C369" i="7" s="1"/>
  <c r="B2670" i="5"/>
  <c r="B527" i="7" s="1"/>
  <c r="C2664" i="5"/>
  <c r="C521" i="7" s="1"/>
  <c r="B107" i="5"/>
  <c r="L35" i="7" s="1"/>
  <c r="B2391" i="5"/>
  <c r="B463" i="7" s="1"/>
  <c r="B1706" i="5"/>
  <c r="L338" i="7" s="1"/>
  <c r="H869" i="5"/>
  <c r="F174" i="7" s="1"/>
  <c r="D1764" i="5"/>
  <c r="D345" i="7" s="1"/>
  <c r="L1688" i="5"/>
  <c r="H330" i="7" s="1"/>
  <c r="H578" i="5"/>
  <c r="F121" i="7" s="1"/>
  <c r="B576" i="5"/>
  <c r="B119" i="7" s="1"/>
  <c r="H2247" i="5"/>
  <c r="F414" i="7" s="1"/>
  <c r="B1406" i="5"/>
  <c r="L279" i="7" s="1"/>
  <c r="H1170" i="5"/>
  <c r="F231" i="7" s="1"/>
  <c r="B1102" i="5"/>
  <c r="W8"/>
  <c r="H942"/>
  <c r="F188" i="7" s="1"/>
  <c r="B1483" i="5"/>
  <c r="L296" i="7" s="1"/>
  <c r="B33" i="5"/>
  <c r="L18" i="7" s="1"/>
  <c r="D164" i="5"/>
  <c r="D42" i="7" s="1"/>
  <c r="F1912" i="5"/>
  <c r="E369" i="7" s="1"/>
  <c r="B2672" i="5"/>
  <c r="B529" i="7" s="1"/>
  <c r="D366" i="5"/>
  <c r="D72" i="7" s="1"/>
  <c r="H1092" i="5"/>
  <c r="F216" i="7" s="1"/>
  <c r="H1466" i="5"/>
  <c r="F288" i="7" s="1"/>
  <c r="L1539" i="5"/>
  <c r="H301" i="7" s="1"/>
  <c r="B2513" i="5"/>
  <c r="B490" i="7" s="1"/>
  <c r="B1559" i="5"/>
  <c r="L312" i="7" s="1"/>
  <c r="L650" i="5"/>
  <c r="H133" i="7" s="1"/>
  <c r="B1486" i="5"/>
  <c r="L299" i="7" s="1"/>
  <c r="D942" i="5"/>
  <c r="D188" i="7" s="1"/>
  <c r="B1039" i="5"/>
  <c r="L214" i="7" s="1"/>
  <c r="P2247" i="5"/>
  <c r="J414" i="7" s="1"/>
  <c r="C2456" i="5"/>
  <c r="C476" i="7" s="1"/>
  <c r="B2801" i="5"/>
  <c r="B551" i="7" s="1"/>
  <c r="B1113" i="5"/>
  <c r="L225" i="7" s="1"/>
  <c r="L576" i="5"/>
  <c r="H119" i="7" s="1"/>
  <c r="J797" i="5"/>
  <c r="G161" i="7" s="1"/>
  <c r="B99" i="5"/>
  <c r="L27" i="7" s="1"/>
  <c r="B1472" i="5"/>
  <c r="D2189"/>
  <c r="D410" i="7" s="1"/>
  <c r="J1393" i="5"/>
  <c r="G274" i="7" s="1"/>
  <c r="C1171" i="5"/>
  <c r="C232" i="7" s="1"/>
  <c r="B670" i="5"/>
  <c r="L144" i="7" s="1"/>
  <c r="H1913" i="5"/>
  <c r="F370" i="7" s="1"/>
  <c r="B1409" i="5"/>
  <c r="L282" i="7" s="1"/>
  <c r="F290" i="5"/>
  <c r="E58" i="7" s="1"/>
  <c r="B953" i="5"/>
  <c r="L191" i="7" s="1"/>
  <c r="B376" i="5"/>
  <c r="L75" i="7" s="1"/>
  <c r="B814" i="5"/>
  <c r="L170" i="7" s="1"/>
  <c r="D1170" i="5"/>
  <c r="D231" i="7" s="1"/>
  <c r="D2188" i="5"/>
  <c r="D409" i="7" s="1"/>
  <c r="D941" i="5"/>
  <c r="D187" i="7" s="1"/>
  <c r="B2192" i="5"/>
  <c r="D1320"/>
  <c r="D260" i="7" s="1"/>
  <c r="D2315" i="5"/>
  <c r="D439" i="7" s="1"/>
  <c r="D795" i="5"/>
  <c r="D159" i="7" s="1"/>
  <c r="B1556" i="5"/>
  <c r="L309" i="7" s="1"/>
  <c r="B1410" i="5"/>
  <c r="L283" i="7" s="1"/>
  <c r="C2132" i="5"/>
  <c r="C1322"/>
  <c r="C262" i="7" s="1"/>
  <c r="H1392" i="5"/>
  <c r="F273" i="7" s="1"/>
  <c r="J1913" i="5"/>
  <c r="G370" i="7" s="1"/>
  <c r="L724" i="5"/>
  <c r="H147" i="7" s="1"/>
  <c r="C91" i="5"/>
  <c r="C27" i="7" s="1"/>
  <c r="B2328" i="5"/>
  <c r="B452" i="7" s="1"/>
  <c r="B2510" i="5"/>
  <c r="B506" i="7" s="1"/>
  <c r="J1615" i="5"/>
  <c r="G317" i="7" s="1"/>
  <c r="J795" i="5"/>
  <c r="G159" i="7" s="1"/>
  <c r="B2461" i="5"/>
  <c r="B481" i="7" s="1"/>
  <c r="C2605" i="5"/>
  <c r="C514" i="7" s="1"/>
  <c r="B656" i="5"/>
  <c r="B2327"/>
  <c r="B451" i="7" s="1"/>
  <c r="H289" i="5"/>
  <c r="AE291" s="1"/>
  <c r="B2002"/>
  <c r="L385" i="7" s="1"/>
  <c r="E1634" i="5"/>
  <c r="M327" i="7" s="1"/>
  <c r="L2387" i="5"/>
  <c r="H459" i="7" s="1"/>
  <c r="B664" i="5"/>
  <c r="L138" i="7" s="1"/>
  <c r="F1541" i="5"/>
  <c r="E303" i="7" s="1"/>
  <c r="B1104" i="5"/>
  <c r="L216" i="7" s="1"/>
  <c r="F725" i="5"/>
  <c r="E148" i="7" s="1"/>
  <c r="E1339" i="5"/>
  <c r="M271" i="7" s="1"/>
  <c r="E186" i="5"/>
  <c r="M53" i="7" s="1"/>
  <c r="B2255" i="5"/>
  <c r="B422" i="7" s="1"/>
  <c r="H723" i="5"/>
  <c r="F146" i="7" s="1"/>
  <c r="H2664" i="5"/>
  <c r="F521" i="7" s="1"/>
  <c r="B811" i="5"/>
  <c r="L167" i="7" s="1"/>
  <c r="B7" i="5"/>
  <c r="C1393"/>
  <c r="C274" i="7" s="1"/>
  <c r="H1243" i="5"/>
  <c r="F245" i="7" s="1"/>
  <c r="B959" i="5"/>
  <c r="L197" i="7" s="1"/>
  <c r="E1858" i="5"/>
  <c r="M366" i="7" s="1"/>
  <c r="L868" i="5"/>
  <c r="H173" i="7" s="1"/>
  <c r="B2393" i="5"/>
  <c r="B465" i="7" s="1"/>
  <c r="C90" i="5"/>
  <c r="C26" i="7" s="1"/>
  <c r="F1837" i="5"/>
  <c r="E358" i="7" s="1"/>
  <c r="B2666" i="5"/>
  <c r="B523" i="7" s="1"/>
  <c r="B1851" i="5"/>
  <c r="L359" i="7" s="1"/>
  <c r="B659" i="5"/>
  <c r="L133" i="7" s="1"/>
  <c r="P2388" i="5"/>
  <c r="J460" i="7" s="1"/>
  <c r="B2390" i="5"/>
  <c r="B462" i="7" s="1"/>
  <c r="B2257" i="5"/>
  <c r="B424" i="7" s="1"/>
  <c r="D1394" i="5"/>
  <c r="D275" i="7" s="1"/>
  <c r="B303" i="5"/>
  <c r="L60" i="7" s="1"/>
  <c r="F164" i="5"/>
  <c r="E42" i="7" s="1"/>
  <c r="H164" i="5"/>
  <c r="F42" i="7" s="1"/>
  <c r="E1039" i="5"/>
  <c r="M214" i="7" s="1"/>
  <c r="B880" i="5"/>
  <c r="L177" i="7" s="1"/>
  <c r="D12" i="5"/>
  <c r="D9" i="7" s="1"/>
  <c r="B1628" i="5"/>
  <c r="L321" i="7" s="1"/>
  <c r="D1688" i="5"/>
  <c r="D330" i="7" s="1"/>
  <c r="L2388" i="5"/>
  <c r="H460" i="7" s="1"/>
  <c r="B1771" i="5"/>
  <c r="L343" i="7" s="1"/>
  <c r="B384" i="5"/>
  <c r="L83" i="7" s="1"/>
  <c r="C1989" i="5"/>
  <c r="C383" i="7" s="1"/>
  <c r="D1836" i="5"/>
  <c r="D357" i="7" s="1"/>
  <c r="F2606" i="5"/>
  <c r="E515" i="7" s="1"/>
  <c r="J2248" i="5"/>
  <c r="G415" i="7" s="1"/>
  <c r="L1016" i="5"/>
  <c r="H203" i="7" s="1"/>
  <c r="F2388" i="5"/>
  <c r="E460" i="7" s="1"/>
  <c r="F1914" i="5"/>
  <c r="E371" i="7" s="1"/>
  <c r="C2606" i="5"/>
  <c r="C515" i="7" s="1"/>
  <c r="M8" i="5"/>
  <c r="T2247"/>
  <c r="L414" i="7" s="1"/>
  <c r="J1613" i="5"/>
  <c r="G315" i="7" s="1"/>
  <c r="T2315" i="5"/>
  <c r="L439" i="7" s="1"/>
  <c r="B1780" i="5"/>
  <c r="L352" i="7" s="1"/>
  <c r="B12" i="5"/>
  <c r="B9" i="7" s="1"/>
  <c r="H725" i="5"/>
  <c r="F148" i="7" s="1"/>
  <c r="L1172" i="5"/>
  <c r="H233" i="7" s="1"/>
  <c r="E4" i="5"/>
  <c r="D3" i="7" s="1"/>
  <c r="D6" s="1"/>
  <c r="B1928" i="5"/>
  <c r="L372" i="7" s="1"/>
  <c r="B1627" i="5"/>
  <c r="L320" i="7" s="1"/>
  <c r="B1332" i="5"/>
  <c r="L264" i="7" s="1"/>
  <c r="B1032" i="5"/>
  <c r="L207" i="7" s="1"/>
  <c r="B735" i="5"/>
  <c r="L150" i="7" s="1"/>
  <c r="B377" i="5"/>
  <c r="L76" i="7" s="1"/>
  <c r="C104" i="5"/>
  <c r="L32" i="7" s="1"/>
  <c r="B1181" i="5"/>
  <c r="L234" i="7" s="1"/>
  <c r="C476" i="5"/>
  <c r="C93" i="7" s="1"/>
  <c r="B498" i="5"/>
  <c r="L104" i="7" s="1"/>
  <c r="B494" i="5"/>
  <c r="L100" i="7" s="1"/>
  <c r="B488" i="5"/>
  <c r="L94" i="7" s="1"/>
  <c r="D476" i="5"/>
  <c r="D93" i="7" s="1"/>
  <c r="B476" i="5"/>
  <c r="B93" i="7" s="1"/>
  <c r="B952" i="5"/>
  <c r="L190" i="7" s="1"/>
  <c r="B1258" i="5"/>
  <c r="L249" i="7" s="1"/>
  <c r="B1254" i="5"/>
  <c r="L245" i="7" s="1"/>
  <c r="C795" i="5"/>
  <c r="C159" i="7" s="1"/>
  <c r="F1093" i="5"/>
  <c r="E217" i="7" s="1"/>
  <c r="H2456" i="5"/>
  <c r="F476" i="7" s="1"/>
  <c r="B662" i="5"/>
  <c r="L136" i="7" s="1"/>
  <c r="B1835" i="5"/>
  <c r="B356" i="7" s="1"/>
  <c r="B90" i="5"/>
  <c r="B26" i="7" s="1"/>
  <c r="B1620" i="5"/>
  <c r="H868"/>
  <c r="F173" i="7" s="1"/>
  <c r="C650" i="5"/>
  <c r="C133" i="7" s="1"/>
  <c r="B723" i="5"/>
  <c r="B146" i="7" s="1"/>
  <c r="B2462" i="5"/>
  <c r="B482" i="7" s="1"/>
  <c r="F12" i="5"/>
  <c r="AD14" s="1"/>
  <c r="H1837"/>
  <c r="F358" i="7" s="1"/>
  <c r="B1330" i="5"/>
  <c r="L262" i="7" s="1"/>
  <c r="P2248" i="5"/>
  <c r="J415" i="7" s="1"/>
  <c r="B1398" i="5"/>
  <c r="B658"/>
  <c r="L132" i="7" s="1"/>
  <c r="B1408" i="5"/>
  <c r="L281" i="7" s="1"/>
  <c r="B1092" i="5"/>
  <c r="B216" i="7" s="1"/>
  <c r="H2123" i="5"/>
  <c r="F402" i="7" s="1"/>
  <c r="D1322" i="5"/>
  <c r="D262" i="7" s="1"/>
  <c r="C2135" i="5"/>
  <c r="B2055"/>
  <c r="B391" i="7" s="1"/>
  <c r="C13" i="5"/>
  <c r="C10" i="7" s="1"/>
  <c r="H650" i="5"/>
  <c r="F133" i="7" s="1"/>
  <c r="J724" i="5"/>
  <c r="G147" i="7" s="1"/>
  <c r="B957" i="5"/>
  <c r="L195" i="7" s="1"/>
  <c r="F2057" i="5"/>
  <c r="E393" i="7" s="1"/>
  <c r="C2387" i="5"/>
  <c r="C459" i="7" s="1"/>
  <c r="D1245" i="5"/>
  <c r="D247" i="7" s="1"/>
  <c r="C1764" i="5"/>
  <c r="C345" i="7" s="1"/>
  <c r="B884" i="5"/>
  <c r="L181" i="7" s="1"/>
  <c r="B1929" i="5"/>
  <c r="L373" i="7" s="1"/>
  <c r="J941" i="5"/>
  <c r="G187" i="7" s="1"/>
  <c r="F578" i="5"/>
  <c r="E121" i="7" s="1"/>
  <c r="B98" i="5"/>
  <c r="L26" i="7" s="1"/>
  <c r="H1320" i="5"/>
  <c r="F260" i="7" s="1"/>
  <c r="B1554" i="5"/>
  <c r="L307" i="7" s="1"/>
  <c r="N2248" i="5"/>
  <c r="I415" i="7" s="1"/>
  <c r="B2001" i="5"/>
  <c r="L384" i="7" s="1"/>
  <c r="B868" i="5"/>
  <c r="B173" i="7" s="1"/>
  <c r="B1848" i="5"/>
  <c r="L356" i="7" s="1"/>
  <c r="B2743" i="5"/>
  <c r="B541" i="7" s="1"/>
  <c r="B2387" i="5"/>
  <c r="B459" i="7" s="1"/>
  <c r="B1264" i="5"/>
  <c r="L255" i="7" s="1"/>
  <c r="C1615" i="5"/>
  <c r="C317" i="7" s="1"/>
  <c r="B593" i="5"/>
  <c r="L127" i="7" s="1"/>
  <c r="H2387" i="5"/>
  <c r="F459" i="7" s="1"/>
  <c r="B1695" i="5"/>
  <c r="E1772"/>
  <c r="M344" i="7" s="1"/>
  <c r="C2455" i="5"/>
  <c r="C475" i="7" s="1"/>
  <c r="B660" i="5"/>
  <c r="L134" i="7" s="1"/>
  <c r="J1836" i="5"/>
  <c r="G357" i="7" s="1"/>
  <c r="B592" i="5"/>
  <c r="L126" i="7" s="1"/>
  <c r="B175" i="5"/>
  <c r="L42" i="7" s="1"/>
  <c r="L577" i="5"/>
  <c r="H120" i="7" s="1"/>
  <c r="D1837" i="5"/>
  <c r="D358" i="7" s="1"/>
  <c r="B1998" i="5"/>
  <c r="L381" i="7" s="1"/>
  <c r="B731" i="5"/>
  <c r="L146" i="7" s="1"/>
  <c r="B1186" i="5"/>
  <c r="L239" i="7" s="1"/>
  <c r="C1092" i="5"/>
  <c r="C216" i="7" s="1"/>
  <c r="L2247" i="5"/>
  <c r="H414" i="7" s="1"/>
  <c r="B590" i="5"/>
  <c r="L124" i="7" s="1"/>
  <c r="C2247" i="5"/>
  <c r="C414" i="7" s="1"/>
  <c r="B2457" i="5"/>
  <c r="B477" i="7" s="1"/>
  <c r="D869" i="5"/>
  <c r="D174" i="7" s="1"/>
  <c r="L1245" i="5"/>
  <c r="H247" i="7" s="1"/>
  <c r="F942" i="5"/>
  <c r="E188" i="7" s="1"/>
  <c r="B1769" i="5"/>
  <c r="U4"/>
  <c r="K3" i="7" s="1"/>
  <c r="F797" i="5"/>
  <c r="E161" i="7" s="1"/>
  <c r="B2396" i="5"/>
  <c r="B468" i="7" s="1"/>
  <c r="C2248" i="5"/>
  <c r="C415" i="7" s="1"/>
  <c r="B2324" i="5"/>
  <c r="B448" i="7" s="1"/>
  <c r="C1014" i="5"/>
  <c r="C201" i="7" s="1"/>
  <c r="B1709" i="5"/>
  <c r="L341" i="7" s="1"/>
  <c r="F2248" i="5"/>
  <c r="E415" i="7" s="1"/>
  <c r="B951" i="5"/>
  <c r="L189" i="7" s="1"/>
  <c r="B2322" i="5"/>
  <c r="B446" i="7" s="1"/>
  <c r="F2055" i="5"/>
  <c r="E391" i="7" s="1"/>
  <c r="B950" i="5"/>
  <c r="L188" i="7" s="1"/>
  <c r="B1109" i="5"/>
  <c r="L221" i="7" s="1"/>
  <c r="F1615" i="5"/>
  <c r="E317" i="7" s="1"/>
  <c r="J649" i="5"/>
  <c r="G132" i="7" s="1"/>
  <c r="B1031" i="5"/>
  <c r="L206" i="7" s="1"/>
  <c r="C1614" i="5"/>
  <c r="C316" i="7" s="1"/>
  <c r="L2456" i="5"/>
  <c r="H476" i="7" s="1"/>
  <c r="C1763" i="5"/>
  <c r="C344" i="7" s="1"/>
  <c r="B26" i="5"/>
  <c r="L11" i="7" s="1"/>
  <c r="F1394" i="5"/>
  <c r="E275" i="7" s="1"/>
  <c r="D1913" i="5"/>
  <c r="D370" i="7" s="1"/>
  <c r="E596" i="5"/>
  <c r="M130" i="7" s="1"/>
  <c r="D870" i="5"/>
  <c r="D175" i="7" s="1"/>
  <c r="J1170" i="5"/>
  <c r="G231" i="7" s="1"/>
  <c r="B1263" i="5"/>
  <c r="L254" i="7" s="1"/>
  <c r="J2189" i="5"/>
  <c r="G410" i="7" s="1"/>
  <c r="F1687" i="5"/>
  <c r="E329" i="7" s="1"/>
  <c r="F2605" i="5"/>
  <c r="E514" i="7" s="1"/>
  <c r="B1475" i="5"/>
  <c r="L288" i="7" s="1"/>
  <c r="B1014" i="5"/>
  <c r="B201" i="7" s="1"/>
  <c r="H2663" i="5"/>
  <c r="F520" i="7" s="1"/>
  <c r="H1912" i="5"/>
  <c r="F369" i="7" s="1"/>
  <c r="E1709" i="5"/>
  <c r="M341" i="7" s="1"/>
  <c r="D7" i="5"/>
  <c r="J1835"/>
  <c r="G356" i="7" s="1"/>
  <c r="B1026" i="5"/>
  <c r="L201" i="7" s="1"/>
  <c r="B1999" i="5"/>
  <c r="L382" i="7" s="1"/>
  <c r="D796" i="5"/>
  <c r="D160" i="7" s="1"/>
  <c r="B1038" i="5"/>
  <c r="L213" i="7" s="1"/>
  <c r="B585" i="5"/>
  <c r="L119" i="7" s="1"/>
  <c r="J1466" i="5"/>
  <c r="G288" i="7" s="1"/>
  <c r="J870" i="5"/>
  <c r="G175" i="7" s="1"/>
  <c r="B366" i="5"/>
  <c r="B72" i="7" s="1"/>
  <c r="C1170" i="5"/>
  <c r="C231" i="7" s="1"/>
  <c r="B1855" i="5"/>
  <c r="L363" i="7" s="1"/>
  <c r="D2057" i="5"/>
  <c r="D393" i="7" s="1"/>
  <c r="B1781" i="5"/>
  <c r="L353" i="7" s="1"/>
  <c r="B1252" i="5"/>
  <c r="B1035"/>
  <c r="L210" i="7" s="1"/>
  <c r="C2686" i="5"/>
  <c r="L525" i="7" s="1"/>
  <c r="H2189" i="5"/>
  <c r="F410" i="7" s="1"/>
  <c r="D1244" i="5"/>
  <c r="D246" i="7" s="1"/>
  <c r="C1541" i="5"/>
  <c r="C303" i="7" s="1"/>
  <c r="L1465" i="5"/>
  <c r="H287" i="7" s="1"/>
  <c r="C1913" i="5"/>
  <c r="C370" i="7" s="1"/>
  <c r="J1244" i="5"/>
  <c r="G246" i="7" s="1"/>
  <c r="J578" i="5"/>
  <c r="G121" i="7" s="1"/>
  <c r="F1244" i="5"/>
  <c r="E246" i="7" s="1"/>
  <c r="D2248" i="5"/>
  <c r="D415" i="7" s="1"/>
  <c r="C1244" i="5"/>
  <c r="C246" i="7" s="1"/>
  <c r="J723" i="5"/>
  <c r="G146" i="7" s="1"/>
  <c r="B958" i="5"/>
  <c r="L196" i="7" s="1"/>
  <c r="D2456" i="5"/>
  <c r="D476" i="7" s="1"/>
  <c r="F1172" i="5"/>
  <c r="E233" i="7" s="1"/>
  <c r="J1614" i="5"/>
  <c r="G316" i="7" s="1"/>
  <c r="D1689" i="5"/>
  <c r="D331" i="7" s="1"/>
  <c r="F2316" i="5"/>
  <c r="E440" i="7" s="1"/>
  <c r="J1465" i="5"/>
  <c r="G287" i="7" s="1"/>
  <c r="C367" i="5"/>
  <c r="C73" i="7" s="1"/>
  <c r="J868" i="5"/>
  <c r="G173" i="7" s="1"/>
  <c r="L2057" i="5"/>
  <c r="H393" i="7" s="1"/>
  <c r="B594" i="5"/>
  <c r="L128" i="7" s="1"/>
  <c r="C1094" i="5"/>
  <c r="C218" i="7" s="1"/>
  <c r="C2685" i="5"/>
  <c r="L524" i="7" s="1"/>
  <c r="C2122" i="5"/>
  <c r="C401" i="7" s="1"/>
  <c r="B1552" i="5"/>
  <c r="L305" i="7" s="1"/>
  <c r="B949" i="5"/>
  <c r="L187" i="7" s="1"/>
  <c r="B2256" i="5"/>
  <c r="B423" i="7" s="1"/>
  <c r="B2131" i="5"/>
  <c r="B2262"/>
  <c r="C427" i="7" s="1"/>
  <c r="B960" i="5"/>
  <c r="L198" i="7" s="1"/>
  <c r="F1015" i="5"/>
  <c r="E202" i="7" s="1"/>
  <c r="D1465" i="5"/>
  <c r="D287" i="7" s="1"/>
  <c r="H1764" i="5"/>
  <c r="F345" i="7" s="1"/>
  <c r="D1243" i="5"/>
  <c r="D245" i="7" s="1"/>
  <c r="B1923" i="5"/>
  <c r="D1687"/>
  <c r="D329" i="7" s="1"/>
  <c r="D1762" i="5"/>
  <c r="D343" i="7" s="1"/>
  <c r="D1092" i="5"/>
  <c r="D216" i="7" s="1"/>
  <c r="J943" i="5"/>
  <c r="G189" i="7" s="1"/>
  <c r="H1914" i="5"/>
  <c r="F371" i="7" s="1"/>
  <c r="J1540" i="5"/>
  <c r="G302" i="7" s="1"/>
  <c r="F1322" i="5"/>
  <c r="E262" i="7" s="1"/>
  <c r="B35" i="5"/>
  <c r="L20" i="7" s="1"/>
  <c r="H2388" i="5"/>
  <c r="F460" i="7" s="1"/>
  <c r="L651" i="5"/>
  <c r="H134" i="7" s="1"/>
  <c r="B2515" i="5"/>
  <c r="B1630"/>
  <c r="L323" i="7" s="1"/>
  <c r="F1171" i="5"/>
  <c r="E232" i="7" s="1"/>
  <c r="V2316" i="5"/>
  <c r="M440" i="7" s="1"/>
  <c r="C576" i="5"/>
  <c r="C119" i="7" s="1"/>
  <c r="J1322" i="5"/>
  <c r="G262" i="7" s="1"/>
  <c r="B2130" i="5"/>
  <c r="L401" i="7" s="1"/>
  <c r="C2316" i="5"/>
  <c r="C440" i="7" s="1"/>
  <c r="B2800" i="5"/>
  <c r="B549" i="7" s="1"/>
  <c r="B1687" i="5"/>
  <c r="B329" i="7" s="1"/>
  <c r="J1394" i="5"/>
  <c r="G275" i="7" s="1"/>
  <c r="D724" i="5"/>
  <c r="D147" i="7" s="1"/>
  <c r="C1392" i="5"/>
  <c r="C273" i="7" s="1"/>
  <c r="B1179" i="5"/>
  <c r="L232" i="7" s="1"/>
  <c r="B1267" i="5"/>
  <c r="L258" i="7" s="1"/>
  <c r="C1613" i="5"/>
  <c r="C315" i="7" s="1"/>
  <c r="J2388" i="5"/>
  <c r="G460" i="7" s="1"/>
  <c r="C1914" i="5"/>
  <c r="C371" i="7" s="1"/>
  <c r="B1484" i="5"/>
  <c r="L297" i="7" s="1"/>
  <c r="B2321" i="5"/>
  <c r="B445" i="7" s="1"/>
  <c r="B311" i="5"/>
  <c r="L68" i="7" s="1"/>
  <c r="L797" i="5"/>
  <c r="H161" i="7" s="1"/>
  <c r="H1613" i="5"/>
  <c r="F315" i="7" s="1"/>
  <c r="B385" i="5"/>
  <c r="L84" i="7" s="1"/>
  <c r="B2402" i="5"/>
  <c r="C472" i="7" s="1"/>
  <c r="B666" i="5"/>
  <c r="L140" i="7" s="1"/>
  <c r="B1476" i="5"/>
  <c r="L289" i="7" s="1"/>
  <c r="L1467" i="5"/>
  <c r="H289" i="7" s="1"/>
  <c r="H1689" i="5"/>
  <c r="F331" i="7" s="1"/>
  <c r="D13" i="5"/>
  <c r="D10" i="7" s="1"/>
  <c r="B1632" i="5"/>
  <c r="L325" i="7" s="1"/>
  <c r="H1245" i="5"/>
  <c r="F247" i="7" s="1"/>
  <c r="E1773" i="5"/>
  <c r="M345" i="7" s="1"/>
  <c r="B176" i="5"/>
  <c r="L43" i="7" s="1"/>
  <c r="B2675" i="5"/>
  <c r="B532" i="7" s="1"/>
  <c r="C1687" i="5"/>
  <c r="C329" i="7" s="1"/>
  <c r="B312" i="5"/>
  <c r="L69" i="7" s="1"/>
  <c r="F1913" i="5"/>
  <c r="E370" i="7" s="1"/>
  <c r="J1539" i="5"/>
  <c r="G301" i="7" s="1"/>
  <c r="F1094" i="5"/>
  <c r="E218" i="7" s="1"/>
  <c r="H2315" i="5"/>
  <c r="F439" i="7" s="1"/>
  <c r="B812" i="5"/>
  <c r="L168" i="7" s="1"/>
  <c r="B101" i="5"/>
  <c r="L29" i="7" s="1"/>
  <c r="D1614" i="5"/>
  <c r="D316" i="7" s="1"/>
  <c r="J1243" i="5"/>
  <c r="G245" i="7" s="1"/>
  <c r="B1411" i="5"/>
  <c r="L284" i="7" s="1"/>
  <c r="B106" i="5"/>
  <c r="L34" i="7" s="1"/>
  <c r="C2684" i="5"/>
  <c r="L523" i="7" s="1"/>
  <c r="B1778" i="5"/>
  <c r="L350" i="7" s="1"/>
  <c r="C1762" i="5"/>
  <c r="C343" i="7" s="1"/>
  <c r="H941" i="5"/>
  <c r="F187" i="7" s="1"/>
  <c r="D2122" i="5"/>
  <c r="D401" i="7" s="1"/>
  <c r="D651" i="5"/>
  <c r="D134" i="7" s="1"/>
  <c r="B186" i="5"/>
  <c r="L53" i="7" s="1"/>
  <c r="B1401" i="5"/>
  <c r="L274" i="7" s="1"/>
  <c r="B947" i="5"/>
  <c r="J1392"/>
  <c r="G273" i="7" s="1"/>
  <c r="F91" i="5"/>
  <c r="E27" i="7" s="1"/>
  <c r="C2681" i="5"/>
  <c r="L520" i="7" s="1"/>
  <c r="B163" i="5"/>
  <c r="B41" i="7" s="1"/>
  <c r="C723" i="5"/>
  <c r="C146" i="7" s="1"/>
  <c r="B1400" i="5"/>
  <c r="L273" i="7" s="1"/>
  <c r="B108" i="5"/>
  <c r="L36" i="7" s="1"/>
  <c r="B729" i="5"/>
  <c r="C1837"/>
  <c r="C358" i="7" s="1"/>
  <c r="L942" i="5"/>
  <c r="H188" i="7" s="1"/>
  <c r="R2316" i="5"/>
  <c r="K440" i="7" s="1"/>
  <c r="H1171" i="5"/>
  <c r="F232" i="7" s="1"/>
  <c r="B36" i="5"/>
  <c r="L21" i="7" s="1"/>
  <c r="C165" i="5"/>
  <c r="C43" i="7" s="1"/>
  <c r="B2332" i="5"/>
  <c r="B2389"/>
  <c r="B461" i="7" s="1"/>
  <c r="L7" i="5"/>
  <c r="L1393"/>
  <c r="H274" i="7" s="1"/>
  <c r="L725" i="5"/>
  <c r="H148" i="7" s="1"/>
  <c r="B1626" i="5"/>
  <c r="L319" i="7" s="1"/>
  <c r="C1320" i="5"/>
  <c r="C260" i="7" s="1"/>
  <c r="H2188" i="5"/>
  <c r="F409" i="7" s="1"/>
  <c r="B1335" i="5"/>
  <c r="L267" i="7" s="1"/>
  <c r="B298" i="5"/>
  <c r="B2064"/>
  <c r="B2681"/>
  <c r="K520" i="7" s="1"/>
  <c r="B1402" i="5"/>
  <c r="L275" i="7" s="1"/>
  <c r="B1779" i="5"/>
  <c r="L351" i="7" s="1"/>
  <c r="B2676" i="5"/>
  <c r="B533" i="7" s="1"/>
  <c r="B371" i="5"/>
  <c r="B382"/>
  <c r="L81" i="7" s="1"/>
  <c r="B2465" i="5"/>
  <c r="B485" i="7" s="1"/>
  <c r="D290" i="5"/>
  <c r="D58" i="7" s="1"/>
  <c r="P2387" i="5"/>
  <c r="J459" i="7" s="1"/>
  <c r="F13" i="5"/>
  <c r="E10" i="7" s="1"/>
  <c r="B375" i="5"/>
  <c r="L74" i="7" s="1"/>
  <c r="E109" i="5"/>
  <c r="M37" i="7" s="1"/>
  <c r="J2663" i="5"/>
  <c r="G520" i="7" s="1"/>
  <c r="D723" i="5"/>
  <c r="D146" i="7" s="1"/>
  <c r="D576" i="5"/>
  <c r="D119" i="7" s="1"/>
  <c r="B300" i="5"/>
  <c r="L57" i="7" s="1"/>
  <c r="B1331" i="5"/>
  <c r="L263" i="7" s="1"/>
  <c r="C1836" i="5"/>
  <c r="C357" i="7" s="1"/>
  <c r="H1321" i="5"/>
  <c r="F261" i="7" s="1"/>
  <c r="B2463" i="5"/>
  <c r="B483" i="7" s="1"/>
  <c r="B2326" i="5"/>
  <c r="B450" i="7" s="1"/>
  <c r="B183" i="5"/>
  <c r="L50" i="7" s="1"/>
  <c r="L649" i="5"/>
  <c r="H132" i="7" s="1"/>
  <c r="D577" i="5"/>
  <c r="D120" i="7" s="1"/>
  <c r="B1857" i="5"/>
  <c r="L365" i="7" s="1"/>
  <c r="D1989" i="5"/>
  <c r="D383" i="7" s="1"/>
  <c r="K8" i="5"/>
  <c r="B2397"/>
  <c r="B469" i="7" s="1"/>
  <c r="D1987" i="5"/>
  <c r="D381" i="7" s="1"/>
  <c r="E1117" i="5"/>
  <c r="M229" i="7" s="1"/>
  <c r="B2066" i="5"/>
  <c r="L391" i="7" s="1"/>
  <c r="B734" i="5"/>
  <c r="L149" i="7" s="1"/>
  <c r="B8" i="5"/>
  <c r="B6" i="7" s="1"/>
  <c r="S8" i="5"/>
  <c r="H1615"/>
  <c r="F317" i="7" s="1"/>
  <c r="D2664" i="5"/>
  <c r="D521" i="7" s="1"/>
  <c r="L2316" i="5"/>
  <c r="H440" i="7" s="1"/>
  <c r="B1623" i="5"/>
  <c r="L316" i="7" s="1"/>
  <c r="B110" i="5"/>
  <c r="L38" i="7" s="1"/>
  <c r="B2798" i="5"/>
  <c r="B546" i="7" s="1"/>
  <c r="C2057" i="5"/>
  <c r="C393" i="7" s="1"/>
  <c r="B2068" i="5"/>
  <c r="L393" i="7" s="1"/>
  <c r="B888" i="5"/>
  <c r="L185" i="7" s="1"/>
  <c r="B109" i="5"/>
  <c r="L37" i="7" s="1"/>
  <c r="B1549" i="5"/>
  <c r="L302" i="7" s="1"/>
  <c r="B1622" i="5"/>
  <c r="L315" i="7" s="1"/>
  <c r="B1116" i="5"/>
  <c r="L228" i="7" s="1"/>
  <c r="D367" i="5"/>
  <c r="D73" i="7" s="1"/>
  <c r="F1393" i="5"/>
  <c r="E274" i="7" s="1"/>
  <c r="C92" i="5"/>
  <c r="C28" i="7" s="1"/>
  <c r="B1036" i="5"/>
  <c r="L211" i="7" s="1"/>
  <c r="B2323" i="5"/>
  <c r="B447" i="7" s="1"/>
  <c r="E1" i="5"/>
  <c r="B495"/>
  <c r="L101" i="7" s="1"/>
  <c r="B29" i="5"/>
  <c r="L14" i="7" s="1"/>
  <c r="B1260" i="5"/>
  <c r="L251" i="7" s="1"/>
  <c r="F651" i="5"/>
  <c r="E134" i="7" s="1"/>
  <c r="F1245" i="5"/>
  <c r="E247" i="7" s="1"/>
  <c r="D2124" i="5"/>
  <c r="D403" i="7" s="1"/>
  <c r="B2247" i="5"/>
  <c r="B414" i="7" s="1"/>
  <c r="B1933" i="5"/>
  <c r="L377" i="7" s="1"/>
  <c r="D650" i="5"/>
  <c r="D133" i="7" s="1"/>
  <c r="F1321" i="5"/>
  <c r="E261" i="7" s="1"/>
  <c r="F163" i="5"/>
  <c r="AD165" s="1"/>
  <c r="H796"/>
  <c r="F160" i="7" s="1"/>
  <c r="L2188" i="5"/>
  <c r="H409" i="7" s="1"/>
  <c r="B2261" i="5"/>
  <c r="C426" i="7" s="1"/>
  <c r="N2316" i="5"/>
  <c r="I440" i="7" s="1"/>
  <c r="B2253" i="5"/>
  <c r="B420" i="7" s="1"/>
  <c r="L1540" i="5"/>
  <c r="H302" i="7" s="1"/>
  <c r="B34" i="5"/>
  <c r="L19" i="7" s="1"/>
  <c r="L1394" i="5"/>
  <c r="H275" i="7" s="1"/>
  <c r="L1466" i="5"/>
  <c r="H288" i="7" s="1"/>
  <c r="D1321" i="5"/>
  <c r="D261" i="7" s="1"/>
  <c r="B2330" i="5"/>
  <c r="B454" i="7" s="1"/>
  <c r="R2248" i="5"/>
  <c r="K415" i="7" s="1"/>
  <c r="H163" i="5"/>
  <c r="F41" i="7" s="1"/>
  <c r="B587" i="5"/>
  <c r="L121" i="7" s="1"/>
  <c r="C289" i="5"/>
  <c r="C57" i="7" s="1"/>
  <c r="B2608" i="5"/>
  <c r="B517" i="7" s="1"/>
  <c r="B804" i="5"/>
  <c r="L160" i="7" s="1"/>
  <c r="C1394" i="5"/>
  <c r="C275" i="7" s="1"/>
  <c r="B732" i="5"/>
  <c r="L147" i="7" s="1"/>
  <c r="N2388" i="5"/>
  <c r="I460" i="7" s="1"/>
  <c r="B1762" i="5"/>
  <c r="B343" i="7" s="1"/>
  <c r="D725" i="5"/>
  <c r="D148" i="7" s="1"/>
  <c r="B25" i="5"/>
  <c r="L10" i="7" s="1"/>
  <c r="B1259" i="5"/>
  <c r="L250" i="7" s="1"/>
  <c r="D1172" i="5"/>
  <c r="D233" i="7" s="1"/>
  <c r="B583" i="5"/>
  <c r="V2388"/>
  <c r="M460" i="7" s="1"/>
  <c r="B180" i="5"/>
  <c r="L47" i="7" s="1"/>
  <c r="B887" i="5"/>
  <c r="L184" i="7" s="1"/>
  <c r="B32" i="5"/>
  <c r="L17" i="7" s="1"/>
  <c r="C2131" i="5"/>
  <c r="L402" i="7" s="1"/>
  <c r="E888" i="5"/>
  <c r="M185" i="7" s="1"/>
  <c r="D1540" i="5"/>
  <c r="D302" i="7" s="1"/>
  <c r="B2669" i="5"/>
  <c r="B526" i="7" s="1"/>
  <c r="L796" i="5"/>
  <c r="H160" i="7" s="1"/>
  <c r="B879" i="5"/>
  <c r="L176" i="7" s="1"/>
  <c r="B489" i="5"/>
  <c r="L95" i="7" s="1"/>
  <c r="B30" i="5"/>
  <c r="L15" i="7" s="1"/>
  <c r="B954" i="5"/>
  <c r="L192" i="7" s="1"/>
  <c r="C868" i="5"/>
  <c r="C173" i="7" s="1"/>
  <c r="B738" i="5"/>
  <c r="L153" i="7" s="1"/>
  <c r="B2259" i="5"/>
  <c r="B2741"/>
  <c r="B539" i="7" s="1"/>
  <c r="B1927" i="5"/>
  <c r="L371" i="7" s="1"/>
  <c r="H1394" i="5"/>
  <c r="F275" i="7" s="1"/>
  <c r="B380" i="5"/>
  <c r="L79" i="7" s="1"/>
  <c r="C1015" i="5"/>
  <c r="C202" i="7" s="1"/>
  <c r="F869" i="5"/>
  <c r="E174" i="7" s="1"/>
  <c r="B1188" i="5"/>
  <c r="L241" i="7" s="1"/>
  <c r="B1548" i="5"/>
  <c r="L301" i="7" s="1"/>
  <c r="J2606" i="5"/>
  <c r="G515" i="7" s="1"/>
  <c r="H724" i="5"/>
  <c r="F147" i="7" s="1"/>
  <c r="B182" i="5"/>
  <c r="L49" i="7" s="1"/>
  <c r="B2000" i="5"/>
  <c r="L383" i="7" s="1"/>
  <c r="L2055" i="5"/>
  <c r="H391" i="7" s="1"/>
  <c r="B733" i="5"/>
  <c r="L148" i="7" s="1"/>
  <c r="C1467" i="5"/>
  <c r="C289" i="7" s="1"/>
  <c r="J2664" i="5"/>
  <c r="G521" i="7" s="1"/>
  <c r="D1914" i="5"/>
  <c r="D371" i="7" s="1"/>
  <c r="L2663" i="5"/>
  <c r="H520" i="7" s="1"/>
  <c r="D1392" i="5"/>
  <c r="D273" i="7" s="1"/>
  <c r="D1539" i="5"/>
  <c r="D301" i="7" s="1"/>
  <c r="L1015" i="5"/>
  <c r="H202" i="7" s="1"/>
  <c r="F289" i="5"/>
  <c r="AD291" s="1"/>
  <c r="L1094"/>
  <c r="H218" i="7" s="1"/>
  <c r="F1465" i="5"/>
  <c r="E287" i="7" s="1"/>
  <c r="C725" i="5"/>
  <c r="C148" i="7" s="1"/>
  <c r="H290" i="5"/>
  <c r="F58" i="7" s="1"/>
  <c r="F870" i="5"/>
  <c r="E175" i="7" s="1"/>
  <c r="J1093" i="5"/>
  <c r="G217" i="7" s="1"/>
  <c r="J651" i="5"/>
  <c r="G134" i="7" s="1"/>
  <c r="J1467" i="5"/>
  <c r="G289" i="7" s="1"/>
  <c r="B1480" i="5"/>
  <c r="L293" i="7" s="1"/>
  <c r="J1171" i="5"/>
  <c r="G232" i="7" s="1"/>
  <c r="D90" i="5"/>
  <c r="D26" i="7" s="1"/>
  <c r="B1699" i="5"/>
  <c r="L331" i="7" s="1"/>
  <c r="B185" i="5"/>
  <c r="L52" i="7" s="1"/>
  <c r="J1914" i="5"/>
  <c r="G371" i="7" s="1"/>
  <c r="C1465" i="5"/>
  <c r="C287" i="7" s="1"/>
  <c r="B2250" i="5"/>
  <c r="B417" i="7" s="1"/>
  <c r="J2055" i="5"/>
  <c r="G391" i="7" s="1"/>
  <c r="E1560" i="5"/>
  <c r="M313" i="7" s="1"/>
  <c r="J650" i="5"/>
  <c r="G133" i="7" s="1"/>
  <c r="E312" i="5"/>
  <c r="M69" i="7" s="1"/>
  <c r="E36" i="5"/>
  <c r="M21" i="7" s="1"/>
  <c r="J1245" i="5"/>
  <c r="G247" i="7" s="1"/>
  <c r="B1336" i="5"/>
  <c r="L268" i="7" s="1"/>
  <c r="E670" i="5"/>
  <c r="M144" i="7" s="1"/>
  <c r="B24" i="5"/>
  <c r="L9" i="7" s="1"/>
  <c r="B2398" i="5"/>
  <c r="B470" i="7" s="1"/>
  <c r="B96" i="5"/>
  <c r="F577"/>
  <c r="E120" i="7" s="1"/>
  <c r="B588" i="5"/>
  <c r="L122" i="7" s="1"/>
  <c r="G8" i="5"/>
  <c r="B2069"/>
  <c r="L394" i="7" s="1"/>
  <c r="J1172" i="5"/>
  <c r="G233" i="7" s="1"/>
  <c r="B374" i="5"/>
  <c r="L73" i="7" s="1"/>
  <c r="B1934" i="5"/>
  <c r="L378" i="7" s="1"/>
  <c r="H1093" i="5"/>
  <c r="F217" i="7" s="1"/>
  <c r="B882" i="5"/>
  <c r="L179" i="7" s="1"/>
  <c r="B2128" i="5"/>
  <c r="O8"/>
  <c r="C2683"/>
  <c r="L522" i="7" s="1"/>
  <c r="B383" i="5"/>
  <c r="L82" i="7" s="1"/>
  <c r="J1912" i="5"/>
  <c r="G369" i="7" s="1"/>
  <c r="D1912" i="5"/>
  <c r="D369" i="7" s="1"/>
  <c r="B2668" i="5"/>
  <c r="B525" i="7" s="1"/>
  <c r="J1837" i="5"/>
  <c r="G358" i="7" s="1"/>
  <c r="F1689" i="5"/>
  <c r="E331" i="7" s="1"/>
  <c r="C943" i="5"/>
  <c r="C189" i="7" s="1"/>
  <c r="D1015" i="5"/>
  <c r="D202" i="7" s="1"/>
  <c r="C869" i="5"/>
  <c r="C174" i="7" s="1"/>
  <c r="F2663" i="5"/>
  <c r="E520" i="7" s="1"/>
  <c r="J1016" i="5"/>
  <c r="G203" i="7" s="1"/>
  <c r="B105" i="5"/>
  <c r="L33" i="7" s="1"/>
  <c r="C2188" i="5"/>
  <c r="C409" i="7" s="1"/>
  <c r="D1613" i="5"/>
  <c r="D315" i="7" s="1"/>
  <c r="B874" i="5"/>
  <c r="H7"/>
  <c r="H1016"/>
  <c r="F203" i="7" s="1"/>
  <c r="H1094" i="5"/>
  <c r="F218" i="7" s="1"/>
  <c r="L1615" i="5"/>
  <c r="H317" i="7" s="1"/>
  <c r="F2188" i="5"/>
  <c r="E409" i="7" s="1"/>
  <c r="B2329" i="5"/>
  <c r="B453" i="7" s="1"/>
  <c r="B886" i="5"/>
  <c r="L183" i="7" s="1"/>
  <c r="B2188" i="5"/>
  <c r="B409" i="7" s="1"/>
  <c r="B1392" i="5"/>
  <c r="B273" i="7" s="1"/>
  <c r="B1613" i="5"/>
  <c r="B315" i="7" s="1"/>
  <c r="B174" i="5"/>
  <c r="L41" i="7" s="1"/>
  <c r="D2388" i="5"/>
  <c r="D460" i="7" s="1"/>
  <c r="J1092" i="5"/>
  <c r="G216" i="7" s="1"/>
  <c r="B668" i="5"/>
  <c r="L142" i="7" s="1"/>
  <c r="F1540" i="5"/>
  <c r="E302" i="7" s="1"/>
  <c r="B1030" i="5"/>
  <c r="L205" i="7" s="1"/>
  <c r="C477" i="5"/>
  <c r="C94" i="7" s="1"/>
  <c r="D477" i="5"/>
  <c r="D94" i="7" s="1"/>
  <c r="B663" i="5"/>
  <c r="L137" i="7" s="1"/>
  <c r="B1852" i="5"/>
  <c r="L360" i="7" s="1"/>
  <c r="T962" i="5"/>
  <c r="T1611"/>
  <c r="T1910"/>
  <c r="T2737"/>
  <c r="T2335"/>
  <c r="T188"/>
  <c r="T2245"/>
  <c r="T1241"/>
  <c r="S2120"/>
  <c r="S88"/>
  <c r="F291"/>
  <c r="E59" i="7" s="1"/>
  <c r="H291" i="5"/>
  <c r="F59" i="7" s="1"/>
  <c r="D291" i="5"/>
  <c r="D59" i="7" s="1"/>
  <c r="T647" i="5"/>
  <c r="H165"/>
  <c r="F43" i="7" s="1"/>
  <c r="D165" i="5"/>
  <c r="D43" i="7" s="1"/>
  <c r="F165" i="5"/>
  <c r="E43" i="7" s="1"/>
  <c r="I166" i="5"/>
  <c r="F44" i="7" s="1"/>
  <c r="D92" i="5"/>
  <c r="D28" i="7" s="1"/>
  <c r="F92" i="5"/>
  <c r="E28" i="7" s="1"/>
  <c r="G15" i="5"/>
  <c r="E12" i="7" s="1"/>
  <c r="E15" i="5"/>
  <c r="D12" i="7" s="1"/>
  <c r="B2476" i="5"/>
  <c r="C492" i="7" s="1"/>
  <c r="B540" i="5"/>
  <c r="L110" i="7" s="1"/>
  <c r="B536" i="5"/>
  <c r="L106" i="7" s="1"/>
  <c r="E547" i="5"/>
  <c r="M117" i="7" s="1"/>
  <c r="B544" i="5"/>
  <c r="L114" i="7" s="1"/>
  <c r="B534" i="5"/>
  <c r="F527"/>
  <c r="E107" i="7" s="1"/>
  <c r="D527" i="5"/>
  <c r="D107" i="7" s="1"/>
  <c r="C527" i="5"/>
  <c r="C107" i="7" s="1"/>
  <c r="F526" i="5"/>
  <c r="E106" i="7" s="1"/>
  <c r="B543" i="5"/>
  <c r="L113" i="7" s="1"/>
  <c r="D526" i="5"/>
  <c r="D106" i="7" s="1"/>
  <c r="F528" i="5"/>
  <c r="E108" i="7" s="1"/>
  <c r="B546" i="5"/>
  <c r="L116" i="7" s="1"/>
  <c r="D528" i="5"/>
  <c r="D108" i="7" s="1"/>
  <c r="S524" i="5"/>
  <c r="B547"/>
  <c r="L117" i="7" s="1"/>
  <c r="B539" i="5"/>
  <c r="L109" i="7" s="1"/>
  <c r="B538" i="5"/>
  <c r="L108" i="7" s="1"/>
  <c r="C526" i="5"/>
  <c r="C106" i="7" s="1"/>
  <c r="B526" i="5"/>
  <c r="B106" i="7" s="1"/>
  <c r="C528" i="5"/>
  <c r="C108" i="7" s="1"/>
  <c r="B537" i="5"/>
  <c r="L107" i="7" s="1"/>
  <c r="B545" i="5"/>
  <c r="L115" i="7" s="1"/>
  <c r="B541" i="5"/>
  <c r="L111" i="7" s="1"/>
  <c r="H489"/>
  <c r="H508"/>
  <c r="F488"/>
  <c r="F507"/>
  <c r="D490"/>
  <c r="D509"/>
  <c r="D489"/>
  <c r="D508"/>
  <c r="F490"/>
  <c r="F509"/>
  <c r="H490"/>
  <c r="H509"/>
  <c r="W2257" i="5"/>
  <c r="M424" i="7" s="1"/>
  <c r="D488"/>
  <c r="D507"/>
  <c r="F489"/>
  <c r="F508"/>
  <c r="H488"/>
  <c r="H507"/>
  <c r="B2453" i="5"/>
  <c r="T2603" s="1"/>
  <c r="B368" i="7"/>
  <c r="B519"/>
  <c r="B71"/>
  <c r="B1760" i="5"/>
  <c r="T1833" s="1"/>
  <c r="B1985"/>
  <c r="S2053" s="1"/>
  <c r="B118" i="7"/>
  <c r="B8"/>
  <c r="B509"/>
  <c r="B488"/>
  <c r="B507"/>
  <c r="B161" i="5"/>
  <c r="S287" s="1"/>
  <c r="B355" i="7"/>
  <c r="B88" i="5"/>
  <c r="S161" s="1"/>
  <c r="B489" i="7"/>
  <c r="B244"/>
  <c r="B413"/>
  <c r="B2506" i="5"/>
  <c r="B504" i="7" s="1"/>
  <c r="B2502" i="5"/>
  <c r="B500" i="7" s="1"/>
  <c r="B2501" i="5"/>
  <c r="B499" i="7" s="1"/>
  <c r="B2500" i="5"/>
  <c r="B498" i="7" s="1"/>
  <c r="B2505" i="5"/>
  <c r="B503" i="7" s="1"/>
  <c r="B2507" i="5"/>
  <c r="B505" i="7" s="1"/>
  <c r="B2504" i="5"/>
  <c r="B502" i="7" s="1"/>
  <c r="B2503" i="5"/>
  <c r="B501" i="7" s="1"/>
  <c r="B2499" i="5"/>
  <c r="B497" i="7" s="1"/>
  <c r="B2517" i="5"/>
  <c r="C511" i="7" s="1"/>
  <c r="E2313" i="5"/>
  <c r="F438" i="7" s="1"/>
  <c r="E2385" i="5"/>
  <c r="F458" i="7" s="1"/>
  <c r="E2510" i="5"/>
  <c r="T1012"/>
  <c r="T889"/>
  <c r="D1781"/>
  <c r="W2393"/>
  <c r="M465" i="7" s="1"/>
  <c r="W2326" i="5"/>
  <c r="M450" i="7" s="1"/>
  <c r="T2477" i="5"/>
  <c r="B2470"/>
  <c r="E2469"/>
  <c r="D487" i="7" s="1"/>
  <c r="B2471" i="5"/>
  <c r="B2472"/>
  <c r="B2469"/>
  <c r="B2474"/>
  <c r="U1487"/>
  <c r="B300" i="7"/>
  <c r="D41"/>
  <c r="T2795" i="5"/>
  <c r="T1860"/>
  <c r="U1268"/>
  <c r="T1118"/>
  <c r="B230" i="7"/>
  <c r="T866" i="5"/>
  <c r="B158" i="7"/>
  <c r="T1390" i="5"/>
  <c r="T364"/>
  <c r="T2611"/>
  <c r="T721"/>
  <c r="F57" i="7"/>
  <c r="T2136" i="5"/>
  <c r="T386"/>
  <c r="T597"/>
  <c r="S574"/>
  <c r="T314"/>
  <c r="T1191"/>
  <c r="T1318"/>
  <c r="B272" i="7"/>
  <c r="U1340" i="5"/>
  <c r="T1463"/>
  <c r="B286" i="7"/>
  <c r="T1537" i="5"/>
  <c r="U1413"/>
  <c r="T671"/>
  <c r="B145" i="7"/>
  <c r="T793" i="5"/>
  <c r="T2313"/>
  <c r="T2195"/>
  <c r="T2263"/>
  <c r="T2385"/>
  <c r="B172" i="7"/>
  <c r="T816" i="5"/>
  <c r="T939"/>
  <c r="T1040"/>
  <c r="T1168"/>
  <c r="B328" i="7"/>
  <c r="T1760" i="5"/>
  <c r="U1635"/>
  <c r="T2003"/>
  <c r="W2329"/>
  <c r="M453" i="7" s="1"/>
  <c r="T1685" i="5"/>
  <c r="T1935"/>
  <c r="T2687"/>
  <c r="AD2687" s="1"/>
  <c r="AE2687" s="1"/>
  <c r="T2518"/>
  <c r="B438" i="7"/>
  <c r="B314"/>
  <c r="B390"/>
  <c r="U1783" i="5"/>
  <c r="D1773"/>
  <c r="T2453"/>
  <c r="T2186"/>
  <c r="B215" i="7"/>
  <c r="D1772" i="5"/>
  <c r="T1090"/>
  <c r="T2070"/>
  <c r="T2661"/>
  <c r="D109"/>
  <c r="M514" i="7"/>
  <c r="D532"/>
  <c r="C2498" i="5"/>
  <c r="C496" i="7" s="1"/>
  <c r="C2497" i="5"/>
  <c r="C495" i="7" s="1"/>
  <c r="D2497" i="5"/>
  <c r="D495" i="7" s="1"/>
  <c r="E2495" i="5"/>
  <c r="F494" i="7" s="1"/>
  <c r="H2498" i="5"/>
  <c r="F496" i="7" s="1"/>
  <c r="H2497" i="5"/>
  <c r="F495" i="7" s="1"/>
  <c r="T2495" i="5"/>
  <c r="L2498"/>
  <c r="H496" i="7" s="1"/>
  <c r="L2497" i="5"/>
  <c r="H495" i="7" s="1"/>
  <c r="B2497" i="5"/>
  <c r="B495" i="7" s="1"/>
  <c r="D2498" i="5"/>
  <c r="D496" i="7" s="1"/>
  <c r="E26" l="1"/>
  <c r="D57"/>
  <c r="L406"/>
  <c r="T2403" i="5"/>
  <c r="T548"/>
  <c r="B487" i="7"/>
  <c r="S38" i="5"/>
  <c r="AC92"/>
  <c r="E57" i="7"/>
  <c r="AC14" i="5"/>
  <c r="E41" i="7"/>
  <c r="E9"/>
  <c r="AE165" i="5"/>
  <c r="T1710"/>
  <c r="S111"/>
  <c r="D506" i="7"/>
</calcChain>
</file>

<file path=xl/sharedStrings.xml><?xml version="1.0" encoding="utf-8"?>
<sst xmlns="http://schemas.openxmlformats.org/spreadsheetml/2006/main" count="136" uniqueCount="79">
  <si>
    <t>1А</t>
  </si>
  <si>
    <t>2А</t>
  </si>
  <si>
    <t>1Б</t>
  </si>
  <si>
    <t>2Б</t>
  </si>
  <si>
    <t>А</t>
  </si>
  <si>
    <t>Б</t>
  </si>
  <si>
    <t>ENG</t>
  </si>
  <si>
    <t>7.1.</t>
  </si>
  <si>
    <t>5.1.</t>
  </si>
  <si>
    <t>5.2.</t>
  </si>
  <si>
    <t>5.3.</t>
  </si>
  <si>
    <t>7.2.</t>
  </si>
  <si>
    <t>8.1.</t>
  </si>
  <si>
    <t>4.0 - 4.9</t>
  </si>
  <si>
    <t>4.3.</t>
  </si>
  <si>
    <t>3А.3</t>
  </si>
  <si>
    <t>3А.5</t>
  </si>
  <si>
    <t>3.0 - 3.1</t>
  </si>
  <si>
    <t>4.0 - 4.2</t>
  </si>
  <si>
    <t>1.0 - 1.1</t>
  </si>
  <si>
    <t>4.0 - 4.1</t>
  </si>
  <si>
    <t>5.0 - 5.1</t>
  </si>
  <si>
    <t>3.0 - 3.3</t>
  </si>
  <si>
    <t>4.0 - 4.4</t>
  </si>
  <si>
    <t>5.0 - 5.5</t>
  </si>
  <si>
    <t>6.0 - 6.6</t>
  </si>
  <si>
    <t>1.0.</t>
  </si>
  <si>
    <t>7.0 - 7.1</t>
  </si>
  <si>
    <t>2.0 - 2.2</t>
  </si>
  <si>
    <t>2А.0 - 2А.1</t>
  </si>
  <si>
    <t>3А.0 - 3А.2</t>
  </si>
  <si>
    <t>7.0 - 7.2</t>
  </si>
  <si>
    <t>3.0 - 3.6</t>
  </si>
  <si>
    <t>6.0 - 6.1</t>
  </si>
  <si>
    <t>6А.5</t>
  </si>
  <si>
    <t>5А.1 - 5А.3</t>
  </si>
  <si>
    <t>5Б.3</t>
  </si>
  <si>
    <t>3А.1 - 3А.2</t>
  </si>
  <si>
    <t>1.0 - 1.3</t>
  </si>
  <si>
    <t>3.0 - 3.5</t>
  </si>
  <si>
    <t>4.0 - 4.8</t>
  </si>
  <si>
    <t>5.0 - 5.6</t>
  </si>
  <si>
    <t>6.0 - 6.4</t>
  </si>
  <si>
    <t>8.0 - 8.5</t>
  </si>
  <si>
    <t>1.0 - 1.8</t>
  </si>
  <si>
    <t>2.1 - 2.4</t>
  </si>
  <si>
    <t>3.0 - 3.4</t>
  </si>
  <si>
    <t>1.0 - 1.6</t>
  </si>
  <si>
    <t>2.1 - 2.3</t>
  </si>
  <si>
    <t>1.0 - 1.5</t>
  </si>
  <si>
    <t>1.6 - 1.8</t>
  </si>
  <si>
    <t>4.5 - 4.6</t>
  </si>
  <si>
    <t>L1.0 - 1.1</t>
  </si>
  <si>
    <t>L3.0 - 3.2</t>
  </si>
  <si>
    <t>L4.0 - 4.1</t>
  </si>
  <si>
    <t>L5.0 - 5.1</t>
  </si>
  <si>
    <t>L6.0 - 6.1</t>
  </si>
  <si>
    <t>Ціна 1</t>
  </si>
  <si>
    <t>Ціна 2</t>
  </si>
  <si>
    <t>Ціна 3</t>
  </si>
  <si>
    <t>Ціна 4</t>
  </si>
  <si>
    <t>Ціна 5</t>
  </si>
  <si>
    <t>Ціна 6</t>
  </si>
  <si>
    <t>Ціна 7</t>
  </si>
  <si>
    <t>Ціна 8</t>
  </si>
  <si>
    <t>без ПДВ</t>
  </si>
  <si>
    <t>UA</t>
  </si>
  <si>
    <t xml:space="preserve"> </t>
  </si>
  <si>
    <t>Ціна 9</t>
  </si>
  <si>
    <t>Ціна 10</t>
  </si>
  <si>
    <t>1.0-1.1</t>
  </si>
  <si>
    <t>1А.1</t>
  </si>
  <si>
    <t>2.0-2.1</t>
  </si>
  <si>
    <t>2А.1</t>
  </si>
  <si>
    <t>3.0-3.1</t>
  </si>
  <si>
    <t>замок Magnet чорн.</t>
  </si>
  <si>
    <t>Сатин</t>
  </si>
  <si>
    <t>Колір</t>
  </si>
  <si>
    <t>6А.1-6А.0</t>
  </si>
</sst>
</file>

<file path=xl/styles.xml><?xml version="1.0" encoding="utf-8"?>
<styleSheet xmlns="http://schemas.openxmlformats.org/spreadsheetml/2006/main">
  <numFmts count="4">
    <numFmt numFmtId="164" formatCode="0.0"/>
    <numFmt numFmtId="165" formatCode="0.0000"/>
    <numFmt numFmtId="166" formatCode="#,##0.0"/>
    <numFmt numFmtId="167" formatCode="#,##0\ [$грн.-422]"/>
  </numFmts>
  <fonts count="55">
    <font>
      <sz val="10"/>
      <name val="Arial Cyr"/>
      <charset val="204"/>
    </font>
    <font>
      <sz val="10"/>
      <name val="Arial Cyr"/>
      <charset val="204"/>
    </font>
    <font>
      <b/>
      <sz val="8"/>
      <name val="Times New Roman"/>
      <family val="1"/>
      <charset val="204"/>
    </font>
    <font>
      <b/>
      <sz val="10"/>
      <name val="Times New Roman"/>
      <family val="1"/>
      <charset val="204"/>
    </font>
    <font>
      <sz val="9"/>
      <name val="Times New Roman"/>
      <family val="1"/>
      <charset val="204"/>
    </font>
    <font>
      <sz val="8"/>
      <name val="Arial Cyr"/>
      <charset val="204"/>
    </font>
    <font>
      <sz val="8"/>
      <name val="Times New Roman"/>
      <family val="1"/>
      <charset val="204"/>
    </font>
    <font>
      <sz val="7"/>
      <name val="Times New Roman"/>
      <family val="1"/>
      <charset val="204"/>
    </font>
    <font>
      <b/>
      <sz val="10"/>
      <name val="Arial Cyr"/>
      <charset val="204"/>
    </font>
    <font>
      <sz val="8"/>
      <color indexed="9"/>
      <name val="Arial Cyr"/>
      <charset val="204"/>
    </font>
    <font>
      <sz val="10"/>
      <color indexed="9"/>
      <name val="Arial Cyr"/>
      <charset val="204"/>
    </font>
    <font>
      <sz val="8"/>
      <color indexed="22"/>
      <name val="Arial Cyr"/>
      <charset val="204"/>
    </font>
    <font>
      <b/>
      <sz val="10"/>
      <color indexed="17"/>
      <name val="Arial"/>
      <family val="2"/>
      <charset val="204"/>
    </font>
    <font>
      <sz val="8"/>
      <name val="Arial"/>
      <family val="2"/>
      <charset val="204"/>
    </font>
    <font>
      <b/>
      <sz val="10"/>
      <color indexed="17"/>
      <name val="Times New Roman"/>
      <family val="1"/>
      <charset val="204"/>
    </font>
    <font>
      <b/>
      <i/>
      <sz val="10"/>
      <name val="Arial Cyr"/>
      <charset val="204"/>
    </font>
    <font>
      <i/>
      <sz val="8"/>
      <name val="Arial Cyr"/>
      <charset val="204"/>
    </font>
    <font>
      <u/>
      <sz val="8.5"/>
      <color indexed="12"/>
      <name val="Arial Cyr"/>
      <charset val="204"/>
    </font>
    <font>
      <sz val="10"/>
      <name val="Door_Gordana"/>
      <charset val="204"/>
    </font>
    <font>
      <b/>
      <sz val="10"/>
      <name val="Door_Gordana"/>
      <charset val="204"/>
    </font>
    <font>
      <sz val="10"/>
      <name val="Times New Roman"/>
      <family val="1"/>
      <charset val="204"/>
    </font>
    <font>
      <b/>
      <u/>
      <sz val="10"/>
      <color indexed="12"/>
      <name val="Arial Cyr"/>
      <charset val="204"/>
    </font>
    <font>
      <b/>
      <sz val="9"/>
      <color indexed="17"/>
      <name val="Times New Roman"/>
      <family val="1"/>
      <charset val="204"/>
    </font>
    <font>
      <b/>
      <i/>
      <sz val="8"/>
      <color indexed="12"/>
      <name val="Times New Roman"/>
      <family val="1"/>
      <charset val="204"/>
    </font>
    <font>
      <b/>
      <sz val="8"/>
      <name val="Arial"/>
      <family val="2"/>
      <charset val="204"/>
    </font>
    <font>
      <b/>
      <i/>
      <sz val="8"/>
      <name val="Times New Roman"/>
      <family val="1"/>
      <charset val="204"/>
    </font>
    <font>
      <b/>
      <sz val="8"/>
      <name val="Arial Cyr"/>
      <charset val="204"/>
    </font>
    <font>
      <b/>
      <sz val="8"/>
      <color indexed="10"/>
      <name val="Times New Roman"/>
      <family val="1"/>
      <charset val="204"/>
    </font>
    <font>
      <b/>
      <sz val="10"/>
      <color indexed="9"/>
      <name val="Times New Roman"/>
      <family val="1"/>
      <charset val="204"/>
    </font>
    <font>
      <b/>
      <sz val="8"/>
      <color indexed="10"/>
      <name val="Arial"/>
      <family val="2"/>
      <charset val="204"/>
    </font>
    <font>
      <b/>
      <sz val="8"/>
      <color indexed="12"/>
      <name val="Times New Roman"/>
      <family val="1"/>
      <charset val="204"/>
    </font>
    <font>
      <b/>
      <sz val="7"/>
      <color indexed="12"/>
      <name val="Times New Roman"/>
      <family val="1"/>
      <charset val="204"/>
    </font>
    <font>
      <sz val="8"/>
      <color indexed="12"/>
      <name val="Times New Roman"/>
      <family val="1"/>
      <charset val="204"/>
    </font>
    <font>
      <sz val="8"/>
      <color indexed="10"/>
      <name val="Times New Roman"/>
      <family val="1"/>
      <charset val="204"/>
    </font>
    <font>
      <i/>
      <sz val="8"/>
      <color indexed="12"/>
      <name val="Times New Roman"/>
      <family val="1"/>
      <charset val="204"/>
    </font>
    <font>
      <sz val="8"/>
      <color indexed="9"/>
      <name val="Arial"/>
      <family val="2"/>
      <charset val="204"/>
    </font>
    <font>
      <b/>
      <sz val="8"/>
      <color indexed="12"/>
      <name val="Arial"/>
      <family val="2"/>
      <charset val="204"/>
    </font>
    <font>
      <sz val="8"/>
      <color indexed="23"/>
      <name val="Arial Cyr"/>
      <charset val="204"/>
    </font>
    <font>
      <b/>
      <i/>
      <sz val="8"/>
      <color indexed="23"/>
      <name val="Arial Cyr"/>
      <charset val="204"/>
    </font>
    <font>
      <sz val="10"/>
      <color indexed="23"/>
      <name val="Arial Cyr"/>
      <charset val="204"/>
    </font>
    <font>
      <b/>
      <sz val="10"/>
      <color indexed="23"/>
      <name val="Arial Cyr"/>
      <charset val="204"/>
    </font>
    <font>
      <b/>
      <sz val="10"/>
      <color indexed="10"/>
      <name val="Times New Roman"/>
      <family val="1"/>
      <charset val="204"/>
    </font>
    <font>
      <sz val="8"/>
      <color indexed="22"/>
      <name val="Times New Roman"/>
      <family val="1"/>
      <charset val="204"/>
    </font>
    <font>
      <b/>
      <i/>
      <sz val="10"/>
      <name val="Times New Roman"/>
      <family val="1"/>
      <charset val="204"/>
    </font>
    <font>
      <i/>
      <sz val="8"/>
      <color indexed="23"/>
      <name val="Times New Roman"/>
      <family val="1"/>
      <charset val="204"/>
    </font>
    <font>
      <sz val="10"/>
      <color indexed="10"/>
      <name val="Arial Cyr"/>
      <charset val="204"/>
    </font>
    <font>
      <sz val="10"/>
      <color indexed="10"/>
      <name val="Arial"/>
      <family val="2"/>
      <charset val="204"/>
    </font>
    <font>
      <b/>
      <sz val="6"/>
      <name val="Times New Roman"/>
      <family val="1"/>
      <charset val="204"/>
    </font>
    <font>
      <b/>
      <sz val="10"/>
      <color indexed="10"/>
      <name val="Arial Cyr"/>
      <charset val="204"/>
    </font>
    <font>
      <b/>
      <sz val="10"/>
      <color indexed="12"/>
      <name val="Times New Roman"/>
      <family val="1"/>
      <charset val="204"/>
    </font>
    <font>
      <sz val="10"/>
      <color indexed="12"/>
      <name val="Times New Roman"/>
      <family val="1"/>
      <charset val="204"/>
    </font>
    <font>
      <b/>
      <sz val="8"/>
      <color rgb="FFFF0000"/>
      <name val="Arial"/>
      <family val="2"/>
      <charset val="204"/>
    </font>
    <font>
      <sz val="10"/>
      <color rgb="FFFF0000"/>
      <name val="Arial Cyr"/>
      <charset val="204"/>
    </font>
    <font>
      <sz val="8"/>
      <color theme="1"/>
      <name val="Times New Roman"/>
      <family val="1"/>
      <charset val="204"/>
    </font>
    <font>
      <sz val="8"/>
      <color theme="1"/>
      <name val="Arial Cyr"/>
      <charset val="204"/>
    </font>
  </fonts>
  <fills count="1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</fills>
  <borders count="54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17" fillId="0" borderId="0" applyNumberFormat="0" applyFill="0" applyBorder="0" applyAlignment="0" applyProtection="0">
      <alignment vertical="top"/>
      <protection locked="0"/>
    </xf>
    <xf numFmtId="9" fontId="1" fillId="0" borderId="0" applyFont="0" applyFill="0" applyBorder="0" applyAlignment="0" applyProtection="0"/>
  </cellStyleXfs>
  <cellXfs count="597">
    <xf numFmtId="0" fontId="0" fillId="0" borderId="0" xfId="0"/>
    <xf numFmtId="0" fontId="0" fillId="0" borderId="0" xfId="0" applyProtection="1">
      <protection hidden="1"/>
    </xf>
    <xf numFmtId="9" fontId="10" fillId="0" borderId="0" xfId="0" applyNumberFormat="1" applyFont="1" applyProtection="1">
      <protection hidden="1"/>
    </xf>
    <xf numFmtId="0" fontId="10" fillId="2" borderId="0" xfId="0" applyFont="1" applyFill="1" applyProtection="1">
      <protection hidden="1"/>
    </xf>
    <xf numFmtId="0" fontId="9" fillId="0" borderId="0" xfId="0" applyFont="1" applyProtection="1">
      <protection hidden="1"/>
    </xf>
    <xf numFmtId="0" fontId="8" fillId="0" borderId="0" xfId="0" applyFont="1" applyAlignment="1" applyProtection="1">
      <protection hidden="1"/>
    </xf>
    <xf numFmtId="0" fontId="7" fillId="0" borderId="1" xfId="0" applyFont="1" applyBorder="1" applyAlignment="1" applyProtection="1">
      <alignment horizontal="center" wrapText="1"/>
      <protection hidden="1"/>
    </xf>
    <xf numFmtId="0" fontId="7" fillId="3" borderId="2" xfId="0" applyFont="1" applyFill="1" applyBorder="1" applyAlignment="1" applyProtection="1">
      <alignment horizontal="center" wrapText="1"/>
      <protection hidden="1"/>
    </xf>
    <xf numFmtId="0" fontId="0" fillId="0" borderId="0" xfId="0" applyFill="1" applyProtection="1">
      <protection hidden="1"/>
    </xf>
    <xf numFmtId="0" fontId="2" fillId="0" borderId="3" xfId="0" applyFont="1" applyFill="1" applyBorder="1" applyAlignment="1" applyProtection="1">
      <alignment horizontal="center" wrapText="1"/>
      <protection hidden="1"/>
    </xf>
    <xf numFmtId="0" fontId="2" fillId="0" borderId="0" xfId="0" applyFont="1" applyFill="1" applyBorder="1" applyAlignment="1" applyProtection="1">
      <alignment horizontal="center" wrapText="1"/>
      <protection hidden="1"/>
    </xf>
    <xf numFmtId="0" fontId="11" fillId="0" borderId="0" xfId="0" applyFont="1" applyAlignment="1" applyProtection="1">
      <alignment horizontal="center" vertical="center"/>
      <protection hidden="1"/>
    </xf>
    <xf numFmtId="0" fontId="6" fillId="4" borderId="2" xfId="0" applyFont="1" applyFill="1" applyBorder="1" applyAlignment="1" applyProtection="1">
      <alignment horizontal="center" vertical="center" wrapText="1"/>
      <protection hidden="1"/>
    </xf>
    <xf numFmtId="0" fontId="6" fillId="0" borderId="4" xfId="0" applyFont="1" applyBorder="1" applyAlignment="1" applyProtection="1">
      <alignment horizontal="left" vertical="center" indent="2"/>
      <protection hidden="1"/>
    </xf>
    <xf numFmtId="0" fontId="4" fillId="0" borderId="5" xfId="0" applyFont="1" applyBorder="1" applyAlignment="1" applyProtection="1">
      <alignment horizontal="right" vertical="center"/>
      <protection hidden="1"/>
    </xf>
    <xf numFmtId="3" fontId="6" fillId="0" borderId="4" xfId="0" applyNumberFormat="1" applyFont="1" applyBorder="1" applyAlignment="1" applyProtection="1">
      <alignment horizontal="center" vertical="center" wrapText="1"/>
      <protection hidden="1"/>
    </xf>
    <xf numFmtId="0" fontId="6" fillId="0" borderId="6" xfId="0" applyFont="1" applyBorder="1" applyAlignment="1" applyProtection="1">
      <alignment horizontal="left" vertical="center" indent="2"/>
      <protection hidden="1"/>
    </xf>
    <xf numFmtId="0" fontId="4" fillId="0" borderId="7" xfId="0" applyFont="1" applyBorder="1" applyAlignment="1" applyProtection="1">
      <alignment horizontal="right" vertical="center"/>
      <protection hidden="1"/>
    </xf>
    <xf numFmtId="3" fontId="6" fillId="0" borderId="6" xfId="0" applyNumberFormat="1" applyFont="1" applyBorder="1" applyAlignment="1" applyProtection="1">
      <alignment horizontal="center" vertical="center" wrapText="1"/>
      <protection hidden="1"/>
    </xf>
    <xf numFmtId="2" fontId="11" fillId="0" borderId="0" xfId="0" applyNumberFormat="1" applyFont="1" applyAlignment="1" applyProtection="1">
      <alignment horizontal="center" vertical="center"/>
      <protection hidden="1"/>
    </xf>
    <xf numFmtId="4" fontId="0" fillId="0" borderId="0" xfId="0" applyNumberFormat="1" applyProtection="1">
      <protection hidden="1"/>
    </xf>
    <xf numFmtId="4" fontId="5" fillId="0" borderId="0" xfId="0" applyNumberFormat="1" applyFont="1" applyFill="1" applyProtection="1">
      <protection hidden="1"/>
    </xf>
    <xf numFmtId="3" fontId="0" fillId="0" borderId="0" xfId="0" applyNumberFormat="1" applyProtection="1">
      <protection hidden="1"/>
    </xf>
    <xf numFmtId="0" fontId="6" fillId="0" borderId="8" xfId="0" applyFont="1" applyBorder="1" applyAlignment="1" applyProtection="1">
      <alignment horizontal="left" vertical="center" indent="2"/>
      <protection hidden="1"/>
    </xf>
    <xf numFmtId="0" fontId="4" fillId="0" borderId="9" xfId="0" applyFont="1" applyBorder="1" applyAlignment="1" applyProtection="1">
      <alignment horizontal="right" vertical="center"/>
      <protection hidden="1"/>
    </xf>
    <xf numFmtId="3" fontId="6" fillId="0" borderId="8" xfId="0" applyNumberFormat="1" applyFont="1" applyBorder="1" applyAlignment="1" applyProtection="1">
      <alignment horizontal="center" vertical="center" wrapText="1"/>
      <protection hidden="1"/>
    </xf>
    <xf numFmtId="0" fontId="8" fillId="0" borderId="0" xfId="0" applyFont="1" applyAlignment="1" applyProtection="1">
      <alignment horizontal="center"/>
      <protection hidden="1"/>
    </xf>
    <xf numFmtId="0" fontId="15" fillId="0" borderId="0" xfId="0" applyFont="1" applyProtection="1">
      <protection hidden="1"/>
    </xf>
    <xf numFmtId="3" fontId="6" fillId="0" borderId="0" xfId="0" applyNumberFormat="1" applyFont="1" applyFill="1" applyBorder="1" applyAlignment="1" applyProtection="1">
      <alignment horizontal="center" vertical="center" wrapText="1"/>
      <protection hidden="1"/>
    </xf>
    <xf numFmtId="3" fontId="2" fillId="0" borderId="0" xfId="0" applyNumberFormat="1" applyFont="1" applyFill="1" applyBorder="1" applyAlignment="1" applyProtection="1">
      <alignment horizontal="center" vertical="center" wrapText="1"/>
      <protection hidden="1"/>
    </xf>
    <xf numFmtId="2" fontId="0" fillId="0" borderId="0" xfId="0" applyNumberFormat="1" applyProtection="1">
      <protection hidden="1"/>
    </xf>
    <xf numFmtId="0" fontId="20" fillId="0" borderId="0" xfId="0" applyFont="1" applyFill="1" applyProtection="1">
      <protection hidden="1"/>
    </xf>
    <xf numFmtId="0" fontId="18" fillId="0" borderId="0" xfId="0" applyFont="1" applyProtection="1">
      <protection hidden="1"/>
    </xf>
    <xf numFmtId="0" fontId="20" fillId="0" borderId="0" xfId="0" applyFont="1" applyProtection="1">
      <protection hidden="1"/>
    </xf>
    <xf numFmtId="0" fontId="3" fillId="0" borderId="0" xfId="0" applyFont="1" applyAlignment="1" applyProtection="1">
      <alignment horizontal="center"/>
      <protection hidden="1"/>
    </xf>
    <xf numFmtId="0" fontId="3" fillId="0" borderId="0" xfId="0" applyFont="1" applyAlignment="1" applyProtection="1">
      <protection hidden="1"/>
    </xf>
    <xf numFmtId="0" fontId="19" fillId="0" borderId="0" xfId="0" applyFont="1" applyAlignment="1" applyProtection="1">
      <alignment horizontal="center"/>
      <protection hidden="1"/>
    </xf>
    <xf numFmtId="0" fontId="19" fillId="0" borderId="0" xfId="0" applyFont="1" applyAlignment="1" applyProtection="1">
      <protection hidden="1"/>
    </xf>
    <xf numFmtId="0" fontId="0" fillId="0" borderId="0" xfId="0" applyBorder="1" applyProtection="1">
      <protection hidden="1"/>
    </xf>
    <xf numFmtId="0" fontId="8" fillId="0" borderId="0" xfId="0" applyFont="1" applyBorder="1" applyAlignment="1" applyProtection="1">
      <alignment horizontal="center"/>
      <protection hidden="1"/>
    </xf>
    <xf numFmtId="3" fontId="0" fillId="0" borderId="0" xfId="0" applyNumberFormat="1" applyFill="1" applyProtection="1">
      <protection hidden="1"/>
    </xf>
    <xf numFmtId="3" fontId="11" fillId="0" borderId="0" xfId="0" applyNumberFormat="1" applyFont="1" applyAlignment="1" applyProtection="1">
      <alignment horizontal="center" vertical="center"/>
      <protection hidden="1"/>
    </xf>
    <xf numFmtId="3" fontId="8" fillId="0" borderId="0" xfId="0" applyNumberFormat="1" applyFont="1" applyProtection="1">
      <protection hidden="1"/>
    </xf>
    <xf numFmtId="0" fontId="8" fillId="0" borderId="0" xfId="0" applyFont="1" applyFill="1" applyProtection="1">
      <protection hidden="1"/>
    </xf>
    <xf numFmtId="4" fontId="11" fillId="0" borderId="0" xfId="0" applyNumberFormat="1" applyFont="1" applyAlignment="1" applyProtection="1">
      <alignment horizontal="center" vertical="center"/>
      <protection hidden="1"/>
    </xf>
    <xf numFmtId="0" fontId="8" fillId="0" borderId="0" xfId="0" applyFont="1" applyProtection="1">
      <protection hidden="1"/>
    </xf>
    <xf numFmtId="0" fontId="2" fillId="0" borderId="0" xfId="0" applyFont="1" applyFill="1" applyBorder="1" applyAlignment="1" applyProtection="1">
      <alignment vertical="center" wrapText="1"/>
      <protection hidden="1"/>
    </xf>
    <xf numFmtId="0" fontId="6" fillId="0" borderId="0" xfId="0" applyFont="1" applyFill="1" applyBorder="1" applyAlignment="1" applyProtection="1">
      <alignment vertical="center" wrapText="1"/>
      <protection hidden="1"/>
    </xf>
    <xf numFmtId="0" fontId="0" fillId="0" borderId="0" xfId="0" applyFill="1" applyBorder="1" applyProtection="1">
      <protection hidden="1"/>
    </xf>
    <xf numFmtId="0" fontId="6" fillId="0" borderId="1" xfId="0" applyFont="1" applyBorder="1" applyAlignment="1" applyProtection="1">
      <alignment horizontal="left" vertical="center" indent="2"/>
      <protection hidden="1"/>
    </xf>
    <xf numFmtId="0" fontId="4" fillId="0" borderId="2" xfId="0" applyFont="1" applyBorder="1" applyAlignment="1" applyProtection="1">
      <alignment horizontal="center" vertical="center"/>
      <protection hidden="1"/>
    </xf>
    <xf numFmtId="3" fontId="6" fillId="0" borderId="1" xfId="0" applyNumberFormat="1" applyFont="1" applyBorder="1" applyAlignment="1" applyProtection="1">
      <alignment horizontal="center" vertical="center" wrapText="1"/>
      <protection hidden="1"/>
    </xf>
    <xf numFmtId="3" fontId="8" fillId="0" borderId="0" xfId="0" applyNumberFormat="1" applyFont="1" applyFill="1" applyBorder="1" applyProtection="1">
      <protection hidden="1"/>
    </xf>
    <xf numFmtId="3" fontId="6" fillId="0" borderId="10" xfId="0" applyNumberFormat="1" applyFont="1" applyBorder="1" applyAlignment="1" applyProtection="1">
      <alignment horizontal="center" vertical="center" wrapText="1"/>
      <protection hidden="1"/>
    </xf>
    <xf numFmtId="0" fontId="2" fillId="0" borderId="0" xfId="0" applyFont="1" applyFill="1" applyBorder="1" applyAlignment="1" applyProtection="1">
      <alignment horizontal="left"/>
      <protection hidden="1"/>
    </xf>
    <xf numFmtId="0" fontId="4" fillId="0" borderId="0" xfId="0" applyFont="1" applyFill="1" applyBorder="1" applyAlignment="1" applyProtection="1">
      <alignment horizontal="center" vertical="center" wrapText="1"/>
      <protection hidden="1"/>
    </xf>
    <xf numFmtId="2" fontId="0" fillId="0" borderId="0" xfId="0" applyNumberFormat="1" applyFill="1" applyBorder="1" applyProtection="1">
      <protection hidden="1"/>
    </xf>
    <xf numFmtId="4" fontId="8" fillId="0" borderId="0" xfId="0" applyNumberFormat="1" applyFont="1" applyAlignment="1" applyProtection="1">
      <alignment horizontal="center"/>
      <protection hidden="1"/>
    </xf>
    <xf numFmtId="4" fontId="1" fillId="0" borderId="0" xfId="0" applyNumberFormat="1" applyFont="1" applyAlignment="1" applyProtection="1">
      <alignment horizontal="center"/>
      <protection hidden="1"/>
    </xf>
    <xf numFmtId="4" fontId="2" fillId="0" borderId="0" xfId="0" applyNumberFormat="1" applyFont="1" applyFill="1" applyBorder="1" applyAlignment="1" applyProtection="1">
      <alignment horizontal="center" vertical="center" wrapText="1"/>
      <protection hidden="1"/>
    </xf>
    <xf numFmtId="0" fontId="8" fillId="0" borderId="0" xfId="0" applyFont="1" applyFill="1" applyBorder="1" applyAlignment="1" applyProtection="1">
      <protection hidden="1"/>
    </xf>
    <xf numFmtId="0" fontId="6" fillId="4" borderId="1" xfId="0" applyFont="1" applyFill="1" applyBorder="1" applyAlignment="1" applyProtection="1">
      <alignment horizontal="left" vertical="center" wrapText="1" indent="2"/>
      <protection hidden="1"/>
    </xf>
    <xf numFmtId="0" fontId="6" fillId="0" borderId="12" xfId="0" applyFont="1" applyFill="1" applyBorder="1" applyAlignment="1" applyProtection="1">
      <alignment vertical="center" wrapText="1"/>
      <protection hidden="1"/>
    </xf>
    <xf numFmtId="0" fontId="4" fillId="0" borderId="13" xfId="0" applyFont="1" applyBorder="1" applyAlignment="1" applyProtection="1">
      <alignment horizontal="left" vertical="center" wrapText="1" indent="1"/>
      <protection hidden="1"/>
    </xf>
    <xf numFmtId="4" fontId="2" fillId="3" borderId="14" xfId="0" applyNumberFormat="1" applyFont="1" applyFill="1" applyBorder="1" applyAlignment="1" applyProtection="1">
      <alignment horizontal="center" vertical="center" wrapText="1"/>
      <protection hidden="1"/>
    </xf>
    <xf numFmtId="3" fontId="6" fillId="0" borderId="12" xfId="0" applyNumberFormat="1" applyFont="1" applyFill="1" applyBorder="1" applyAlignment="1" applyProtection="1">
      <alignment horizontal="center" vertical="center" wrapText="1"/>
      <protection hidden="1"/>
    </xf>
    <xf numFmtId="4" fontId="2" fillId="3" borderId="13" xfId="0" applyNumberFormat="1" applyFont="1" applyFill="1" applyBorder="1" applyAlignment="1" applyProtection="1">
      <alignment horizontal="center" vertical="center" wrapText="1"/>
      <protection hidden="1"/>
    </xf>
    <xf numFmtId="0" fontId="4" fillId="0" borderId="15" xfId="0" applyFont="1" applyBorder="1" applyAlignment="1" applyProtection="1">
      <alignment horizontal="left" vertical="center" wrapText="1" indent="1"/>
      <protection hidden="1"/>
    </xf>
    <xf numFmtId="166" fontId="6" fillId="0" borderId="8" xfId="0" applyNumberFormat="1" applyFont="1" applyBorder="1" applyAlignment="1" applyProtection="1">
      <alignment horizontal="center" vertical="center" wrapText="1"/>
      <protection hidden="1"/>
    </xf>
    <xf numFmtId="4" fontId="2" fillId="3" borderId="15" xfId="0" applyNumberFormat="1" applyFont="1" applyFill="1" applyBorder="1" applyAlignment="1" applyProtection="1">
      <alignment horizontal="center" vertical="center" wrapText="1"/>
      <protection hidden="1"/>
    </xf>
    <xf numFmtId="9" fontId="8" fillId="3" borderId="11" xfId="0" applyNumberFormat="1" applyFont="1" applyFill="1" applyBorder="1" applyAlignment="1" applyProtection="1">
      <alignment horizontal="center"/>
      <protection locked="0" hidden="1"/>
    </xf>
    <xf numFmtId="0" fontId="13" fillId="0" borderId="0" xfId="0" applyFont="1" applyProtection="1">
      <protection hidden="1"/>
    </xf>
    <xf numFmtId="9" fontId="12" fillId="0" borderId="0" xfId="2" applyFont="1" applyProtection="1">
      <protection hidden="1"/>
    </xf>
    <xf numFmtId="0" fontId="17" fillId="0" borderId="16" xfId="1" applyBorder="1" applyAlignment="1" applyProtection="1">
      <alignment horizontal="left" indent="1"/>
      <protection hidden="1"/>
    </xf>
    <xf numFmtId="0" fontId="13" fillId="0" borderId="16" xfId="0" applyFont="1" applyBorder="1" applyAlignment="1" applyProtection="1">
      <alignment horizontal="right"/>
      <protection hidden="1"/>
    </xf>
    <xf numFmtId="167" fontId="13" fillId="0" borderId="16" xfId="0" applyNumberFormat="1" applyFont="1" applyBorder="1" applyAlignment="1" applyProtection="1">
      <alignment horizontal="left"/>
      <protection hidden="1"/>
    </xf>
    <xf numFmtId="0" fontId="17" fillId="0" borderId="17" xfId="1" applyBorder="1" applyAlignment="1" applyProtection="1">
      <alignment horizontal="left" indent="1"/>
      <protection hidden="1"/>
    </xf>
    <xf numFmtId="0" fontId="13" fillId="0" borderId="17" xfId="0" applyFont="1" applyBorder="1" applyAlignment="1" applyProtection="1">
      <alignment horizontal="right"/>
      <protection hidden="1"/>
    </xf>
    <xf numFmtId="167" fontId="13" fillId="0" borderId="17" xfId="0" applyNumberFormat="1" applyFont="1" applyBorder="1" applyAlignment="1" applyProtection="1">
      <alignment horizontal="left"/>
      <protection hidden="1"/>
    </xf>
    <xf numFmtId="0" fontId="13" fillId="0" borderId="0" xfId="0" applyFont="1" applyAlignment="1" applyProtection="1">
      <alignment horizontal="left" indent="2"/>
      <protection hidden="1"/>
    </xf>
    <xf numFmtId="0" fontId="13" fillId="0" borderId="0" xfId="0" applyFont="1" applyAlignment="1" applyProtection="1">
      <alignment horizontal="left" indent="3"/>
      <protection hidden="1"/>
    </xf>
    <xf numFmtId="0" fontId="13" fillId="0" borderId="0" xfId="0" applyFont="1" applyAlignment="1" applyProtection="1">
      <alignment horizontal="left" indent="1"/>
      <protection hidden="1"/>
    </xf>
    <xf numFmtId="2" fontId="24" fillId="0" borderId="0" xfId="0" applyNumberFormat="1" applyFont="1" applyProtection="1">
      <protection hidden="1"/>
    </xf>
    <xf numFmtId="4" fontId="0" fillId="0" borderId="0" xfId="0" applyNumberFormat="1" applyAlignment="1" applyProtection="1">
      <protection hidden="1"/>
    </xf>
    <xf numFmtId="4" fontId="0" fillId="0" borderId="0" xfId="0" applyNumberFormat="1" applyFill="1" applyProtection="1">
      <protection hidden="1"/>
    </xf>
    <xf numFmtId="4" fontId="2" fillId="3" borderId="2" xfId="0" applyNumberFormat="1" applyFont="1" applyFill="1" applyBorder="1" applyAlignment="1" applyProtection="1">
      <alignment horizontal="center" vertical="center" wrapText="1"/>
      <protection hidden="1"/>
    </xf>
    <xf numFmtId="4" fontId="2" fillId="3" borderId="18" xfId="0" applyNumberFormat="1" applyFont="1" applyFill="1" applyBorder="1" applyAlignment="1" applyProtection="1">
      <alignment horizontal="center" vertical="center" wrapText="1"/>
      <protection hidden="1"/>
    </xf>
    <xf numFmtId="4" fontId="2" fillId="0" borderId="0" xfId="0" applyNumberFormat="1" applyFont="1" applyFill="1" applyBorder="1" applyAlignment="1" applyProtection="1">
      <alignment horizontal="center" wrapText="1"/>
      <protection hidden="1"/>
    </xf>
    <xf numFmtId="0" fontId="17" fillId="0" borderId="16" xfId="1" applyFont="1" applyBorder="1" applyAlignment="1" applyProtection="1">
      <alignment horizontal="left" indent="1"/>
      <protection hidden="1"/>
    </xf>
    <xf numFmtId="0" fontId="5" fillId="0" borderId="0" xfId="0" applyFont="1" applyProtection="1">
      <protection hidden="1"/>
    </xf>
    <xf numFmtId="14" fontId="26" fillId="0" borderId="0" xfId="0" applyNumberFormat="1" applyFont="1" applyAlignment="1" applyProtection="1">
      <alignment horizontal="center"/>
      <protection hidden="1"/>
    </xf>
    <xf numFmtId="2" fontId="8" fillId="0" borderId="0" xfId="0" applyNumberFormat="1" applyFont="1" applyAlignment="1" applyProtection="1">
      <protection hidden="1"/>
    </xf>
    <xf numFmtId="4" fontId="2" fillId="3" borderId="5" xfId="0" applyNumberFormat="1" applyFont="1" applyFill="1" applyBorder="1" applyAlignment="1" applyProtection="1">
      <alignment horizontal="center" vertical="center" wrapText="1"/>
      <protection hidden="1"/>
    </xf>
    <xf numFmtId="4" fontId="2" fillId="3" borderId="7" xfId="0" applyNumberFormat="1" applyFont="1" applyFill="1" applyBorder="1" applyAlignment="1" applyProtection="1">
      <alignment horizontal="center" vertical="center" wrapText="1"/>
      <protection hidden="1"/>
    </xf>
    <xf numFmtId="4" fontId="2" fillId="3" borderId="9" xfId="0" applyNumberFormat="1" applyFont="1" applyFill="1" applyBorder="1" applyAlignment="1" applyProtection="1">
      <alignment horizontal="center" vertical="center" wrapText="1"/>
      <protection hidden="1"/>
    </xf>
    <xf numFmtId="0" fontId="16" fillId="0" borderId="19" xfId="0" applyFont="1" applyBorder="1" applyAlignment="1" applyProtection="1">
      <alignment horizontal="right"/>
      <protection hidden="1"/>
    </xf>
    <xf numFmtId="3" fontId="6" fillId="0" borderId="0" xfId="0" applyNumberFormat="1" applyFont="1" applyBorder="1" applyAlignment="1" applyProtection="1">
      <alignment horizontal="center" vertical="center" wrapText="1"/>
      <protection hidden="1"/>
    </xf>
    <xf numFmtId="4" fontId="2" fillId="0" borderId="0" xfId="0" applyNumberFormat="1" applyFont="1" applyFill="1" applyBorder="1" applyAlignment="1" applyProtection="1">
      <alignment horizontal="left" vertical="center" wrapText="1" indent="1"/>
      <protection hidden="1"/>
    </xf>
    <xf numFmtId="0" fontId="4" fillId="0" borderId="14" xfId="0" applyFont="1" applyBorder="1" applyAlignment="1" applyProtection="1">
      <alignment horizontal="left" vertical="center" wrapText="1" indent="1"/>
      <protection hidden="1"/>
    </xf>
    <xf numFmtId="0" fontId="15" fillId="0" borderId="0" xfId="0" applyFont="1" applyBorder="1" applyProtection="1">
      <protection hidden="1"/>
    </xf>
    <xf numFmtId="0" fontId="11" fillId="0" borderId="0" xfId="0" applyFont="1" applyFill="1" applyBorder="1" applyAlignment="1" applyProtection="1">
      <alignment horizontal="center" vertical="center"/>
      <protection hidden="1"/>
    </xf>
    <xf numFmtId="3" fontId="6" fillId="0" borderId="4" xfId="0" applyNumberFormat="1" applyFont="1" applyFill="1" applyBorder="1" applyAlignment="1" applyProtection="1">
      <alignment horizontal="center" vertical="center" wrapText="1"/>
      <protection hidden="1"/>
    </xf>
    <xf numFmtId="3" fontId="6" fillId="0" borderId="6" xfId="0" applyNumberFormat="1" applyFont="1" applyFill="1" applyBorder="1" applyAlignment="1" applyProtection="1">
      <alignment horizontal="center" vertical="center" wrapText="1"/>
      <protection hidden="1"/>
    </xf>
    <xf numFmtId="3" fontId="6" fillId="0" borderId="8" xfId="0" applyNumberFormat="1" applyFont="1" applyFill="1" applyBorder="1" applyAlignment="1" applyProtection="1">
      <alignment horizontal="center" vertical="center" wrapText="1"/>
      <protection hidden="1"/>
    </xf>
    <xf numFmtId="2" fontId="5" fillId="0" borderId="0" xfId="0" applyNumberFormat="1" applyFont="1" applyAlignment="1" applyProtection="1">
      <alignment horizontal="center" vertical="center"/>
      <protection hidden="1"/>
    </xf>
    <xf numFmtId="4" fontId="6" fillId="0" borderId="0" xfId="0" applyNumberFormat="1" applyFont="1" applyFill="1" applyBorder="1" applyAlignment="1" applyProtection="1">
      <alignment horizontal="center" vertical="center" wrapText="1"/>
      <protection hidden="1"/>
    </xf>
    <xf numFmtId="3" fontId="2" fillId="0" borderId="0" xfId="0" applyNumberFormat="1" applyFont="1" applyFill="1" applyBorder="1" applyAlignment="1" applyProtection="1">
      <alignment horizontal="left" vertical="center" wrapText="1"/>
      <protection hidden="1"/>
    </xf>
    <xf numFmtId="0" fontId="6" fillId="0" borderId="20" xfId="0" applyFont="1" applyBorder="1" applyAlignment="1" applyProtection="1">
      <alignment horizontal="left" vertical="center" indent="2"/>
      <protection hidden="1"/>
    </xf>
    <xf numFmtId="0" fontId="6" fillId="0" borderId="9" xfId="0" applyFont="1" applyBorder="1" applyAlignment="1" applyProtection="1">
      <alignment horizontal="left" vertical="center" indent="2"/>
      <protection hidden="1"/>
    </xf>
    <xf numFmtId="166" fontId="6" fillId="0" borderId="6" xfId="0" applyNumberFormat="1" applyFont="1" applyBorder="1" applyAlignment="1" applyProtection="1">
      <alignment horizontal="center" vertical="center" wrapText="1"/>
      <protection hidden="1"/>
    </xf>
    <xf numFmtId="0" fontId="29" fillId="0" borderId="17" xfId="0" applyFont="1" applyBorder="1" applyAlignment="1" applyProtection="1">
      <alignment horizontal="left"/>
      <protection hidden="1"/>
    </xf>
    <xf numFmtId="0" fontId="29" fillId="0" borderId="16" xfId="0" applyFont="1" applyBorder="1" applyAlignment="1" applyProtection="1">
      <alignment horizontal="left"/>
      <protection hidden="1"/>
    </xf>
    <xf numFmtId="0" fontId="29" fillId="0" borderId="0" xfId="0" applyFont="1" applyAlignment="1" applyProtection="1">
      <alignment horizontal="right"/>
      <protection hidden="1"/>
    </xf>
    <xf numFmtId="0" fontId="30" fillId="0" borderId="0" xfId="0" applyFont="1" applyBorder="1" applyAlignment="1" applyProtection="1">
      <alignment vertical="top" wrapText="1"/>
      <protection hidden="1"/>
    </xf>
    <xf numFmtId="0" fontId="6" fillId="0" borderId="21" xfId="0" applyFont="1" applyBorder="1" applyAlignment="1" applyProtection="1">
      <alignment horizontal="left" vertical="center" indent="2"/>
      <protection hidden="1"/>
    </xf>
    <xf numFmtId="0" fontId="23" fillId="0" borderId="0" xfId="1" applyFont="1" applyAlignment="1" applyProtection="1">
      <alignment horizontal="right"/>
      <protection hidden="1"/>
    </xf>
    <xf numFmtId="0" fontId="23" fillId="0" borderId="0" xfId="1" applyFont="1" applyFill="1" applyAlignment="1" applyProtection="1">
      <alignment horizontal="right"/>
      <protection hidden="1"/>
    </xf>
    <xf numFmtId="0" fontId="14" fillId="0" borderId="0" xfId="0" applyFont="1" applyFill="1" applyBorder="1" applyAlignment="1" applyProtection="1">
      <alignment horizontal="left" wrapText="1"/>
      <protection hidden="1"/>
    </xf>
    <xf numFmtId="0" fontId="2" fillId="5" borderId="3" xfId="0" applyFont="1" applyFill="1" applyBorder="1" applyAlignment="1" applyProtection="1">
      <alignment horizontal="center" wrapText="1"/>
      <protection hidden="1"/>
    </xf>
    <xf numFmtId="0" fontId="6" fillId="4" borderId="15" xfId="0" applyFont="1" applyFill="1" applyBorder="1" applyAlignment="1" applyProtection="1">
      <alignment horizontal="center" vertical="center"/>
      <protection hidden="1"/>
    </xf>
    <xf numFmtId="0" fontId="28" fillId="0" borderId="3" xfId="0" applyFont="1" applyFill="1" applyBorder="1" applyAlignment="1" applyProtection="1">
      <alignment horizontal="center"/>
      <protection hidden="1"/>
    </xf>
    <xf numFmtId="0" fontId="0" fillId="5" borderId="3" xfId="0" applyFill="1" applyBorder="1" applyProtection="1">
      <protection hidden="1"/>
    </xf>
    <xf numFmtId="0" fontId="6" fillId="4" borderId="5" xfId="0" applyFont="1" applyFill="1" applyBorder="1" applyAlignment="1" applyProtection="1">
      <alignment horizontal="right" vertical="center" wrapText="1"/>
      <protection hidden="1"/>
    </xf>
    <xf numFmtId="0" fontId="6" fillId="4" borderId="7" xfId="0" applyFont="1" applyFill="1" applyBorder="1" applyAlignment="1" applyProtection="1">
      <alignment horizontal="right" vertical="center" wrapText="1"/>
      <protection hidden="1"/>
    </xf>
    <xf numFmtId="0" fontId="6" fillId="4" borderId="9" xfId="0" applyFont="1" applyFill="1" applyBorder="1" applyAlignment="1" applyProtection="1">
      <alignment horizontal="right" vertical="center" wrapText="1"/>
      <protection hidden="1"/>
    </xf>
    <xf numFmtId="0" fontId="6" fillId="4" borderId="8" xfId="0" applyFont="1" applyFill="1" applyBorder="1" applyAlignment="1" applyProtection="1">
      <alignment horizontal="center" vertical="center" wrapText="1"/>
      <protection hidden="1"/>
    </xf>
    <xf numFmtId="0" fontId="6" fillId="4" borderId="15" xfId="0" applyFont="1" applyFill="1" applyBorder="1" applyAlignment="1" applyProtection="1">
      <alignment horizontal="center" vertical="center" wrapText="1"/>
      <protection hidden="1"/>
    </xf>
    <xf numFmtId="0" fontId="8" fillId="0" borderId="3" xfId="0" applyFont="1" applyBorder="1" applyAlignment="1" applyProtection="1">
      <alignment horizontal="center"/>
      <protection hidden="1"/>
    </xf>
    <xf numFmtId="0" fontId="2" fillId="4" borderId="4" xfId="0" applyFont="1" applyFill="1" applyBorder="1" applyAlignment="1" applyProtection="1">
      <alignment horizontal="center" vertical="center" wrapText="1"/>
      <protection hidden="1"/>
    </xf>
    <xf numFmtId="0" fontId="2" fillId="4" borderId="22" xfId="0" applyFont="1" applyFill="1" applyBorder="1" applyAlignment="1" applyProtection="1">
      <alignment horizontal="center" vertical="center" wrapText="1"/>
      <protection hidden="1"/>
    </xf>
    <xf numFmtId="0" fontId="2" fillId="4" borderId="14" xfId="0" applyFont="1" applyFill="1" applyBorder="1" applyAlignment="1" applyProtection="1">
      <alignment horizontal="center" vertical="center" wrapText="1"/>
      <protection hidden="1"/>
    </xf>
    <xf numFmtId="0" fontId="6" fillId="0" borderId="0" xfId="0" applyFont="1" applyFill="1" applyBorder="1" applyAlignment="1" applyProtection="1">
      <alignment vertical="center"/>
      <protection hidden="1"/>
    </xf>
    <xf numFmtId="3" fontId="6" fillId="0" borderId="5" xfId="0" applyNumberFormat="1" applyFont="1" applyBorder="1" applyAlignment="1" applyProtection="1">
      <alignment horizontal="center" vertical="center" wrapText="1"/>
      <protection hidden="1"/>
    </xf>
    <xf numFmtId="3" fontId="6" fillId="0" borderId="7" xfId="0" applyNumberFormat="1" applyFont="1" applyBorder="1" applyAlignment="1" applyProtection="1">
      <alignment horizontal="center" vertical="center" wrapText="1"/>
      <protection hidden="1"/>
    </xf>
    <xf numFmtId="3" fontId="6" fillId="0" borderId="9" xfId="0" applyNumberFormat="1" applyFont="1" applyBorder="1" applyAlignment="1" applyProtection="1">
      <alignment horizontal="center" vertical="center" wrapText="1"/>
      <protection hidden="1"/>
    </xf>
    <xf numFmtId="166" fontId="6" fillId="0" borderId="7" xfId="0" applyNumberFormat="1" applyFont="1" applyBorder="1" applyAlignment="1" applyProtection="1">
      <alignment horizontal="center" vertical="center" wrapText="1"/>
      <protection hidden="1"/>
    </xf>
    <xf numFmtId="4" fontId="32" fillId="3" borderId="13" xfId="1" applyNumberFormat="1" applyFont="1" applyFill="1" applyBorder="1" applyAlignment="1" applyProtection="1">
      <alignment horizontal="left" vertical="center" wrapText="1"/>
      <protection hidden="1"/>
    </xf>
    <xf numFmtId="0" fontId="6" fillId="4" borderId="23" xfId="0" applyFont="1" applyFill="1" applyBorder="1" applyAlignment="1" applyProtection="1">
      <alignment horizontal="center" vertical="center" wrapText="1"/>
      <protection hidden="1"/>
    </xf>
    <xf numFmtId="0" fontId="6" fillId="4" borderId="6" xfId="0" applyFont="1" applyFill="1" applyBorder="1" applyAlignment="1" applyProtection="1">
      <alignment horizontal="center" vertical="center" wrapText="1"/>
      <protection hidden="1"/>
    </xf>
    <xf numFmtId="0" fontId="6" fillId="4" borderId="17" xfId="0" applyFont="1" applyFill="1" applyBorder="1" applyAlignment="1" applyProtection="1">
      <alignment horizontal="center" vertical="center" wrapText="1"/>
      <protection hidden="1"/>
    </xf>
    <xf numFmtId="0" fontId="6" fillId="4" borderId="13" xfId="0" applyFont="1" applyFill="1" applyBorder="1" applyAlignment="1" applyProtection="1">
      <alignment horizontal="center" vertical="center" wrapText="1"/>
      <protection hidden="1"/>
    </xf>
    <xf numFmtId="0" fontId="2" fillId="0" borderId="0" xfId="0" applyFont="1" applyAlignment="1" applyProtection="1">
      <alignment horizontal="center"/>
      <protection hidden="1"/>
    </xf>
    <xf numFmtId="2" fontId="5" fillId="0" borderId="0" xfId="0" applyNumberFormat="1" applyFont="1" applyFill="1" applyBorder="1" applyAlignment="1" applyProtection="1">
      <alignment horizontal="center" vertical="center"/>
      <protection hidden="1"/>
    </xf>
    <xf numFmtId="4" fontId="0" fillId="0" borderId="0" xfId="0" applyNumberFormat="1" applyFill="1" applyBorder="1" applyProtection="1">
      <protection hidden="1"/>
    </xf>
    <xf numFmtId="0" fontId="23" fillId="0" borderId="0" xfId="1" applyFont="1" applyBorder="1" applyAlignment="1" applyProtection="1">
      <alignment horizontal="right"/>
      <protection hidden="1"/>
    </xf>
    <xf numFmtId="0" fontId="20" fillId="0" borderId="0" xfId="0" applyFont="1" applyFill="1" applyBorder="1" applyProtection="1">
      <protection hidden="1"/>
    </xf>
    <xf numFmtId="0" fontId="2" fillId="0" borderId="0" xfId="0" applyFont="1" applyFill="1" applyBorder="1" applyAlignment="1" applyProtection="1">
      <alignment horizontal="center" vertical="center" wrapText="1"/>
      <protection hidden="1"/>
    </xf>
    <xf numFmtId="9" fontId="22" fillId="0" borderId="0" xfId="0" applyNumberFormat="1" applyFont="1" applyFill="1" applyBorder="1" applyAlignment="1" applyProtection="1">
      <alignment horizontal="left" wrapText="1"/>
      <protection hidden="1"/>
    </xf>
    <xf numFmtId="9" fontId="14" fillId="0" borderId="0" xfId="0" applyNumberFormat="1" applyFont="1" applyFill="1" applyBorder="1" applyAlignment="1" applyProtection="1">
      <alignment horizontal="left" wrapText="1"/>
      <protection hidden="1"/>
    </xf>
    <xf numFmtId="0" fontId="23" fillId="0" borderId="0" xfId="1" applyFont="1" applyFill="1" applyBorder="1" applyAlignment="1" applyProtection="1">
      <protection hidden="1"/>
    </xf>
    <xf numFmtId="0" fontId="6" fillId="0" borderId="11" xfId="0" applyFont="1" applyBorder="1" applyAlignment="1" applyProtection="1">
      <alignment horizontal="left" vertical="center" indent="2"/>
      <protection hidden="1"/>
    </xf>
    <xf numFmtId="0" fontId="28" fillId="0" borderId="0" xfId="0" applyFont="1" applyFill="1" applyBorder="1" applyAlignment="1" applyProtection="1">
      <alignment horizontal="center"/>
      <protection hidden="1"/>
    </xf>
    <xf numFmtId="0" fontId="23" fillId="0" borderId="0" xfId="1" applyFont="1" applyFill="1" applyBorder="1" applyAlignment="1" applyProtection="1">
      <alignment horizontal="right"/>
      <protection hidden="1"/>
    </xf>
    <xf numFmtId="3" fontId="33" fillId="0" borderId="0" xfId="0" applyNumberFormat="1" applyFont="1" applyFill="1" applyBorder="1" applyAlignment="1" applyProtection="1">
      <alignment horizontal="center" vertical="center" wrapText="1"/>
      <protection hidden="1"/>
    </xf>
    <xf numFmtId="3" fontId="27" fillId="0" borderId="0" xfId="0" applyNumberFormat="1" applyFont="1" applyFill="1" applyBorder="1" applyAlignment="1" applyProtection="1">
      <alignment horizontal="center" vertical="center" wrapText="1"/>
      <protection hidden="1"/>
    </xf>
    <xf numFmtId="3" fontId="27" fillId="0" borderId="0" xfId="0" applyNumberFormat="1" applyFont="1" applyFill="1" applyBorder="1" applyAlignment="1" applyProtection="1">
      <alignment horizontal="left" vertical="center" wrapText="1"/>
      <protection hidden="1"/>
    </xf>
    <xf numFmtId="0" fontId="6" fillId="4" borderId="14" xfId="0" applyFont="1" applyFill="1" applyBorder="1" applyAlignment="1" applyProtection="1">
      <alignment horizontal="right" vertical="center" wrapText="1"/>
      <protection hidden="1"/>
    </xf>
    <xf numFmtId="0" fontId="6" fillId="4" borderId="13" xfId="0" applyFont="1" applyFill="1" applyBorder="1" applyAlignment="1" applyProtection="1">
      <alignment horizontal="right" vertical="center" wrapText="1"/>
      <protection hidden="1"/>
    </xf>
    <xf numFmtId="0" fontId="6" fillId="4" borderId="15" xfId="0" applyFont="1" applyFill="1" applyBorder="1" applyAlignment="1" applyProtection="1">
      <alignment horizontal="right" vertical="center" wrapText="1"/>
      <protection hidden="1"/>
    </xf>
    <xf numFmtId="0" fontId="6" fillId="0" borderId="0" xfId="0" applyFont="1" applyFill="1" applyBorder="1" applyAlignment="1" applyProtection="1">
      <alignment horizontal="center" vertical="center" wrapText="1"/>
      <protection hidden="1"/>
    </xf>
    <xf numFmtId="0" fontId="6" fillId="0" borderId="0" xfId="0" applyFont="1" applyFill="1" applyBorder="1" applyAlignment="1" applyProtection="1">
      <alignment horizontal="center" vertical="center"/>
      <protection hidden="1"/>
    </xf>
    <xf numFmtId="0" fontId="6" fillId="4" borderId="9" xfId="0" applyFont="1" applyFill="1" applyBorder="1" applyAlignment="1" applyProtection="1">
      <alignment horizontal="center" vertical="center" wrapText="1"/>
      <protection hidden="1"/>
    </xf>
    <xf numFmtId="0" fontId="2" fillId="4" borderId="21" xfId="0" applyFont="1" applyFill="1" applyBorder="1" applyAlignment="1" applyProtection="1">
      <alignment horizontal="center" vertical="center" wrapText="1"/>
      <protection hidden="1"/>
    </xf>
    <xf numFmtId="0" fontId="4" fillId="0" borderId="14" xfId="0" applyFont="1" applyBorder="1" applyAlignment="1" applyProtection="1">
      <alignment horizontal="right" vertical="center"/>
      <protection hidden="1"/>
    </xf>
    <xf numFmtId="0" fontId="4" fillId="0" borderId="13" xfId="0" applyFont="1" applyBorder="1" applyAlignment="1" applyProtection="1">
      <alignment horizontal="right" vertical="center"/>
      <protection hidden="1"/>
    </xf>
    <xf numFmtId="0" fontId="4" fillId="0" borderId="15" xfId="0" applyFont="1" applyBorder="1" applyAlignment="1" applyProtection="1">
      <alignment horizontal="right" vertical="center"/>
      <protection hidden="1"/>
    </xf>
    <xf numFmtId="0" fontId="6" fillId="4" borderId="27" xfId="0" applyFont="1" applyFill="1" applyBorder="1" applyAlignment="1" applyProtection="1">
      <alignment horizontal="right" vertical="center" wrapText="1"/>
      <protection hidden="1"/>
    </xf>
    <xf numFmtId="0" fontId="2" fillId="4" borderId="5" xfId="0" applyFont="1" applyFill="1" applyBorder="1" applyAlignment="1" applyProtection="1">
      <alignment horizontal="center" vertical="center" wrapText="1"/>
      <protection hidden="1"/>
    </xf>
    <xf numFmtId="0" fontId="6" fillId="4" borderId="7" xfId="0" applyFont="1" applyFill="1" applyBorder="1" applyAlignment="1" applyProtection="1">
      <alignment horizontal="center" vertical="center" wrapText="1"/>
      <protection hidden="1"/>
    </xf>
    <xf numFmtId="0" fontId="2" fillId="4" borderId="28" xfId="0" applyFont="1" applyFill="1" applyBorder="1" applyAlignment="1" applyProtection="1">
      <alignment horizontal="center" vertical="center" wrapText="1"/>
      <protection hidden="1"/>
    </xf>
    <xf numFmtId="0" fontId="20" fillId="5" borderId="29" xfId="0" applyFont="1" applyFill="1" applyBorder="1" applyProtection="1">
      <protection hidden="1"/>
    </xf>
    <xf numFmtId="0" fontId="4" fillId="0" borderId="30" xfId="0" applyFont="1" applyBorder="1" applyAlignment="1" applyProtection="1">
      <alignment horizontal="right" vertical="center"/>
      <protection hidden="1"/>
    </xf>
    <xf numFmtId="0" fontId="6" fillId="4" borderId="14" xfId="0" applyFont="1" applyFill="1" applyBorder="1" applyAlignment="1" applyProtection="1">
      <alignment horizontal="center" vertical="center" wrapText="1"/>
      <protection hidden="1"/>
    </xf>
    <xf numFmtId="0" fontId="4" fillId="0" borderId="27" xfId="0" applyFont="1" applyBorder="1" applyAlignment="1" applyProtection="1">
      <alignment horizontal="right" vertical="center"/>
      <protection hidden="1"/>
    </xf>
    <xf numFmtId="0" fontId="6" fillId="4" borderId="9" xfId="0" applyFont="1" applyFill="1" applyBorder="1" applyAlignment="1" applyProtection="1">
      <alignment horizontal="center" vertical="center"/>
      <protection hidden="1"/>
    </xf>
    <xf numFmtId="0" fontId="6" fillId="0" borderId="0" xfId="0" applyFont="1" applyBorder="1" applyAlignment="1" applyProtection="1">
      <alignment horizontal="left" vertical="center" indent="2"/>
      <protection hidden="1"/>
    </xf>
    <xf numFmtId="0" fontId="4" fillId="0" borderId="0" xfId="0" applyFont="1" applyBorder="1" applyAlignment="1" applyProtection="1">
      <alignment horizontal="right" vertical="center"/>
      <protection hidden="1"/>
    </xf>
    <xf numFmtId="0" fontId="4" fillId="0" borderId="14" xfId="0" applyFont="1" applyBorder="1" applyAlignment="1" applyProtection="1">
      <alignment horizontal="center" vertical="center" wrapText="1"/>
      <protection hidden="1"/>
    </xf>
    <xf numFmtId="0" fontId="4" fillId="0" borderId="15" xfId="0" applyFont="1" applyBorder="1" applyAlignment="1" applyProtection="1">
      <alignment horizontal="center" vertical="center" wrapText="1"/>
      <protection hidden="1"/>
    </xf>
    <xf numFmtId="0" fontId="4" fillId="0" borderId="14" xfId="0" applyFont="1" applyBorder="1" applyAlignment="1" applyProtection="1">
      <alignment horizontal="center" vertical="center"/>
      <protection hidden="1"/>
    </xf>
    <xf numFmtId="0" fontId="4" fillId="0" borderId="13" xfId="0" applyFont="1" applyBorder="1" applyAlignment="1" applyProtection="1">
      <alignment horizontal="center" vertical="center" wrapText="1"/>
      <protection hidden="1"/>
    </xf>
    <xf numFmtId="3" fontId="2" fillId="0" borderId="17" xfId="0" applyNumberFormat="1" applyFont="1" applyFill="1" applyBorder="1" applyAlignment="1" applyProtection="1">
      <alignment horizontal="center" vertical="center" wrapText="1"/>
      <protection hidden="1"/>
    </xf>
    <xf numFmtId="0" fontId="17" fillId="0" borderId="16" xfId="1" applyBorder="1" applyAlignment="1" applyProtection="1">
      <alignment horizontal="left" indent="1"/>
    </xf>
    <xf numFmtId="4" fontId="2" fillId="0" borderId="5" xfId="0" applyNumberFormat="1" applyFont="1" applyFill="1" applyBorder="1" applyAlignment="1" applyProtection="1">
      <alignment horizontal="right" vertical="center" wrapText="1" indent="1"/>
      <protection hidden="1"/>
    </xf>
    <xf numFmtId="4" fontId="2" fillId="0" borderId="14" xfId="0" applyNumberFormat="1" applyFont="1" applyFill="1" applyBorder="1" applyAlignment="1" applyProtection="1">
      <alignment horizontal="right" vertical="center" wrapText="1" indent="1"/>
      <protection hidden="1"/>
    </xf>
    <xf numFmtId="4" fontId="2" fillId="0" borderId="7" xfId="0" applyNumberFormat="1" applyFont="1" applyFill="1" applyBorder="1" applyAlignment="1" applyProtection="1">
      <alignment horizontal="right" vertical="center" wrapText="1" indent="1"/>
      <protection hidden="1"/>
    </xf>
    <xf numFmtId="4" fontId="2" fillId="0" borderId="13" xfId="0" applyNumberFormat="1" applyFont="1" applyFill="1" applyBorder="1" applyAlignment="1" applyProtection="1">
      <alignment horizontal="right" vertical="center" wrapText="1" indent="1"/>
      <protection hidden="1"/>
    </xf>
    <xf numFmtId="4" fontId="2" fillId="0" borderId="9" xfId="0" applyNumberFormat="1" applyFont="1" applyFill="1" applyBorder="1" applyAlignment="1" applyProtection="1">
      <alignment horizontal="right" vertical="center" wrapText="1" indent="1"/>
      <protection hidden="1"/>
    </xf>
    <xf numFmtId="4" fontId="2" fillId="0" borderId="15" xfId="0" applyNumberFormat="1" applyFont="1" applyFill="1" applyBorder="1" applyAlignment="1" applyProtection="1">
      <alignment horizontal="right" vertical="center" wrapText="1" indent="1"/>
      <protection hidden="1"/>
    </xf>
    <xf numFmtId="4" fontId="2" fillId="0" borderId="31" xfId="0" applyNumberFormat="1" applyFont="1" applyFill="1" applyBorder="1" applyAlignment="1" applyProtection="1">
      <alignment horizontal="right" vertical="center" wrapText="1" indent="1"/>
      <protection hidden="1"/>
    </xf>
    <xf numFmtId="4" fontId="2" fillId="0" borderId="30" xfId="0" applyNumberFormat="1" applyFont="1" applyFill="1" applyBorder="1" applyAlignment="1" applyProtection="1">
      <alignment horizontal="right" vertical="center" wrapText="1" indent="1"/>
      <protection hidden="1"/>
    </xf>
    <xf numFmtId="4" fontId="2" fillId="0" borderId="22" xfId="0" applyNumberFormat="1" applyFont="1" applyFill="1" applyBorder="1" applyAlignment="1" applyProtection="1">
      <alignment horizontal="right" vertical="center" wrapText="1" indent="1"/>
      <protection hidden="1"/>
    </xf>
    <xf numFmtId="4" fontId="2" fillId="0" borderId="17" xfId="0" applyNumberFormat="1" applyFont="1" applyFill="1" applyBorder="1" applyAlignment="1" applyProtection="1">
      <alignment horizontal="right" vertical="center" wrapText="1" indent="1"/>
      <protection hidden="1"/>
    </xf>
    <xf numFmtId="4" fontId="2" fillId="0" borderId="23" xfId="0" applyNumberFormat="1" applyFont="1" applyFill="1" applyBorder="1" applyAlignment="1" applyProtection="1">
      <alignment horizontal="right" vertical="center" wrapText="1" indent="1"/>
      <protection hidden="1"/>
    </xf>
    <xf numFmtId="4" fontId="2" fillId="0" borderId="27" xfId="0" applyNumberFormat="1" applyFont="1" applyFill="1" applyBorder="1" applyAlignment="1" applyProtection="1">
      <alignment horizontal="right" vertical="center" wrapText="1" indent="1"/>
      <protection hidden="1"/>
    </xf>
    <xf numFmtId="4" fontId="2" fillId="0" borderId="11" xfId="0" applyNumberFormat="1" applyFont="1" applyFill="1" applyBorder="1" applyAlignment="1" applyProtection="1">
      <alignment horizontal="right" vertical="center" wrapText="1" indent="1"/>
      <protection hidden="1"/>
    </xf>
    <xf numFmtId="4" fontId="2" fillId="0" borderId="32" xfId="0" applyNumberFormat="1" applyFont="1" applyFill="1" applyBorder="1" applyAlignment="1" applyProtection="1">
      <alignment horizontal="right" vertical="center" wrapText="1" indent="1"/>
      <protection hidden="1"/>
    </xf>
    <xf numFmtId="4" fontId="2" fillId="0" borderId="29" xfId="0" applyNumberFormat="1" applyFont="1" applyFill="1" applyBorder="1" applyAlignment="1" applyProtection="1">
      <alignment horizontal="right" vertical="center" wrapText="1" indent="1"/>
      <protection hidden="1"/>
    </xf>
    <xf numFmtId="4" fontId="2" fillId="0" borderId="2" xfId="0" applyNumberFormat="1" applyFont="1" applyFill="1" applyBorder="1" applyAlignment="1" applyProtection="1">
      <alignment horizontal="right" vertical="center" wrapText="1" indent="1"/>
      <protection hidden="1"/>
    </xf>
    <xf numFmtId="4" fontId="2" fillId="0" borderId="0" xfId="0" applyNumberFormat="1" applyFont="1" applyFill="1" applyBorder="1" applyAlignment="1" applyProtection="1">
      <alignment horizontal="right" vertical="center" wrapText="1" indent="1"/>
      <protection hidden="1"/>
    </xf>
    <xf numFmtId="3" fontId="2" fillId="0" borderId="0" xfId="0" applyNumberFormat="1" applyFont="1" applyFill="1" applyBorder="1" applyAlignment="1" applyProtection="1">
      <alignment horizontal="right" vertical="center" wrapText="1"/>
      <protection hidden="1"/>
    </xf>
    <xf numFmtId="4" fontId="2" fillId="0" borderId="0" xfId="0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0" applyFont="1" applyAlignment="1" applyProtection="1">
      <alignment horizontal="right"/>
      <protection hidden="1"/>
    </xf>
    <xf numFmtId="0" fontId="35" fillId="0" borderId="0" xfId="0" applyFont="1" applyProtection="1">
      <protection hidden="1"/>
    </xf>
    <xf numFmtId="9" fontId="13" fillId="0" borderId="0" xfId="0" applyNumberFormat="1" applyFont="1" applyProtection="1">
      <protection hidden="1"/>
    </xf>
    <xf numFmtId="0" fontId="36" fillId="6" borderId="3" xfId="0" applyFont="1" applyFill="1" applyBorder="1" applyAlignment="1" applyProtection="1">
      <alignment horizontal="center"/>
      <protection locked="0" hidden="1"/>
    </xf>
    <xf numFmtId="2" fontId="38" fillId="0" borderId="0" xfId="0" applyNumberFormat="1" applyFont="1" applyAlignment="1" applyProtection="1">
      <protection hidden="1"/>
    </xf>
    <xf numFmtId="0" fontId="1" fillId="0" borderId="0" xfId="0" applyFont="1" applyAlignment="1" applyProtection="1">
      <alignment horizontal="right"/>
      <protection hidden="1"/>
    </xf>
    <xf numFmtId="165" fontId="1" fillId="0" borderId="16" xfId="0" applyNumberFormat="1" applyFont="1" applyFill="1" applyBorder="1" applyAlignment="1" applyProtection="1">
      <alignment horizontal="center"/>
      <protection locked="0" hidden="1"/>
    </xf>
    <xf numFmtId="0" fontId="39" fillId="0" borderId="0" xfId="0" applyFont="1" applyAlignment="1" applyProtection="1">
      <alignment horizontal="right"/>
      <protection hidden="1"/>
    </xf>
    <xf numFmtId="0" fontId="39" fillId="0" borderId="0" xfId="0" applyFont="1" applyProtection="1">
      <protection hidden="1"/>
    </xf>
    <xf numFmtId="9" fontId="40" fillId="0" borderId="19" xfId="0" applyNumberFormat="1" applyFont="1" applyFill="1" applyBorder="1" applyAlignment="1" applyProtection="1">
      <alignment horizontal="center"/>
      <protection locked="0" hidden="1"/>
    </xf>
    <xf numFmtId="0" fontId="15" fillId="7" borderId="0" xfId="0" applyFont="1" applyFill="1" applyBorder="1" applyProtection="1">
      <protection hidden="1"/>
    </xf>
    <xf numFmtId="0" fontId="8" fillId="7" borderId="0" xfId="0" applyFont="1" applyFill="1" applyBorder="1" applyAlignment="1" applyProtection="1">
      <alignment horizontal="center"/>
      <protection hidden="1"/>
    </xf>
    <xf numFmtId="4" fontId="8" fillId="7" borderId="0" xfId="0" applyNumberFormat="1" applyFont="1" applyFill="1" applyBorder="1" applyAlignment="1" applyProtection="1">
      <alignment horizontal="center"/>
      <protection hidden="1"/>
    </xf>
    <xf numFmtId="0" fontId="41" fillId="0" borderId="0" xfId="0" applyFont="1" applyAlignment="1" applyProtection="1">
      <alignment horizontal="right"/>
      <protection hidden="1"/>
    </xf>
    <xf numFmtId="0" fontId="42" fillId="0" borderId="0" xfId="0" applyFont="1" applyAlignment="1" applyProtection="1">
      <alignment horizontal="center" vertical="center"/>
      <protection hidden="1"/>
    </xf>
    <xf numFmtId="0" fontId="6" fillId="0" borderId="0" xfId="0" applyFont="1" applyAlignment="1" applyProtection="1">
      <alignment wrapText="1"/>
      <protection hidden="1"/>
    </xf>
    <xf numFmtId="0" fontId="6" fillId="0" borderId="0" xfId="0" applyFont="1" applyAlignment="1" applyProtection="1">
      <protection hidden="1"/>
    </xf>
    <xf numFmtId="3" fontId="20" fillId="0" borderId="0" xfId="0" applyNumberFormat="1" applyFont="1" applyAlignment="1" applyProtection="1">
      <protection hidden="1"/>
    </xf>
    <xf numFmtId="3" fontId="20" fillId="0" borderId="0" xfId="0" applyNumberFormat="1" applyFont="1" applyFill="1" applyBorder="1" applyProtection="1">
      <protection hidden="1"/>
    </xf>
    <xf numFmtId="4" fontId="20" fillId="0" borderId="0" xfId="0" applyNumberFormat="1" applyFont="1" applyFill="1" applyBorder="1" applyProtection="1">
      <protection hidden="1"/>
    </xf>
    <xf numFmtId="3" fontId="6" fillId="0" borderId="0" xfId="0" applyNumberFormat="1" applyFont="1" applyFill="1" applyProtection="1">
      <protection hidden="1"/>
    </xf>
    <xf numFmtId="3" fontId="20" fillId="0" borderId="0" xfId="0" applyNumberFormat="1" applyFont="1" applyProtection="1">
      <protection hidden="1"/>
    </xf>
    <xf numFmtId="3" fontId="42" fillId="0" borderId="0" xfId="0" applyNumberFormat="1" applyFont="1" applyAlignment="1" applyProtection="1">
      <alignment horizontal="center" vertical="center"/>
      <protection hidden="1"/>
    </xf>
    <xf numFmtId="0" fontId="43" fillId="0" borderId="0" xfId="0" applyFont="1" applyProtection="1">
      <protection hidden="1"/>
    </xf>
    <xf numFmtId="0" fontId="6" fillId="0" borderId="16" xfId="0" applyFont="1" applyBorder="1" applyAlignment="1" applyProtection="1">
      <protection hidden="1"/>
    </xf>
    <xf numFmtId="0" fontId="3" fillId="0" borderId="0" xfId="0" applyFont="1" applyFill="1" applyProtection="1">
      <protection hidden="1"/>
    </xf>
    <xf numFmtId="4" fontId="42" fillId="0" borderId="0" xfId="0" applyNumberFormat="1" applyFont="1" applyAlignment="1" applyProtection="1">
      <alignment horizontal="center" vertical="center"/>
      <protection hidden="1"/>
    </xf>
    <xf numFmtId="0" fontId="20" fillId="0" borderId="17" xfId="0" applyFont="1" applyBorder="1" applyProtection="1">
      <protection hidden="1"/>
    </xf>
    <xf numFmtId="0" fontId="3" fillId="0" borderId="0" xfId="0" applyFont="1" applyProtection="1">
      <protection hidden="1"/>
    </xf>
    <xf numFmtId="0" fontId="6" fillId="0" borderId="27" xfId="0" applyFont="1" applyBorder="1" applyAlignment="1" applyProtection="1">
      <alignment horizontal="right"/>
      <protection hidden="1"/>
    </xf>
    <xf numFmtId="0" fontId="3" fillId="0" borderId="0" xfId="0" applyFont="1" applyAlignment="1" applyProtection="1">
      <alignment horizontal="right"/>
      <protection hidden="1"/>
    </xf>
    <xf numFmtId="0" fontId="20" fillId="0" borderId="0" xfId="0" applyFont="1" applyAlignment="1" applyProtection="1">
      <alignment horizontal="right"/>
      <protection hidden="1"/>
    </xf>
    <xf numFmtId="0" fontId="20" fillId="0" borderId="0" xfId="0" applyFont="1" applyFill="1" applyBorder="1" applyAlignment="1" applyProtection="1">
      <alignment horizontal="right"/>
      <protection hidden="1"/>
    </xf>
    <xf numFmtId="0" fontId="2" fillId="0" borderId="0" xfId="0" applyFont="1" applyBorder="1" applyAlignment="1" applyProtection="1">
      <alignment horizontal="center" vertical="top" wrapText="1"/>
      <protection hidden="1"/>
    </xf>
    <xf numFmtId="0" fontId="3" fillId="0" borderId="16" xfId="0" applyFont="1" applyBorder="1" applyAlignment="1" applyProtection="1">
      <protection hidden="1"/>
    </xf>
    <xf numFmtId="0" fontId="6" fillId="0" borderId="16" xfId="0" applyFont="1" applyBorder="1" applyAlignment="1" applyProtection="1">
      <alignment horizontal="right" indent="1"/>
      <protection hidden="1"/>
    </xf>
    <xf numFmtId="9" fontId="6" fillId="0" borderId="16" xfId="0" applyNumberFormat="1" applyFont="1" applyBorder="1" applyAlignment="1" applyProtection="1">
      <alignment horizontal="left"/>
      <protection hidden="1"/>
    </xf>
    <xf numFmtId="0" fontId="6" fillId="0" borderId="17" xfId="0" applyFont="1" applyBorder="1" applyAlignment="1" applyProtection="1">
      <alignment horizontal="right" indent="1"/>
      <protection hidden="1"/>
    </xf>
    <xf numFmtId="165" fontId="6" fillId="0" borderId="17" xfId="0" applyNumberFormat="1" applyFont="1" applyBorder="1" applyAlignment="1" applyProtection="1">
      <alignment horizontal="left"/>
      <protection hidden="1"/>
    </xf>
    <xf numFmtId="0" fontId="20" fillId="0" borderId="17" xfId="0" applyFont="1" applyBorder="1" applyAlignment="1" applyProtection="1">
      <alignment horizontal="right" indent="1"/>
      <protection hidden="1"/>
    </xf>
    <xf numFmtId="9" fontId="6" fillId="0" borderId="17" xfId="0" applyNumberFormat="1" applyFont="1" applyBorder="1" applyAlignment="1" applyProtection="1">
      <alignment horizontal="left"/>
      <protection hidden="1"/>
    </xf>
    <xf numFmtId="0" fontId="20" fillId="0" borderId="16" xfId="0" applyFont="1" applyBorder="1" applyProtection="1">
      <protection hidden="1"/>
    </xf>
    <xf numFmtId="0" fontId="6" fillId="0" borderId="5" xfId="0" applyFont="1" applyBorder="1" applyAlignment="1" applyProtection="1">
      <alignment horizontal="left" vertical="center" indent="2"/>
      <protection hidden="1"/>
    </xf>
    <xf numFmtId="0" fontId="8" fillId="0" borderId="0" xfId="0" applyFont="1" applyAlignment="1" applyProtection="1">
      <alignment horizontal="right"/>
      <protection hidden="1"/>
    </xf>
    <xf numFmtId="0" fontId="0" fillId="0" borderId="0" xfId="0" applyAlignment="1" applyProtection="1">
      <alignment horizontal="right"/>
      <protection hidden="1"/>
    </xf>
    <xf numFmtId="4" fontId="32" fillId="3" borderId="15" xfId="1" applyNumberFormat="1" applyFont="1" applyFill="1" applyBorder="1" applyAlignment="1" applyProtection="1">
      <alignment horizontal="left" vertical="center" wrapText="1"/>
      <protection hidden="1"/>
    </xf>
    <xf numFmtId="4" fontId="8" fillId="0" borderId="0" xfId="0" applyNumberFormat="1" applyFont="1" applyAlignment="1" applyProtection="1">
      <alignment horizontal="right"/>
      <protection hidden="1"/>
    </xf>
    <xf numFmtId="2" fontId="8" fillId="0" borderId="0" xfId="0" applyNumberFormat="1" applyFont="1" applyAlignment="1" applyProtection="1">
      <alignment horizontal="right"/>
      <protection hidden="1"/>
    </xf>
    <xf numFmtId="164" fontId="8" fillId="0" borderId="0" xfId="0" applyNumberFormat="1" applyFont="1" applyAlignment="1" applyProtection="1">
      <alignment horizontal="right"/>
      <protection hidden="1"/>
    </xf>
    <xf numFmtId="2" fontId="5" fillId="0" borderId="0" xfId="0" applyNumberFormat="1" applyFont="1" applyAlignment="1" applyProtection="1">
      <alignment horizontal="right"/>
      <protection hidden="1"/>
    </xf>
    <xf numFmtId="4" fontId="0" fillId="0" borderId="0" xfId="0" applyNumberFormat="1" applyAlignment="1" applyProtection="1">
      <alignment horizontal="right"/>
      <protection hidden="1"/>
    </xf>
    <xf numFmtId="2" fontId="5" fillId="0" borderId="0" xfId="0" applyNumberFormat="1" applyFont="1" applyAlignment="1" applyProtection="1">
      <protection hidden="1"/>
    </xf>
    <xf numFmtId="2" fontId="5" fillId="0" borderId="0" xfId="0" applyNumberFormat="1" applyFont="1" applyFill="1" applyBorder="1" applyProtection="1">
      <protection hidden="1"/>
    </xf>
    <xf numFmtId="0" fontId="6" fillId="4" borderId="33" xfId="0" applyFont="1" applyFill="1" applyBorder="1" applyAlignment="1" applyProtection="1">
      <alignment horizontal="center" vertical="center" wrapText="1"/>
      <protection hidden="1"/>
    </xf>
    <xf numFmtId="4" fontId="2" fillId="0" borderId="34" xfId="0" applyNumberFormat="1" applyFont="1" applyFill="1" applyBorder="1" applyAlignment="1" applyProtection="1">
      <alignment horizontal="right" vertical="center" wrapText="1" indent="1"/>
      <protection hidden="1"/>
    </xf>
    <xf numFmtId="4" fontId="2" fillId="0" borderId="35" xfId="0" applyNumberFormat="1" applyFont="1" applyFill="1" applyBorder="1" applyAlignment="1" applyProtection="1">
      <alignment horizontal="right" vertical="center" wrapText="1" indent="1"/>
      <protection hidden="1"/>
    </xf>
    <xf numFmtId="4" fontId="2" fillId="0" borderId="36" xfId="0" applyNumberFormat="1" applyFont="1" applyFill="1" applyBorder="1" applyAlignment="1" applyProtection="1">
      <alignment horizontal="right" vertical="center" wrapText="1" indent="1"/>
      <protection hidden="1"/>
    </xf>
    <xf numFmtId="4" fontId="2" fillId="0" borderId="37" xfId="0" applyNumberFormat="1" applyFont="1" applyFill="1" applyBorder="1" applyAlignment="1" applyProtection="1">
      <alignment horizontal="right" vertical="center" wrapText="1" indent="1"/>
      <protection hidden="1"/>
    </xf>
    <xf numFmtId="4" fontId="2" fillId="0" borderId="33" xfId="0" applyNumberFormat="1" applyFont="1" applyFill="1" applyBorder="1" applyAlignment="1" applyProtection="1">
      <alignment horizontal="right" vertical="center" wrapText="1" indent="1"/>
      <protection hidden="1"/>
    </xf>
    <xf numFmtId="4" fontId="2" fillId="0" borderId="38" xfId="0" applyNumberFormat="1" applyFont="1" applyFill="1" applyBorder="1" applyAlignment="1" applyProtection="1">
      <alignment horizontal="right" vertical="center" wrapText="1" indent="1"/>
      <protection hidden="1"/>
    </xf>
    <xf numFmtId="0" fontId="6" fillId="4" borderId="39" xfId="0" applyFont="1" applyFill="1" applyBorder="1" applyAlignment="1" applyProtection="1">
      <alignment horizontal="center" vertical="center" wrapText="1"/>
      <protection hidden="1"/>
    </xf>
    <xf numFmtId="0" fontId="6" fillId="4" borderId="38" xfId="0" applyFont="1" applyFill="1" applyBorder="1" applyAlignment="1" applyProtection="1">
      <alignment horizontal="center" vertical="center" wrapText="1"/>
      <protection hidden="1"/>
    </xf>
    <xf numFmtId="4" fontId="2" fillId="0" borderId="40" xfId="0" applyNumberFormat="1" applyFont="1" applyFill="1" applyBorder="1" applyAlignment="1" applyProtection="1">
      <alignment horizontal="right" vertical="center" wrapText="1" indent="1"/>
      <protection hidden="1"/>
    </xf>
    <xf numFmtId="4" fontId="2" fillId="0" borderId="41" xfId="0" applyNumberFormat="1" applyFont="1" applyFill="1" applyBorder="1" applyAlignment="1" applyProtection="1">
      <alignment horizontal="right" vertical="center" wrapText="1" indent="1"/>
      <protection hidden="1"/>
    </xf>
    <xf numFmtId="4" fontId="2" fillId="0" borderId="39" xfId="0" applyNumberFormat="1" applyFont="1" applyFill="1" applyBorder="1" applyAlignment="1" applyProtection="1">
      <alignment horizontal="right" vertical="center" wrapText="1" indent="1"/>
      <protection hidden="1"/>
    </xf>
    <xf numFmtId="4" fontId="2" fillId="3" borderId="42" xfId="0" applyNumberFormat="1" applyFont="1" applyFill="1" applyBorder="1" applyAlignment="1" applyProtection="1">
      <alignment horizontal="center" vertical="center" wrapText="1"/>
      <protection hidden="1"/>
    </xf>
    <xf numFmtId="4" fontId="2" fillId="3" borderId="43" xfId="0" applyNumberFormat="1" applyFont="1" applyFill="1" applyBorder="1" applyAlignment="1" applyProtection="1">
      <alignment horizontal="center" vertical="center" wrapText="1"/>
      <protection hidden="1"/>
    </xf>
    <xf numFmtId="4" fontId="2" fillId="3" borderId="44" xfId="0" applyNumberFormat="1" applyFont="1" applyFill="1" applyBorder="1" applyAlignment="1" applyProtection="1">
      <alignment horizontal="center" vertical="center" wrapText="1"/>
      <protection hidden="1"/>
    </xf>
    <xf numFmtId="3" fontId="6" fillId="0" borderId="22" xfId="0" applyNumberFormat="1" applyFont="1" applyBorder="1" applyAlignment="1" applyProtection="1">
      <alignment horizontal="center" vertical="center" wrapText="1"/>
      <protection hidden="1"/>
    </xf>
    <xf numFmtId="3" fontId="6" fillId="0" borderId="17" xfId="0" applyNumberFormat="1" applyFont="1" applyBorder="1" applyAlignment="1" applyProtection="1">
      <alignment horizontal="center" vertical="center" wrapText="1"/>
      <protection hidden="1"/>
    </xf>
    <xf numFmtId="3" fontId="6" fillId="0" borderId="23" xfId="0" applyNumberFormat="1" applyFont="1" applyBorder="1" applyAlignment="1" applyProtection="1">
      <alignment horizontal="center" vertical="center" wrapText="1"/>
      <protection hidden="1"/>
    </xf>
    <xf numFmtId="0" fontId="16" fillId="0" borderId="17" xfId="0" applyFont="1" applyFill="1" applyBorder="1" applyAlignment="1" applyProtection="1">
      <alignment horizontal="right"/>
      <protection hidden="1"/>
    </xf>
    <xf numFmtId="3" fontId="6" fillId="0" borderId="7" xfId="0" applyNumberFormat="1" applyFont="1" applyFill="1" applyBorder="1" applyAlignment="1" applyProtection="1">
      <alignment horizontal="center" vertical="center" wrapText="1"/>
      <protection hidden="1"/>
    </xf>
    <xf numFmtId="0" fontId="16" fillId="0" borderId="16" xfId="0" applyFont="1" applyFill="1" applyBorder="1" applyAlignment="1" applyProtection="1">
      <alignment horizontal="right"/>
      <protection hidden="1"/>
    </xf>
    <xf numFmtId="0" fontId="16" fillId="0" borderId="17" xfId="0" applyFont="1" applyFill="1" applyBorder="1" applyAlignment="1" applyProtection="1">
      <protection hidden="1"/>
    </xf>
    <xf numFmtId="0" fontId="6" fillId="0" borderId="1" xfId="0" applyFont="1" applyFill="1" applyBorder="1" applyAlignment="1" applyProtection="1">
      <alignment horizontal="left" vertical="center" indent="2"/>
      <protection hidden="1"/>
    </xf>
    <xf numFmtId="4" fontId="8" fillId="0" borderId="0" xfId="0" applyNumberFormat="1" applyFont="1" applyFill="1" applyBorder="1" applyProtection="1">
      <protection hidden="1"/>
    </xf>
    <xf numFmtId="0" fontId="1" fillId="0" borderId="0" xfId="0" applyFont="1" applyAlignment="1" applyProtection="1">
      <protection hidden="1"/>
    </xf>
    <xf numFmtId="2" fontId="0" fillId="0" borderId="0" xfId="0" applyNumberFormat="1" applyFill="1" applyProtection="1">
      <protection hidden="1"/>
    </xf>
    <xf numFmtId="0" fontId="6" fillId="0" borderId="45" xfId="0" applyFont="1" applyBorder="1" applyAlignment="1" applyProtection="1">
      <alignment horizontal="left" vertical="center" indent="2"/>
      <protection hidden="1"/>
    </xf>
    <xf numFmtId="0" fontId="4" fillId="0" borderId="46" xfId="0" applyFont="1" applyBorder="1" applyAlignment="1" applyProtection="1">
      <alignment horizontal="right" vertical="center"/>
      <protection hidden="1"/>
    </xf>
    <xf numFmtId="4" fontId="2" fillId="0" borderId="46" xfId="0" applyNumberFormat="1" applyFont="1" applyFill="1" applyBorder="1" applyAlignment="1" applyProtection="1">
      <alignment horizontal="right" vertical="center" wrapText="1" indent="1"/>
      <protection hidden="1"/>
    </xf>
    <xf numFmtId="9" fontId="8" fillId="0" borderId="0" xfId="2" applyFont="1" applyAlignment="1" applyProtection="1">
      <alignment horizontal="right"/>
      <protection hidden="1"/>
    </xf>
    <xf numFmtId="0" fontId="4" fillId="0" borderId="15" xfId="0" applyFont="1" applyBorder="1" applyAlignment="1" applyProtection="1">
      <alignment horizontal="center" vertical="center"/>
      <protection hidden="1"/>
    </xf>
    <xf numFmtId="0" fontId="45" fillId="0" borderId="0" xfId="0" applyFont="1" applyProtection="1">
      <protection hidden="1"/>
    </xf>
    <xf numFmtId="9" fontId="45" fillId="0" borderId="0" xfId="0" applyNumberFormat="1" applyFont="1" applyProtection="1">
      <protection hidden="1"/>
    </xf>
    <xf numFmtId="9" fontId="46" fillId="0" borderId="0" xfId="0" applyNumberFormat="1" applyFont="1" applyProtection="1">
      <protection hidden="1"/>
    </xf>
    <xf numFmtId="0" fontId="0" fillId="0" borderId="11" xfId="0" applyBorder="1" applyProtection="1">
      <protection hidden="1"/>
    </xf>
    <xf numFmtId="2" fontId="5" fillId="0" borderId="0" xfId="0" applyNumberFormat="1" applyFont="1" applyFill="1" applyAlignment="1" applyProtection="1">
      <alignment horizontal="center" vertical="center"/>
      <protection hidden="1"/>
    </xf>
    <xf numFmtId="4" fontId="2" fillId="0" borderId="16" xfId="0" applyNumberFormat="1" applyFont="1" applyFill="1" applyBorder="1" applyAlignment="1" applyProtection="1">
      <alignment horizontal="right" vertical="center" wrapText="1" indent="1"/>
      <protection hidden="1"/>
    </xf>
    <xf numFmtId="4" fontId="2" fillId="0" borderId="28" xfId="0" applyNumberFormat="1" applyFont="1" applyFill="1" applyBorder="1" applyAlignment="1" applyProtection="1">
      <alignment horizontal="right" vertical="center" wrapText="1" indent="1"/>
      <protection hidden="1"/>
    </xf>
    <xf numFmtId="2" fontId="48" fillId="0" borderId="0" xfId="0" applyNumberFormat="1" applyFont="1" applyProtection="1">
      <protection hidden="1"/>
    </xf>
    <xf numFmtId="0" fontId="1" fillId="0" borderId="0" xfId="0" applyFont="1" applyProtection="1">
      <protection hidden="1"/>
    </xf>
    <xf numFmtId="0" fontId="50" fillId="5" borderId="29" xfId="0" applyFont="1" applyFill="1" applyBorder="1" applyProtection="1">
      <protection hidden="1"/>
    </xf>
    <xf numFmtId="4" fontId="32" fillId="3" borderId="7" xfId="1" applyNumberFormat="1" applyFont="1" applyFill="1" applyBorder="1" applyAlignment="1" applyProtection="1">
      <alignment horizontal="left" vertical="center" wrapText="1"/>
      <protection hidden="1"/>
    </xf>
    <xf numFmtId="9" fontId="0" fillId="0" borderId="0" xfId="2" applyFont="1" applyProtection="1">
      <protection hidden="1"/>
    </xf>
    <xf numFmtId="0" fontId="0" fillId="0" borderId="11" xfId="0" applyFill="1" applyBorder="1" applyProtection="1">
      <protection hidden="1"/>
    </xf>
    <xf numFmtId="4" fontId="2" fillId="3" borderId="34" xfId="0" applyNumberFormat="1" applyFont="1" applyFill="1" applyBorder="1" applyAlignment="1" applyProtection="1">
      <alignment horizontal="center" vertical="center" wrapText="1"/>
      <protection hidden="1"/>
    </xf>
    <xf numFmtId="4" fontId="2" fillId="0" borderId="6" xfId="0" applyNumberFormat="1" applyFont="1" applyFill="1" applyBorder="1" applyAlignment="1" applyProtection="1">
      <alignment horizontal="right" vertical="center" wrapText="1" indent="1"/>
      <protection hidden="1"/>
    </xf>
    <xf numFmtId="4" fontId="2" fillId="0" borderId="47" xfId="0" applyNumberFormat="1" applyFont="1" applyFill="1" applyBorder="1" applyAlignment="1" applyProtection="1">
      <alignment horizontal="right" vertical="center" wrapText="1" indent="1"/>
      <protection hidden="1"/>
    </xf>
    <xf numFmtId="4" fontId="2" fillId="0" borderId="48" xfId="0" applyNumberFormat="1" applyFont="1" applyFill="1" applyBorder="1" applyAlignment="1" applyProtection="1">
      <alignment horizontal="right" vertical="center" wrapText="1" indent="1"/>
      <protection hidden="1"/>
    </xf>
    <xf numFmtId="4" fontId="2" fillId="0" borderId="43" xfId="0" applyNumberFormat="1" applyFont="1" applyFill="1" applyBorder="1" applyAlignment="1" applyProtection="1">
      <alignment horizontal="right" vertical="center" wrapText="1" indent="1"/>
      <protection hidden="1"/>
    </xf>
    <xf numFmtId="0" fontId="23" fillId="0" borderId="0" xfId="1" applyFont="1" applyAlignment="1" applyProtection="1">
      <protection hidden="1"/>
    </xf>
    <xf numFmtId="0" fontId="6" fillId="4" borderId="24" xfId="0" applyFont="1" applyFill="1" applyBorder="1" applyAlignment="1" applyProtection="1">
      <alignment horizontal="center" vertical="center" wrapText="1"/>
      <protection hidden="1"/>
    </xf>
    <xf numFmtId="0" fontId="6" fillId="4" borderId="26" xfId="0" applyFont="1" applyFill="1" applyBorder="1" applyAlignment="1" applyProtection="1">
      <alignment horizontal="center" vertical="center" wrapText="1"/>
      <protection hidden="1"/>
    </xf>
    <xf numFmtId="0" fontId="6" fillId="4" borderId="24" xfId="0" applyFont="1" applyFill="1" applyBorder="1" applyAlignment="1" applyProtection="1">
      <alignment horizontal="left" vertical="center" wrapText="1" indent="2"/>
      <protection hidden="1"/>
    </xf>
    <xf numFmtId="0" fontId="6" fillId="4" borderId="25" xfId="0" applyFont="1" applyFill="1" applyBorder="1" applyAlignment="1" applyProtection="1">
      <alignment horizontal="left" vertical="center" wrapText="1" indent="2"/>
      <protection hidden="1"/>
    </xf>
    <xf numFmtId="0" fontId="6" fillId="4" borderId="26" xfId="0" applyFont="1" applyFill="1" applyBorder="1" applyAlignment="1" applyProtection="1">
      <alignment horizontal="left" vertical="center" wrapText="1" indent="2"/>
      <protection hidden="1"/>
    </xf>
    <xf numFmtId="2" fontId="0" fillId="0" borderId="0" xfId="2" applyNumberFormat="1" applyFont="1" applyProtection="1">
      <protection hidden="1"/>
    </xf>
    <xf numFmtId="0" fontId="0" fillId="0" borderId="0" xfId="0" applyBorder="1" applyAlignment="1"/>
    <xf numFmtId="0" fontId="6" fillId="0" borderId="7" xfId="0" applyFont="1" applyBorder="1" applyAlignment="1" applyProtection="1">
      <alignment horizontal="left" vertical="center" indent="2"/>
      <protection hidden="1"/>
    </xf>
    <xf numFmtId="0" fontId="6" fillId="0" borderId="32" xfId="0" applyFont="1" applyBorder="1" applyAlignment="1" applyProtection="1">
      <alignment horizontal="left" vertical="center" indent="2"/>
      <protection hidden="1"/>
    </xf>
    <xf numFmtId="0" fontId="4" fillId="0" borderId="32" xfId="0" applyFont="1" applyBorder="1" applyAlignment="1" applyProtection="1">
      <alignment horizontal="right" vertical="center"/>
      <protection hidden="1"/>
    </xf>
    <xf numFmtId="0" fontId="4" fillId="0" borderId="0" xfId="0" applyFont="1" applyBorder="1" applyAlignment="1" applyProtection="1">
      <alignment horizontal="center" vertical="center" wrapText="1"/>
      <protection hidden="1"/>
    </xf>
    <xf numFmtId="0" fontId="23" fillId="0" borderId="0" xfId="1" applyFont="1" applyFill="1" applyAlignment="1" applyProtection="1">
      <protection hidden="1"/>
    </xf>
    <xf numFmtId="0" fontId="17" fillId="0" borderId="0" xfId="1" applyFill="1" applyAlignment="1" applyProtection="1">
      <protection hidden="1"/>
    </xf>
    <xf numFmtId="4" fontId="2" fillId="0" borderId="5" xfId="0" applyNumberFormat="1" applyFont="1" applyFill="1" applyBorder="1" applyAlignment="1" applyProtection="1">
      <alignment horizontal="center" vertical="center" wrapText="1"/>
      <protection hidden="1"/>
    </xf>
    <xf numFmtId="4" fontId="2" fillId="0" borderId="9" xfId="0" applyNumberFormat="1" applyFont="1" applyFill="1" applyBorder="1" applyAlignment="1" applyProtection="1">
      <alignment horizontal="center" vertical="center" wrapText="1"/>
      <protection hidden="1"/>
    </xf>
    <xf numFmtId="0" fontId="8" fillId="8" borderId="0" xfId="0" applyFont="1" applyFill="1" applyBorder="1" applyAlignment="1" applyProtection="1">
      <alignment horizontal="center"/>
      <protection hidden="1"/>
    </xf>
    <xf numFmtId="167" fontId="51" fillId="0" borderId="17" xfId="0" applyNumberFormat="1" applyFont="1" applyBorder="1" applyAlignment="1" applyProtection="1">
      <alignment horizontal="left"/>
      <protection hidden="1"/>
    </xf>
    <xf numFmtId="0" fontId="4" fillId="0" borderId="31" xfId="0" applyFont="1" applyBorder="1" applyAlignment="1" applyProtection="1">
      <alignment horizontal="right" vertical="center"/>
      <protection hidden="1"/>
    </xf>
    <xf numFmtId="0" fontId="17" fillId="0" borderId="0" xfId="1" applyAlignment="1" applyProtection="1">
      <protection hidden="1"/>
    </xf>
    <xf numFmtId="4" fontId="2" fillId="3" borderId="15" xfId="1" applyNumberFormat="1" applyFont="1" applyFill="1" applyBorder="1" applyAlignment="1" applyProtection="1">
      <alignment horizontal="center" vertical="center" wrapText="1"/>
      <protection hidden="1"/>
    </xf>
    <xf numFmtId="0" fontId="8" fillId="0" borderId="0" xfId="0" applyFont="1" applyFill="1" applyBorder="1" applyAlignment="1" applyProtection="1">
      <alignment horizontal="center"/>
      <protection hidden="1"/>
    </xf>
    <xf numFmtId="0" fontId="2" fillId="0" borderId="32" xfId="0" applyFont="1" applyFill="1" applyBorder="1" applyAlignment="1" applyProtection="1">
      <alignment vertical="center" wrapText="1"/>
      <protection hidden="1"/>
    </xf>
    <xf numFmtId="0" fontId="4" fillId="0" borderId="11" xfId="0" applyFont="1" applyBorder="1" applyAlignment="1" applyProtection="1">
      <alignment horizontal="right" vertical="center"/>
      <protection hidden="1"/>
    </xf>
    <xf numFmtId="4" fontId="0" fillId="0" borderId="12" xfId="0" applyNumberFormat="1" applyFill="1" applyBorder="1" applyProtection="1">
      <protection hidden="1"/>
    </xf>
    <xf numFmtId="0" fontId="4" fillId="0" borderId="2" xfId="0" applyFont="1" applyBorder="1" applyAlignment="1" applyProtection="1">
      <alignment horizontal="right" vertical="center"/>
      <protection hidden="1"/>
    </xf>
    <xf numFmtId="4" fontId="2" fillId="0" borderId="8" xfId="0" applyNumberFormat="1" applyFont="1" applyFill="1" applyBorder="1" applyAlignment="1" applyProtection="1">
      <alignment horizontal="right" vertical="center" wrapText="1" indent="1"/>
      <protection hidden="1"/>
    </xf>
    <xf numFmtId="4" fontId="2" fillId="0" borderId="44" xfId="0" applyNumberFormat="1" applyFont="1" applyFill="1" applyBorder="1" applyAlignment="1" applyProtection="1">
      <alignment horizontal="right" vertical="center" wrapText="1" indent="1"/>
      <protection hidden="1"/>
    </xf>
    <xf numFmtId="0" fontId="0" fillId="9" borderId="11" xfId="0" applyFill="1" applyBorder="1" applyProtection="1">
      <protection hidden="1"/>
    </xf>
    <xf numFmtId="1" fontId="0" fillId="0" borderId="0" xfId="0" applyNumberFormat="1" applyProtection="1">
      <protection hidden="1"/>
    </xf>
    <xf numFmtId="1" fontId="0" fillId="0" borderId="0" xfId="2" applyNumberFormat="1" applyFont="1" applyProtection="1">
      <protection hidden="1"/>
    </xf>
    <xf numFmtId="0" fontId="0" fillId="0" borderId="0" xfId="0" applyAlignment="1" applyProtection="1">
      <alignment horizontal="center"/>
      <protection hidden="1"/>
    </xf>
    <xf numFmtId="0" fontId="6" fillId="0" borderId="5" xfId="0" applyFont="1" applyFill="1" applyBorder="1" applyAlignment="1" applyProtection="1">
      <alignment horizontal="left" vertical="center" indent="2"/>
      <protection hidden="1"/>
    </xf>
    <xf numFmtId="0" fontId="6" fillId="0" borderId="9" xfId="0" applyFont="1" applyFill="1" applyBorder="1" applyAlignment="1" applyProtection="1">
      <alignment horizontal="left" vertical="center" indent="2"/>
      <protection hidden="1"/>
    </xf>
    <xf numFmtId="0" fontId="3" fillId="0" borderId="0" xfId="0" applyFont="1" applyBorder="1" applyAlignment="1" applyProtection="1">
      <protection hidden="1"/>
    </xf>
    <xf numFmtId="0" fontId="20" fillId="0" borderId="0" xfId="0" applyFont="1" applyBorder="1" applyProtection="1">
      <protection hidden="1"/>
    </xf>
    <xf numFmtId="0" fontId="6" fillId="0" borderId="16" xfId="0" applyFont="1" applyFill="1" applyBorder="1" applyAlignment="1" applyProtection="1">
      <alignment vertical="center" wrapText="1"/>
      <protection hidden="1"/>
    </xf>
    <xf numFmtId="0" fontId="6" fillId="0" borderId="14" xfId="0" applyFont="1" applyBorder="1" applyAlignment="1" applyProtection="1">
      <alignment horizontal="right" vertical="center"/>
      <protection hidden="1"/>
    </xf>
    <xf numFmtId="0" fontId="6" fillId="0" borderId="13" xfId="0" applyFont="1" applyBorder="1" applyAlignment="1" applyProtection="1">
      <alignment horizontal="right" vertical="center"/>
      <protection hidden="1"/>
    </xf>
    <xf numFmtId="0" fontId="20" fillId="5" borderId="29" xfId="0" applyFont="1" applyFill="1" applyBorder="1" applyAlignment="1" applyProtection="1">
      <alignment vertical="center"/>
      <protection hidden="1"/>
    </xf>
    <xf numFmtId="0" fontId="20" fillId="5" borderId="2" xfId="0" applyFont="1" applyFill="1" applyBorder="1" applyAlignment="1" applyProtection="1">
      <alignment vertical="center"/>
      <protection hidden="1"/>
    </xf>
    <xf numFmtId="0" fontId="6" fillId="0" borderId="16" xfId="0" applyFont="1" applyBorder="1" applyAlignment="1" applyProtection="1">
      <alignment vertical="center"/>
      <protection hidden="1"/>
    </xf>
    <xf numFmtId="0" fontId="6" fillId="0" borderId="27" xfId="0" applyFont="1" applyBorder="1" applyAlignment="1" applyProtection="1">
      <alignment horizontal="right" vertical="center"/>
      <protection hidden="1"/>
    </xf>
    <xf numFmtId="4" fontId="2" fillId="0" borderId="28" xfId="0" applyNumberFormat="1" applyFont="1" applyFill="1" applyBorder="1" applyAlignment="1" applyProtection="1">
      <alignment horizontal="right" vertical="center" wrapText="1"/>
      <protection hidden="1"/>
    </xf>
    <xf numFmtId="0" fontId="6" fillId="0" borderId="17" xfId="0" applyFont="1" applyBorder="1" applyAlignment="1" applyProtection="1">
      <alignment vertical="center"/>
      <protection hidden="1"/>
    </xf>
    <xf numFmtId="4" fontId="2" fillId="0" borderId="7" xfId="0" applyNumberFormat="1" applyFont="1" applyFill="1" applyBorder="1" applyAlignment="1" applyProtection="1">
      <alignment horizontal="right" vertical="center" wrapText="1"/>
      <protection hidden="1"/>
    </xf>
    <xf numFmtId="3" fontId="20" fillId="0" borderId="0" xfId="0" applyNumberFormat="1" applyFont="1" applyAlignment="1" applyProtection="1">
      <alignment vertical="center"/>
      <protection hidden="1"/>
    </xf>
    <xf numFmtId="3" fontId="20" fillId="0" borderId="0" xfId="0" applyNumberFormat="1" applyFont="1" applyFill="1" applyBorder="1" applyAlignment="1" applyProtection="1">
      <alignment vertical="center"/>
      <protection hidden="1"/>
    </xf>
    <xf numFmtId="4" fontId="20" fillId="0" borderId="0" xfId="0" applyNumberFormat="1" applyFont="1" applyFill="1" applyBorder="1" applyAlignment="1" applyProtection="1">
      <alignment vertical="center"/>
      <protection hidden="1"/>
    </xf>
    <xf numFmtId="0" fontId="20" fillId="0" borderId="0" xfId="0" applyFont="1" applyAlignment="1" applyProtection="1">
      <alignment vertical="center"/>
      <protection hidden="1"/>
    </xf>
    <xf numFmtId="4" fontId="2" fillId="0" borderId="9" xfId="0" applyNumberFormat="1" applyFont="1" applyFill="1" applyBorder="1" applyAlignment="1" applyProtection="1">
      <alignment horizontal="right" vertical="center" wrapText="1"/>
      <protection hidden="1"/>
    </xf>
    <xf numFmtId="0" fontId="25" fillId="5" borderId="29" xfId="1" applyFont="1" applyFill="1" applyBorder="1" applyAlignment="1" applyProtection="1">
      <alignment vertical="center"/>
      <protection hidden="1"/>
    </xf>
    <xf numFmtId="0" fontId="25" fillId="5" borderId="2" xfId="1" applyFont="1" applyFill="1" applyBorder="1" applyAlignment="1" applyProtection="1">
      <alignment vertical="center"/>
      <protection hidden="1"/>
    </xf>
    <xf numFmtId="0" fontId="6" fillId="0" borderId="22" xfId="0" applyFont="1" applyBorder="1" applyAlignment="1" applyProtection="1">
      <alignment vertical="center"/>
      <protection hidden="1"/>
    </xf>
    <xf numFmtId="4" fontId="2" fillId="0" borderId="5" xfId="0" applyNumberFormat="1" applyFont="1" applyFill="1" applyBorder="1" applyAlignment="1" applyProtection="1">
      <alignment horizontal="right" vertical="center" wrapText="1"/>
      <protection hidden="1"/>
    </xf>
    <xf numFmtId="3" fontId="6" fillId="0" borderId="0" xfId="0" applyNumberFormat="1" applyFont="1" applyFill="1" applyAlignment="1" applyProtection="1">
      <alignment vertical="center"/>
      <protection hidden="1"/>
    </xf>
    <xf numFmtId="4" fontId="2" fillId="0" borderId="0" xfId="0" applyNumberFormat="1" applyFont="1" applyFill="1" applyBorder="1" applyAlignment="1" applyProtection="1">
      <alignment horizontal="left" vertical="center" wrapText="1"/>
      <protection hidden="1"/>
    </xf>
    <xf numFmtId="0" fontId="20" fillId="0" borderId="0" xfId="0" applyFont="1" applyFill="1" applyAlignment="1" applyProtection="1">
      <alignment vertical="center"/>
      <protection hidden="1"/>
    </xf>
    <xf numFmtId="4" fontId="47" fillId="0" borderId="7" xfId="0" applyNumberFormat="1" applyFont="1" applyFill="1" applyBorder="1" applyAlignment="1" applyProtection="1">
      <alignment horizontal="right" vertical="center" wrapText="1"/>
      <protection hidden="1"/>
    </xf>
    <xf numFmtId="2" fontId="20" fillId="0" borderId="0" xfId="0" applyNumberFormat="1" applyFont="1" applyAlignment="1" applyProtection="1">
      <alignment vertical="center"/>
      <protection hidden="1"/>
    </xf>
    <xf numFmtId="4" fontId="20" fillId="0" borderId="0" xfId="0" applyNumberFormat="1" applyFont="1" applyAlignment="1" applyProtection="1">
      <alignment vertical="center"/>
      <protection hidden="1"/>
    </xf>
    <xf numFmtId="4" fontId="2" fillId="0" borderId="11" xfId="0" applyNumberFormat="1" applyFont="1" applyFill="1" applyBorder="1" applyAlignment="1" applyProtection="1">
      <alignment horizontal="right" vertical="center" wrapText="1"/>
      <protection hidden="1"/>
    </xf>
    <xf numFmtId="4" fontId="2" fillId="0" borderId="34" xfId="0" applyNumberFormat="1" applyFont="1" applyFill="1" applyBorder="1" applyAlignment="1" applyProtection="1">
      <alignment horizontal="right" vertical="center" wrapText="1"/>
      <protection hidden="1"/>
    </xf>
    <xf numFmtId="4" fontId="2" fillId="0" borderId="35" xfId="0" applyNumberFormat="1" applyFont="1" applyFill="1" applyBorder="1" applyAlignment="1" applyProtection="1">
      <alignment horizontal="right" vertical="center" wrapText="1"/>
      <protection hidden="1"/>
    </xf>
    <xf numFmtId="4" fontId="2" fillId="0" borderId="33" xfId="0" applyNumberFormat="1" applyFont="1" applyFill="1" applyBorder="1" applyAlignment="1" applyProtection="1">
      <alignment horizontal="right" vertical="center" wrapText="1"/>
      <protection hidden="1"/>
    </xf>
    <xf numFmtId="4" fontId="2" fillId="0" borderId="38" xfId="0" applyNumberFormat="1" applyFont="1" applyFill="1" applyBorder="1" applyAlignment="1" applyProtection="1">
      <alignment horizontal="right" vertical="center" wrapText="1"/>
      <protection hidden="1"/>
    </xf>
    <xf numFmtId="4" fontId="2" fillId="0" borderId="44" xfId="0" applyNumberFormat="1" applyFont="1" applyFill="1" applyBorder="1" applyAlignment="1" applyProtection="1">
      <alignment horizontal="right" vertical="center" wrapText="1"/>
      <protection hidden="1"/>
    </xf>
    <xf numFmtId="4" fontId="2" fillId="0" borderId="15" xfId="0" applyNumberFormat="1" applyFont="1" applyFill="1" applyBorder="1" applyAlignment="1" applyProtection="1">
      <alignment horizontal="right" vertical="center" wrapText="1"/>
      <protection hidden="1"/>
    </xf>
    <xf numFmtId="4" fontId="2" fillId="0" borderId="43" xfId="0" applyNumberFormat="1" applyFont="1" applyFill="1" applyBorder="1" applyAlignment="1" applyProtection="1">
      <alignment horizontal="right" vertical="center" wrapText="1"/>
      <protection hidden="1"/>
    </xf>
    <xf numFmtId="4" fontId="2" fillId="0" borderId="13" xfId="0" applyNumberFormat="1" applyFont="1" applyFill="1" applyBorder="1" applyAlignment="1" applyProtection="1">
      <alignment horizontal="right" vertical="center" wrapText="1"/>
      <protection hidden="1"/>
    </xf>
    <xf numFmtId="0" fontId="20" fillId="0" borderId="0" xfId="0" applyFont="1" applyFill="1" applyBorder="1" applyAlignment="1" applyProtection="1">
      <alignment vertical="center"/>
      <protection hidden="1"/>
    </xf>
    <xf numFmtId="4" fontId="2" fillId="0" borderId="36" xfId="0" applyNumberFormat="1" applyFont="1" applyFill="1" applyBorder="1" applyAlignment="1" applyProtection="1">
      <alignment horizontal="right" vertical="center" wrapText="1"/>
      <protection hidden="1"/>
    </xf>
    <xf numFmtId="4" fontId="2" fillId="0" borderId="37" xfId="0" applyNumberFormat="1" applyFont="1" applyFill="1" applyBorder="1" applyAlignment="1" applyProtection="1">
      <alignment horizontal="right" vertical="center" wrapText="1"/>
      <protection hidden="1"/>
    </xf>
    <xf numFmtId="2" fontId="20" fillId="0" borderId="0" xfId="0" applyNumberFormat="1" applyFont="1" applyAlignment="1" applyProtection="1">
      <alignment horizontal="right" vertical="center"/>
      <protection hidden="1"/>
    </xf>
    <xf numFmtId="0" fontId="20" fillId="0" borderId="0" xfId="0" applyFont="1" applyFill="1" applyBorder="1" applyAlignment="1" applyProtection="1">
      <alignment horizontal="right" vertical="center"/>
      <protection hidden="1"/>
    </xf>
    <xf numFmtId="0" fontId="20" fillId="0" borderId="0" xfId="0" applyFont="1" applyAlignment="1" applyProtection="1">
      <alignment horizontal="right" vertical="center"/>
      <protection hidden="1"/>
    </xf>
    <xf numFmtId="0" fontId="6" fillId="0" borderId="0" xfId="0" applyFont="1" applyFill="1" applyBorder="1" applyAlignment="1" applyProtection="1">
      <alignment horizontal="right" vertical="center"/>
      <protection hidden="1"/>
    </xf>
    <xf numFmtId="0" fontId="6" fillId="0" borderId="16" xfId="0" applyFont="1" applyBorder="1" applyAlignment="1" applyProtection="1">
      <alignment horizontal="right" vertical="center"/>
      <protection hidden="1"/>
    </xf>
    <xf numFmtId="10" fontId="0" fillId="0" borderId="0" xfId="0" applyNumberFormat="1" applyFill="1" applyProtection="1">
      <protection hidden="1"/>
    </xf>
    <xf numFmtId="10" fontId="0" fillId="0" borderId="0" xfId="0" applyNumberFormat="1" applyProtection="1">
      <protection hidden="1"/>
    </xf>
    <xf numFmtId="9" fontId="0" fillId="0" borderId="0" xfId="0" applyNumberFormat="1" applyProtection="1">
      <protection hidden="1"/>
    </xf>
    <xf numFmtId="9" fontId="0" fillId="0" borderId="0" xfId="0" applyNumberFormat="1" applyFill="1" applyBorder="1" applyProtection="1">
      <protection hidden="1"/>
    </xf>
    <xf numFmtId="0" fontId="0" fillId="0" borderId="0" xfId="2" applyNumberFormat="1" applyFont="1" applyProtection="1">
      <protection hidden="1"/>
    </xf>
    <xf numFmtId="0" fontId="0" fillId="0" borderId="0" xfId="0" applyNumberFormat="1" applyProtection="1">
      <protection hidden="1"/>
    </xf>
    <xf numFmtId="10" fontId="0" fillId="0" borderId="0" xfId="0" applyNumberFormat="1" applyFill="1" applyBorder="1" applyProtection="1">
      <protection hidden="1"/>
    </xf>
    <xf numFmtId="0" fontId="0" fillId="0" borderId="0" xfId="0" applyAlignment="1" applyProtection="1">
      <protection hidden="1"/>
    </xf>
    <xf numFmtId="0" fontId="52" fillId="9" borderId="11" xfId="0" applyFont="1" applyFill="1" applyBorder="1" applyProtection="1">
      <protection hidden="1"/>
    </xf>
    <xf numFmtId="3" fontId="0" fillId="9" borderId="11" xfId="0" applyNumberFormat="1" applyFill="1" applyBorder="1" applyProtection="1">
      <protection hidden="1"/>
    </xf>
    <xf numFmtId="0" fontId="0" fillId="9" borderId="49" xfId="0" applyFill="1" applyBorder="1" applyProtection="1">
      <protection hidden="1"/>
    </xf>
    <xf numFmtId="0" fontId="0" fillId="9" borderId="50" xfId="0" applyFill="1" applyBorder="1" applyProtection="1">
      <protection hidden="1"/>
    </xf>
    <xf numFmtId="0" fontId="52" fillId="9" borderId="49" xfId="0" applyFont="1" applyFill="1" applyBorder="1" applyProtection="1">
      <protection hidden="1"/>
    </xf>
    <xf numFmtId="0" fontId="53" fillId="0" borderId="0" xfId="0" applyFont="1" applyFill="1" applyBorder="1" applyAlignment="1" applyProtection="1">
      <alignment vertical="center"/>
      <protection hidden="1"/>
    </xf>
    <xf numFmtId="0" fontId="54" fillId="0" borderId="0" xfId="0" applyFont="1" applyAlignment="1" applyProtection="1">
      <alignment horizontal="center" vertical="center"/>
      <protection hidden="1"/>
    </xf>
    <xf numFmtId="10" fontId="0" fillId="0" borderId="11" xfId="0" applyNumberFormat="1" applyBorder="1" applyProtection="1">
      <protection hidden="1"/>
    </xf>
    <xf numFmtId="9" fontId="0" fillId="0" borderId="0" xfId="2" applyNumberFormat="1" applyFont="1" applyProtection="1">
      <protection hidden="1"/>
    </xf>
    <xf numFmtId="10" fontId="0" fillId="0" borderId="0" xfId="2" applyNumberFormat="1" applyFont="1" applyProtection="1">
      <protection hidden="1"/>
    </xf>
    <xf numFmtId="3" fontId="0" fillId="0" borderId="0" xfId="0" applyNumberFormat="1" applyFill="1" applyBorder="1" applyProtection="1">
      <protection hidden="1"/>
    </xf>
    <xf numFmtId="4" fontId="2" fillId="3" borderId="22" xfId="0" applyNumberFormat="1" applyFont="1" applyFill="1" applyBorder="1" applyAlignment="1" applyProtection="1">
      <alignment horizontal="center" vertical="center" wrapText="1"/>
      <protection hidden="1"/>
    </xf>
    <xf numFmtId="4" fontId="2" fillId="3" borderId="17" xfId="0" applyNumberFormat="1" applyFont="1" applyFill="1" applyBorder="1" applyAlignment="1" applyProtection="1">
      <alignment horizontal="center" vertical="center" wrapText="1"/>
      <protection hidden="1"/>
    </xf>
    <xf numFmtId="4" fontId="2" fillId="3" borderId="23" xfId="0" applyNumberFormat="1" applyFont="1" applyFill="1" applyBorder="1" applyAlignment="1" applyProtection="1">
      <alignment horizontal="center" vertical="center" wrapText="1"/>
      <protection hidden="1"/>
    </xf>
    <xf numFmtId="3" fontId="6" fillId="0" borderId="7" xfId="0" applyNumberFormat="1" applyFont="1" applyBorder="1" applyAlignment="1" applyProtection="1">
      <alignment horizontal="right" vertical="center" wrapText="1"/>
      <protection hidden="1"/>
    </xf>
    <xf numFmtId="3" fontId="6" fillId="0" borderId="6" xfId="0" applyNumberFormat="1" applyFont="1" applyBorder="1" applyAlignment="1" applyProtection="1">
      <alignment horizontal="right" vertical="center" wrapText="1"/>
      <protection hidden="1"/>
    </xf>
    <xf numFmtId="3" fontId="6" fillId="0" borderId="6" xfId="0" applyNumberFormat="1" applyFont="1" applyFill="1" applyBorder="1" applyAlignment="1" applyProtection="1">
      <alignment horizontal="right" vertical="center" wrapText="1"/>
      <protection hidden="1"/>
    </xf>
    <xf numFmtId="166" fontId="6" fillId="0" borderId="7" xfId="0" applyNumberFormat="1" applyFont="1" applyBorder="1" applyAlignment="1" applyProtection="1">
      <alignment horizontal="right" vertical="center" wrapText="1"/>
      <protection hidden="1"/>
    </xf>
    <xf numFmtId="3" fontId="6" fillId="0" borderId="9" xfId="0" applyNumberFormat="1" applyFont="1" applyBorder="1" applyAlignment="1" applyProtection="1">
      <alignment horizontal="right" vertical="center" wrapText="1"/>
      <protection hidden="1"/>
    </xf>
    <xf numFmtId="3" fontId="6" fillId="0" borderId="5" xfId="0" applyNumberFormat="1" applyFont="1" applyBorder="1" applyAlignment="1" applyProtection="1">
      <alignment horizontal="right" vertical="center" wrapText="1"/>
      <protection hidden="1"/>
    </xf>
    <xf numFmtId="0" fontId="16" fillId="0" borderId="17" xfId="0" applyFont="1" applyFill="1" applyBorder="1" applyAlignment="1" applyProtection="1">
      <alignment horizontal="right"/>
      <protection hidden="1"/>
    </xf>
    <xf numFmtId="0" fontId="16" fillId="0" borderId="13" xfId="0" applyFont="1" applyFill="1" applyBorder="1" applyAlignment="1" applyProtection="1">
      <alignment horizontal="right"/>
      <protection hidden="1"/>
    </xf>
    <xf numFmtId="0" fontId="16" fillId="0" borderId="27" xfId="0" applyFont="1" applyFill="1" applyBorder="1" applyAlignment="1" applyProtection="1">
      <alignment horizontal="right"/>
      <protection hidden="1"/>
    </xf>
    <xf numFmtId="0" fontId="23" fillId="0" borderId="0" xfId="1" applyFont="1" applyAlignment="1" applyProtection="1">
      <alignment horizontal="right"/>
      <protection hidden="1"/>
    </xf>
    <xf numFmtId="0" fontId="6" fillId="0" borderId="0" xfId="0" applyFont="1" applyFill="1" applyBorder="1" applyAlignment="1" applyProtection="1">
      <alignment horizontal="center" vertical="center" wrapText="1"/>
      <protection hidden="1"/>
    </xf>
    <xf numFmtId="0" fontId="16" fillId="0" borderId="13" xfId="0" applyFont="1" applyFill="1" applyBorder="1" applyAlignment="1" applyProtection="1">
      <protection hidden="1"/>
    </xf>
    <xf numFmtId="3" fontId="6" fillId="0" borderId="4" xfId="0" applyNumberFormat="1" applyFont="1" applyBorder="1" applyAlignment="1" applyProtection="1">
      <alignment horizontal="right" vertical="center" wrapText="1"/>
      <protection hidden="1"/>
    </xf>
    <xf numFmtId="166" fontId="6" fillId="0" borderId="6" xfId="0" applyNumberFormat="1" applyFont="1" applyBorder="1" applyAlignment="1" applyProtection="1">
      <alignment horizontal="right" vertical="center" wrapText="1"/>
      <protection hidden="1"/>
    </xf>
    <xf numFmtId="3" fontId="6" fillId="0" borderId="8" xfId="0" applyNumberFormat="1" applyFont="1" applyBorder="1" applyAlignment="1" applyProtection="1">
      <alignment horizontal="right" vertical="center" wrapText="1"/>
      <protection hidden="1"/>
    </xf>
    <xf numFmtId="0" fontId="14" fillId="0" borderId="0" xfId="0" applyFont="1" applyFill="1" applyBorder="1" applyAlignment="1" applyProtection="1">
      <alignment horizontal="right" wrapText="1"/>
      <protection hidden="1"/>
    </xf>
    <xf numFmtId="0" fontId="8" fillId="7" borderId="0" xfId="0" applyFont="1" applyFill="1" applyBorder="1" applyAlignment="1" applyProtection="1">
      <alignment horizontal="right"/>
      <protection hidden="1"/>
    </xf>
    <xf numFmtId="0" fontId="19" fillId="0" borderId="0" xfId="0" applyFont="1" applyAlignment="1" applyProtection="1">
      <alignment horizontal="right"/>
      <protection hidden="1"/>
    </xf>
    <xf numFmtId="0" fontId="8" fillId="0" borderId="0" xfId="0" applyFont="1" applyBorder="1" applyAlignment="1" applyProtection="1">
      <alignment horizontal="right"/>
      <protection hidden="1"/>
    </xf>
    <xf numFmtId="0" fontId="0" fillId="0" borderId="0" xfId="0" applyFill="1" applyAlignment="1" applyProtection="1">
      <alignment horizontal="right"/>
      <protection hidden="1"/>
    </xf>
    <xf numFmtId="0" fontId="22" fillId="0" borderId="0" xfId="0" applyFont="1" applyFill="1" applyBorder="1" applyAlignment="1" applyProtection="1">
      <alignment horizontal="right" wrapText="1"/>
      <protection hidden="1"/>
    </xf>
    <xf numFmtId="0" fontId="4" fillId="0" borderId="24" xfId="0" applyFont="1" applyBorder="1" applyAlignment="1" applyProtection="1">
      <alignment horizontal="right" vertical="center"/>
      <protection hidden="1"/>
    </xf>
    <xf numFmtId="0" fontId="4" fillId="0" borderId="26" xfId="0" applyFont="1" applyBorder="1" applyAlignment="1" applyProtection="1">
      <alignment horizontal="right" vertical="center"/>
      <protection hidden="1"/>
    </xf>
    <xf numFmtId="0" fontId="4" fillId="0" borderId="0" xfId="0" applyFont="1" applyFill="1" applyBorder="1" applyAlignment="1" applyProtection="1">
      <alignment horizontal="right" vertical="center" wrapText="1"/>
      <protection hidden="1"/>
    </xf>
    <xf numFmtId="0" fontId="4" fillId="0" borderId="5" xfId="0" applyFont="1" applyBorder="1" applyAlignment="1" applyProtection="1">
      <alignment horizontal="right" vertical="center" wrapText="1"/>
      <protection hidden="1"/>
    </xf>
    <xf numFmtId="0" fontId="4" fillId="0" borderId="9" xfId="0" applyFont="1" applyBorder="1" applyAlignment="1" applyProtection="1">
      <alignment horizontal="right" vertical="center" wrapText="1"/>
      <protection hidden="1"/>
    </xf>
    <xf numFmtId="0" fontId="4" fillId="0" borderId="7" xfId="0" applyFont="1" applyBorder="1" applyAlignment="1" applyProtection="1">
      <alignment horizontal="right" vertical="center" wrapText="1"/>
      <protection hidden="1"/>
    </xf>
    <xf numFmtId="0" fontId="4" fillId="0" borderId="25" xfId="0" applyFont="1" applyBorder="1" applyAlignment="1" applyProtection="1">
      <alignment horizontal="right" vertical="center" wrapText="1"/>
      <protection hidden="1"/>
    </xf>
    <xf numFmtId="0" fontId="4" fillId="0" borderId="26" xfId="0" applyFont="1" applyBorder="1" applyAlignment="1" applyProtection="1">
      <alignment horizontal="right" vertical="center" wrapText="1"/>
      <protection hidden="1"/>
    </xf>
    <xf numFmtId="0" fontId="4" fillId="0" borderId="24" xfId="0" applyFont="1" applyBorder="1" applyAlignment="1" applyProtection="1">
      <alignment horizontal="right" vertical="center" wrapText="1"/>
      <protection hidden="1"/>
    </xf>
    <xf numFmtId="0" fontId="6" fillId="4" borderId="2" xfId="0" applyFont="1" applyFill="1" applyBorder="1" applyAlignment="1" applyProtection="1">
      <alignment horizontal="right" vertical="center" wrapText="1"/>
      <protection hidden="1"/>
    </xf>
    <xf numFmtId="0" fontId="4" fillId="0" borderId="14" xfId="0" applyFont="1" applyBorder="1" applyAlignment="1" applyProtection="1">
      <alignment horizontal="right" vertical="center" wrapText="1"/>
      <protection hidden="1"/>
    </xf>
    <xf numFmtId="0" fontId="4" fillId="0" borderId="13" xfId="0" applyFont="1" applyBorder="1" applyAlignment="1" applyProtection="1">
      <alignment horizontal="right" vertical="center" wrapText="1"/>
      <protection hidden="1"/>
    </xf>
    <xf numFmtId="0" fontId="4" fillId="0" borderId="15" xfId="0" applyFont="1" applyBorder="1" applyAlignment="1" applyProtection="1">
      <alignment horizontal="right" vertical="center" wrapText="1"/>
      <protection hidden="1"/>
    </xf>
    <xf numFmtId="0" fontId="16" fillId="0" borderId="17" xfId="0" applyFont="1" applyFill="1" applyBorder="1" applyAlignment="1" applyProtection="1">
      <alignment horizontal="right"/>
      <protection hidden="1"/>
    </xf>
    <xf numFmtId="0" fontId="16" fillId="0" borderId="13" xfId="0" applyFont="1" applyFill="1" applyBorder="1" applyAlignment="1" applyProtection="1">
      <alignment horizontal="right"/>
      <protection hidden="1"/>
    </xf>
    <xf numFmtId="0" fontId="20" fillId="5" borderId="32" xfId="0" applyFont="1" applyFill="1" applyBorder="1" applyProtection="1">
      <protection hidden="1"/>
    </xf>
    <xf numFmtId="0" fontId="20" fillId="0" borderId="13" xfId="0" applyFont="1" applyBorder="1" applyProtection="1">
      <protection hidden="1"/>
    </xf>
    <xf numFmtId="0" fontId="3" fillId="0" borderId="15" xfId="0" applyFont="1" applyBorder="1" applyAlignment="1" applyProtection="1">
      <alignment horizontal="center"/>
      <protection hidden="1"/>
    </xf>
    <xf numFmtId="0" fontId="6" fillId="4" borderId="15" xfId="0" applyFont="1" applyFill="1" applyBorder="1" applyAlignment="1" applyProtection="1">
      <alignment horizontal="center" vertical="center" wrapText="1"/>
      <protection hidden="1"/>
    </xf>
    <xf numFmtId="0" fontId="6" fillId="4" borderId="23" xfId="0" applyFont="1" applyFill="1" applyBorder="1" applyAlignment="1" applyProtection="1">
      <alignment horizontal="center" vertical="center" wrapText="1"/>
      <protection hidden="1"/>
    </xf>
    <xf numFmtId="0" fontId="23" fillId="0" borderId="0" xfId="1" applyFont="1" applyFill="1" applyAlignment="1" applyProtection="1">
      <alignment horizontal="right"/>
      <protection hidden="1"/>
    </xf>
    <xf numFmtId="0" fontId="4" fillId="0" borderId="24" xfId="0" applyFont="1" applyBorder="1" applyAlignment="1" applyProtection="1">
      <alignment horizontal="right" vertical="center"/>
      <protection hidden="1"/>
    </xf>
    <xf numFmtId="0" fontId="6" fillId="4" borderId="15" xfId="0" applyFont="1" applyFill="1" applyBorder="1" applyAlignment="1" applyProtection="1">
      <alignment horizontal="center" vertical="center" wrapText="1"/>
      <protection hidden="1"/>
    </xf>
    <xf numFmtId="0" fontId="4" fillId="0" borderId="24" xfId="0" applyFont="1" applyBorder="1" applyAlignment="1" applyProtection="1">
      <alignment horizontal="right" vertical="center"/>
      <protection hidden="1"/>
    </xf>
    <xf numFmtId="0" fontId="6" fillId="4" borderId="23" xfId="0" applyFont="1" applyFill="1" applyBorder="1" applyAlignment="1" applyProtection="1">
      <alignment horizontal="center" vertical="center" wrapText="1"/>
      <protection hidden="1"/>
    </xf>
    <xf numFmtId="0" fontId="6" fillId="0" borderId="0" xfId="0" applyFont="1" applyFill="1" applyBorder="1" applyAlignment="1" applyProtection="1">
      <alignment horizontal="left" vertical="center" indent="2"/>
      <protection hidden="1"/>
    </xf>
    <xf numFmtId="0" fontId="0" fillId="9" borderId="24" xfId="0" applyFill="1" applyBorder="1" applyProtection="1">
      <protection hidden="1"/>
    </xf>
    <xf numFmtId="0" fontId="0" fillId="0" borderId="24" xfId="0" applyBorder="1" applyProtection="1">
      <protection hidden="1"/>
    </xf>
    <xf numFmtId="0" fontId="0" fillId="0" borderId="0" xfId="2" applyNumberFormat="1" applyFont="1" applyFill="1" applyBorder="1" applyProtection="1">
      <protection hidden="1"/>
    </xf>
    <xf numFmtId="2" fontId="0" fillId="0" borderId="0" xfId="2" applyNumberFormat="1" applyFont="1" applyFill="1" applyBorder="1" applyProtection="1">
      <protection hidden="1"/>
    </xf>
    <xf numFmtId="0" fontId="0" fillId="0" borderId="0" xfId="2" applyNumberFormat="1" applyFont="1" applyFill="1" applyProtection="1">
      <protection hidden="1"/>
    </xf>
    <xf numFmtId="2" fontId="0" fillId="0" borderId="0" xfId="2" applyNumberFormat="1" applyFont="1" applyFill="1" applyProtection="1">
      <protection hidden="1"/>
    </xf>
    <xf numFmtId="4" fontId="2" fillId="0" borderId="12" xfId="0" applyNumberFormat="1" applyFont="1" applyFill="1" applyBorder="1" applyAlignment="1" applyProtection="1">
      <alignment horizontal="center" vertical="center" wrapText="1"/>
      <protection hidden="1"/>
    </xf>
    <xf numFmtId="0" fontId="6" fillId="0" borderId="0" xfId="0" applyFont="1" applyBorder="1" applyAlignment="1" applyProtection="1">
      <protection hidden="1"/>
    </xf>
    <xf numFmtId="0" fontId="6" fillId="0" borderId="0" xfId="0" applyFont="1" applyBorder="1" applyAlignment="1" applyProtection="1">
      <alignment horizontal="right"/>
      <protection hidden="1"/>
    </xf>
    <xf numFmtId="0" fontId="20" fillId="5" borderId="2" xfId="0" applyFont="1" applyFill="1" applyBorder="1" applyProtection="1">
      <protection hidden="1"/>
    </xf>
    <xf numFmtId="4" fontId="2" fillId="0" borderId="4" xfId="0" applyNumberFormat="1" applyFont="1" applyFill="1" applyBorder="1" applyAlignment="1" applyProtection="1">
      <alignment horizontal="right" vertical="center" wrapText="1" indent="1"/>
      <protection hidden="1"/>
    </xf>
    <xf numFmtId="0" fontId="6" fillId="4" borderId="15" xfId="0" applyFont="1" applyFill="1" applyBorder="1" applyAlignment="1" applyProtection="1">
      <alignment horizontal="center" vertical="center" wrapText="1"/>
      <protection hidden="1"/>
    </xf>
    <xf numFmtId="0" fontId="2" fillId="4" borderId="14" xfId="0" applyFont="1" applyFill="1" applyBorder="1" applyAlignment="1" applyProtection="1">
      <alignment horizontal="center" vertical="center" wrapText="1"/>
      <protection hidden="1"/>
    </xf>
    <xf numFmtId="0" fontId="6" fillId="4" borderId="13" xfId="0" applyFont="1" applyFill="1" applyBorder="1" applyAlignment="1" applyProtection="1">
      <alignment horizontal="center" vertical="center" wrapText="1"/>
      <protection hidden="1"/>
    </xf>
    <xf numFmtId="0" fontId="23" fillId="0" borderId="0" xfId="1" applyFont="1" applyAlignment="1" applyProtection="1">
      <alignment horizontal="right"/>
      <protection hidden="1"/>
    </xf>
    <xf numFmtId="0" fontId="2" fillId="4" borderId="22" xfId="0" applyFont="1" applyFill="1" applyBorder="1" applyAlignment="1" applyProtection="1">
      <alignment horizontal="center" vertical="center" wrapText="1"/>
      <protection hidden="1"/>
    </xf>
    <xf numFmtId="0" fontId="6" fillId="4" borderId="23" xfId="0" applyFont="1" applyFill="1" applyBorder="1" applyAlignment="1" applyProtection="1">
      <alignment horizontal="center" vertical="center" wrapText="1"/>
      <protection hidden="1"/>
    </xf>
    <xf numFmtId="0" fontId="6" fillId="0" borderId="0" xfId="0" applyFont="1" applyFill="1" applyBorder="1" applyAlignment="1" applyProtection="1">
      <alignment horizontal="center" vertical="center" wrapText="1"/>
      <protection hidden="1"/>
    </xf>
    <xf numFmtId="0" fontId="6" fillId="4" borderId="17" xfId="0" applyFont="1" applyFill="1" applyBorder="1" applyAlignment="1" applyProtection="1">
      <alignment horizontal="center" vertical="center" wrapText="1"/>
      <protection hidden="1"/>
    </xf>
    <xf numFmtId="0" fontId="6" fillId="0" borderId="12" xfId="0" applyFont="1" applyBorder="1" applyAlignment="1" applyProtection="1">
      <alignment horizontal="left" vertical="center" indent="2"/>
      <protection hidden="1"/>
    </xf>
    <xf numFmtId="0" fontId="20" fillId="0" borderId="30" xfId="0" applyFont="1" applyBorder="1" applyProtection="1">
      <protection hidden="1"/>
    </xf>
    <xf numFmtId="4" fontId="2" fillId="0" borderId="25" xfId="0" applyNumberFormat="1" applyFont="1" applyFill="1" applyBorder="1" applyAlignment="1" applyProtection="1">
      <alignment horizontal="right" vertical="center" wrapText="1" indent="1"/>
      <protection hidden="1"/>
    </xf>
    <xf numFmtId="0" fontId="3" fillId="0" borderId="32" xfId="0" applyFont="1" applyBorder="1" applyAlignment="1" applyProtection="1">
      <alignment horizontal="center"/>
      <protection hidden="1"/>
    </xf>
    <xf numFmtId="0" fontId="6" fillId="4" borderId="40" xfId="0" applyFont="1" applyFill="1" applyBorder="1" applyAlignment="1" applyProtection="1">
      <alignment horizontal="right" vertical="center" wrapText="1"/>
      <protection hidden="1"/>
    </xf>
    <xf numFmtId="0" fontId="2" fillId="4" borderId="40" xfId="0" applyFont="1" applyFill="1" applyBorder="1" applyAlignment="1" applyProtection="1">
      <alignment horizontal="center" vertical="center" wrapText="1"/>
      <protection hidden="1"/>
    </xf>
    <xf numFmtId="0" fontId="2" fillId="4" borderId="35" xfId="0" applyFont="1" applyFill="1" applyBorder="1" applyAlignment="1" applyProtection="1">
      <alignment horizontal="center" vertical="center" wrapText="1"/>
      <protection hidden="1"/>
    </xf>
    <xf numFmtId="0" fontId="6" fillId="4" borderId="41" xfId="0" applyFont="1" applyFill="1" applyBorder="1" applyAlignment="1" applyProtection="1">
      <alignment horizontal="right" vertical="center" wrapText="1"/>
      <protection hidden="1"/>
    </xf>
    <xf numFmtId="0" fontId="2" fillId="4" borderId="41" xfId="0" applyFont="1" applyFill="1" applyBorder="1" applyAlignment="1" applyProtection="1">
      <alignment horizontal="center" vertical="center" wrapText="1"/>
      <protection hidden="1"/>
    </xf>
    <xf numFmtId="0" fontId="2" fillId="4" borderId="37" xfId="0" applyFont="1" applyFill="1" applyBorder="1" applyAlignment="1" applyProtection="1">
      <alignment horizontal="center" vertical="center" wrapText="1"/>
      <protection hidden="1"/>
    </xf>
    <xf numFmtId="0" fontId="6" fillId="4" borderId="39" xfId="0" applyFont="1" applyFill="1" applyBorder="1" applyAlignment="1" applyProtection="1">
      <alignment horizontal="right" vertical="center" wrapText="1"/>
      <protection hidden="1"/>
    </xf>
    <xf numFmtId="0" fontId="2" fillId="4" borderId="39" xfId="0" applyFont="1" applyFill="1" applyBorder="1" applyAlignment="1" applyProtection="1">
      <alignment horizontal="center" vertical="center" wrapText="1"/>
      <protection hidden="1"/>
    </xf>
    <xf numFmtId="0" fontId="2" fillId="4" borderId="38" xfId="0" applyFont="1" applyFill="1" applyBorder="1" applyAlignment="1" applyProtection="1">
      <alignment horizontal="center" vertical="center" wrapText="1"/>
      <protection hidden="1"/>
    </xf>
    <xf numFmtId="0" fontId="23" fillId="0" borderId="0" xfId="1" applyFont="1" applyAlignment="1" applyProtection="1">
      <alignment horizontal="right"/>
      <protection hidden="1"/>
    </xf>
    <xf numFmtId="3" fontId="6" fillId="0" borderId="11" xfId="0" applyNumberFormat="1" applyFont="1" applyBorder="1" applyAlignment="1" applyProtection="1">
      <alignment horizontal="center" vertical="center" wrapText="1"/>
      <protection hidden="1"/>
    </xf>
    <xf numFmtId="4" fontId="2" fillId="3" borderId="11" xfId="0" applyNumberFormat="1" applyFont="1" applyFill="1" applyBorder="1" applyAlignment="1" applyProtection="1">
      <alignment horizontal="center" vertical="center" wrapText="1"/>
      <protection hidden="1"/>
    </xf>
    <xf numFmtId="0" fontId="6" fillId="0" borderId="0" xfId="0" applyFont="1" applyBorder="1" applyAlignment="1" applyProtection="1">
      <alignment vertical="center"/>
      <protection hidden="1"/>
    </xf>
    <xf numFmtId="0" fontId="6" fillId="0" borderId="0" xfId="0" applyFont="1" applyBorder="1" applyAlignment="1" applyProtection="1">
      <alignment horizontal="right" vertical="center"/>
      <protection hidden="1"/>
    </xf>
    <xf numFmtId="4" fontId="2" fillId="0" borderId="52" xfId="0" applyNumberFormat="1" applyFont="1" applyFill="1" applyBorder="1" applyAlignment="1" applyProtection="1">
      <alignment horizontal="right" vertical="center" wrapText="1"/>
      <protection hidden="1"/>
    </xf>
    <xf numFmtId="0" fontId="25" fillId="5" borderId="32" xfId="1" applyFont="1" applyFill="1" applyBorder="1" applyAlignment="1" applyProtection="1">
      <alignment vertical="center"/>
      <protection hidden="1"/>
    </xf>
    <xf numFmtId="0" fontId="25" fillId="5" borderId="18" xfId="1" applyFont="1" applyFill="1" applyBorder="1" applyAlignment="1" applyProtection="1">
      <alignment vertical="center"/>
      <protection hidden="1"/>
    </xf>
    <xf numFmtId="0" fontId="6" fillId="0" borderId="43" xfId="0" applyFont="1" applyBorder="1" applyAlignment="1" applyProtection="1">
      <alignment horizontal="right" vertical="center"/>
      <protection hidden="1"/>
    </xf>
    <xf numFmtId="0" fontId="6" fillId="0" borderId="23" xfId="0" applyFont="1" applyBorder="1" applyAlignment="1" applyProtection="1">
      <alignment vertical="center"/>
      <protection hidden="1"/>
    </xf>
    <xf numFmtId="0" fontId="6" fillId="0" borderId="44" xfId="0" applyFont="1" applyBorder="1" applyAlignment="1" applyProtection="1">
      <alignment horizontal="right" vertical="center"/>
      <protection hidden="1"/>
    </xf>
    <xf numFmtId="0" fontId="20" fillId="5" borderId="32" xfId="0" applyFont="1" applyFill="1" applyBorder="1" applyAlignment="1" applyProtection="1">
      <alignment vertical="center"/>
      <protection hidden="1"/>
    </xf>
    <xf numFmtId="0" fontId="6" fillId="0" borderId="42" xfId="0" applyFont="1" applyBorder="1" applyAlignment="1" applyProtection="1">
      <alignment horizontal="right" vertical="center"/>
      <protection hidden="1"/>
    </xf>
    <xf numFmtId="0" fontId="6" fillId="0" borderId="10" xfId="0" applyFont="1" applyBorder="1" applyAlignment="1" applyProtection="1">
      <alignment horizontal="left" vertical="center" indent="2"/>
      <protection hidden="1"/>
    </xf>
    <xf numFmtId="0" fontId="6" fillId="4" borderId="8" xfId="0" applyFont="1" applyFill="1" applyBorder="1" applyAlignment="1" applyProtection="1">
      <alignment horizontal="center" vertical="center" wrapText="1"/>
      <protection hidden="1"/>
    </xf>
    <xf numFmtId="0" fontId="6" fillId="4" borderId="23" xfId="0" applyFont="1" applyFill="1" applyBorder="1" applyAlignment="1" applyProtection="1">
      <alignment horizontal="center" vertical="center" wrapText="1"/>
      <protection hidden="1"/>
    </xf>
    <xf numFmtId="0" fontId="6" fillId="0" borderId="0" xfId="0" applyFont="1" applyFill="1" applyBorder="1" applyAlignment="1" applyProtection="1">
      <alignment horizontal="center" vertical="center" wrapText="1"/>
      <protection hidden="1"/>
    </xf>
    <xf numFmtId="4" fontId="2" fillId="3" borderId="53" xfId="0" applyNumberFormat="1" applyFont="1" applyFill="1" applyBorder="1" applyAlignment="1" applyProtection="1">
      <alignment horizontal="center" vertical="center" wrapText="1"/>
      <protection hidden="1"/>
    </xf>
    <xf numFmtId="3" fontId="6" fillId="0" borderId="29" xfId="0" applyNumberFormat="1" applyFont="1" applyBorder="1" applyAlignment="1" applyProtection="1">
      <alignment horizontal="center" vertical="center" wrapText="1"/>
      <protection hidden="1"/>
    </xf>
    <xf numFmtId="2" fontId="6" fillId="0" borderId="11" xfId="0" applyNumberFormat="1" applyFont="1" applyBorder="1" applyAlignment="1" applyProtection="1">
      <alignment horizontal="left" vertical="center" wrapText="1" indent="2"/>
      <protection hidden="1"/>
    </xf>
    <xf numFmtId="2" fontId="6" fillId="0" borderId="1" xfId="0" applyNumberFormat="1" applyFont="1" applyBorder="1" applyAlignment="1" applyProtection="1">
      <alignment horizontal="left" vertical="center" indent="2"/>
      <protection hidden="1"/>
    </xf>
    <xf numFmtId="0" fontId="6" fillId="0" borderId="32" xfId="0" applyFont="1" applyBorder="1" applyAlignment="1" applyProtection="1">
      <alignment vertical="center"/>
      <protection hidden="1"/>
    </xf>
    <xf numFmtId="0" fontId="6" fillId="0" borderId="32" xfId="0" applyFont="1" applyBorder="1" applyAlignment="1" applyProtection="1">
      <alignment horizontal="right" vertical="center"/>
      <protection hidden="1"/>
    </xf>
    <xf numFmtId="4" fontId="2" fillId="0" borderId="32" xfId="0" applyNumberFormat="1" applyFont="1" applyFill="1" applyBorder="1" applyAlignment="1" applyProtection="1">
      <alignment horizontal="right" vertical="center" wrapText="1"/>
      <protection hidden="1"/>
    </xf>
    <xf numFmtId="4" fontId="2" fillId="0" borderId="1" xfId="0" applyNumberFormat="1" applyFont="1" applyFill="1" applyBorder="1" applyAlignment="1" applyProtection="1">
      <alignment horizontal="right" vertical="center" wrapText="1" indent="1"/>
      <protection hidden="1"/>
    </xf>
    <xf numFmtId="0" fontId="6" fillId="0" borderId="12" xfId="0" applyFont="1" applyFill="1" applyBorder="1" applyAlignment="1" applyProtection="1">
      <alignment horizontal="center" vertical="center" wrapText="1"/>
      <protection hidden="1"/>
    </xf>
    <xf numFmtId="4" fontId="2" fillId="0" borderId="12" xfId="0" applyNumberFormat="1" applyFont="1" applyFill="1" applyBorder="1" applyAlignment="1" applyProtection="1">
      <alignment horizontal="right" vertical="center" wrapText="1" indent="1"/>
      <protection hidden="1"/>
    </xf>
    <xf numFmtId="0" fontId="2" fillId="0" borderId="10" xfId="0" applyFont="1" applyFill="1" applyBorder="1" applyAlignment="1" applyProtection="1">
      <alignment horizontal="center" vertical="center" wrapText="1"/>
      <protection hidden="1"/>
    </xf>
    <xf numFmtId="0" fontId="2" fillId="0" borderId="32" xfId="0" applyFont="1" applyFill="1" applyBorder="1" applyAlignment="1" applyProtection="1">
      <alignment horizontal="center" vertical="center" wrapText="1"/>
      <protection hidden="1"/>
    </xf>
    <xf numFmtId="0" fontId="31" fillId="0" borderId="0" xfId="0" applyFont="1" applyBorder="1" applyAlignment="1" applyProtection="1">
      <alignment horizontal="left" vertical="top" wrapText="1"/>
      <protection hidden="1"/>
    </xf>
    <xf numFmtId="0" fontId="6" fillId="4" borderId="8" xfId="0" applyFont="1" applyFill="1" applyBorder="1" applyAlignment="1" applyProtection="1">
      <alignment horizontal="center" vertical="center" wrapText="1"/>
      <protection hidden="1"/>
    </xf>
    <xf numFmtId="0" fontId="6" fillId="4" borderId="44" xfId="0" applyFont="1" applyFill="1" applyBorder="1" applyAlignment="1" applyProtection="1">
      <alignment horizontal="center" vertical="center" wrapText="1"/>
      <protection hidden="1"/>
    </xf>
    <xf numFmtId="0" fontId="6" fillId="4" borderId="23" xfId="0" applyFont="1" applyFill="1" applyBorder="1" applyAlignment="1" applyProtection="1">
      <alignment horizontal="center" vertical="center" wrapText="1"/>
      <protection hidden="1"/>
    </xf>
    <xf numFmtId="0" fontId="6" fillId="4" borderId="15" xfId="0" applyFont="1" applyFill="1" applyBorder="1" applyAlignment="1" applyProtection="1">
      <alignment horizontal="center" vertical="center" wrapText="1"/>
      <protection hidden="1"/>
    </xf>
    <xf numFmtId="9" fontId="14" fillId="5" borderId="3" xfId="0" applyNumberFormat="1" applyFont="1" applyFill="1" applyBorder="1" applyAlignment="1" applyProtection="1">
      <alignment horizontal="left" wrapText="1"/>
      <protection hidden="1"/>
    </xf>
    <xf numFmtId="0" fontId="14" fillId="5" borderId="3" xfId="0" applyFont="1" applyFill="1" applyBorder="1" applyAlignment="1" applyProtection="1">
      <alignment horizontal="left" wrapText="1"/>
      <protection hidden="1"/>
    </xf>
    <xf numFmtId="0" fontId="49" fillId="5" borderId="3" xfId="0" applyFont="1" applyFill="1" applyBorder="1" applyAlignment="1" applyProtection="1">
      <alignment horizontal="left" wrapText="1"/>
      <protection hidden="1"/>
    </xf>
    <xf numFmtId="0" fontId="28" fillId="5" borderId="3" xfId="0" applyFont="1" applyFill="1" applyBorder="1" applyAlignment="1" applyProtection="1">
      <alignment horizontal="center"/>
      <protection hidden="1"/>
    </xf>
    <xf numFmtId="0" fontId="34" fillId="5" borderId="3" xfId="1" applyFont="1" applyFill="1" applyBorder="1" applyAlignment="1" applyProtection="1">
      <alignment horizontal="right"/>
      <protection hidden="1"/>
    </xf>
    <xf numFmtId="0" fontId="2" fillId="4" borderId="4" xfId="0" applyFont="1" applyFill="1" applyBorder="1" applyAlignment="1" applyProtection="1">
      <alignment horizontal="center" vertical="center" wrapText="1"/>
      <protection hidden="1"/>
    </xf>
    <xf numFmtId="0" fontId="2" fillId="4" borderId="22" xfId="0" applyFont="1" applyFill="1" applyBorder="1" applyAlignment="1" applyProtection="1">
      <alignment horizontal="center" vertical="center" wrapText="1"/>
      <protection hidden="1"/>
    </xf>
    <xf numFmtId="0" fontId="2" fillId="4" borderId="14" xfId="0" applyFont="1" applyFill="1" applyBorder="1" applyAlignment="1" applyProtection="1">
      <alignment horizontal="center" vertical="center" wrapText="1"/>
      <protection hidden="1"/>
    </xf>
    <xf numFmtId="0" fontId="23" fillId="0" borderId="0" xfId="1" applyFont="1" applyAlignment="1" applyProtection="1">
      <alignment horizontal="right"/>
      <protection hidden="1"/>
    </xf>
    <xf numFmtId="0" fontId="0" fillId="0" borderId="0" xfId="0" applyAlignment="1"/>
    <xf numFmtId="0" fontId="6" fillId="4" borderId="6" xfId="0" applyFont="1" applyFill="1" applyBorder="1" applyAlignment="1" applyProtection="1">
      <alignment horizontal="center" vertical="center" wrapText="1"/>
      <protection hidden="1"/>
    </xf>
    <xf numFmtId="0" fontId="6" fillId="4" borderId="13" xfId="0" applyFont="1" applyFill="1" applyBorder="1" applyAlignment="1" applyProtection="1">
      <alignment horizontal="center" vertical="center" wrapText="1"/>
      <protection hidden="1"/>
    </xf>
    <xf numFmtId="0" fontId="23" fillId="5" borderId="3" xfId="1" applyFont="1" applyFill="1" applyBorder="1" applyAlignment="1" applyProtection="1">
      <alignment horizontal="right"/>
      <protection hidden="1"/>
    </xf>
    <xf numFmtId="9" fontId="22" fillId="5" borderId="3" xfId="0" applyNumberFormat="1" applyFont="1" applyFill="1" applyBorder="1" applyAlignment="1" applyProtection="1">
      <alignment horizontal="left" wrapText="1"/>
      <protection hidden="1"/>
    </xf>
    <xf numFmtId="0" fontId="22" fillId="5" borderId="3" xfId="0" applyFont="1" applyFill="1" applyBorder="1" applyAlignment="1" applyProtection="1">
      <alignment horizontal="left" wrapText="1"/>
      <protection hidden="1"/>
    </xf>
    <xf numFmtId="0" fontId="16" fillId="0" borderId="17" xfId="0" applyFont="1" applyFill="1" applyBorder="1" applyAlignment="1" applyProtection="1">
      <alignment horizontal="right"/>
      <protection hidden="1"/>
    </xf>
    <xf numFmtId="0" fontId="16" fillId="0" borderId="13" xfId="0" applyFont="1" applyFill="1" applyBorder="1" applyAlignment="1" applyProtection="1">
      <alignment horizontal="right"/>
      <protection hidden="1"/>
    </xf>
    <xf numFmtId="0" fontId="6" fillId="0" borderId="1" xfId="0" applyFont="1" applyBorder="1" applyAlignment="1" applyProtection="1">
      <alignment horizontal="center" wrapText="1"/>
      <protection hidden="1"/>
    </xf>
    <xf numFmtId="0" fontId="6" fillId="0" borderId="2" xfId="0" applyFont="1" applyBorder="1" applyAlignment="1" applyProtection="1">
      <alignment horizontal="center" wrapText="1"/>
      <protection hidden="1"/>
    </xf>
    <xf numFmtId="0" fontId="6" fillId="4" borderId="24" xfId="0" applyFont="1" applyFill="1" applyBorder="1" applyAlignment="1" applyProtection="1">
      <alignment horizontal="center" vertical="center" wrapText="1"/>
      <protection hidden="1"/>
    </xf>
    <xf numFmtId="0" fontId="6" fillId="4" borderId="25" xfId="0" applyFont="1" applyFill="1" applyBorder="1" applyAlignment="1" applyProtection="1">
      <alignment horizontal="center" vertical="center" wrapText="1"/>
      <protection hidden="1"/>
    </xf>
    <xf numFmtId="0" fontId="6" fillId="4" borderId="26" xfId="0" applyFont="1" applyFill="1" applyBorder="1" applyAlignment="1" applyProtection="1">
      <alignment horizontal="center" vertical="center" wrapText="1"/>
      <protection hidden="1"/>
    </xf>
    <xf numFmtId="0" fontId="16" fillId="0" borderId="16" xfId="0" applyFont="1" applyFill="1" applyBorder="1" applyAlignment="1" applyProtection="1">
      <alignment horizontal="right"/>
      <protection hidden="1"/>
    </xf>
    <xf numFmtId="0" fontId="16" fillId="0" borderId="27" xfId="0" applyFont="1" applyFill="1" applyBorder="1" applyAlignment="1" applyProtection="1">
      <alignment horizontal="right"/>
      <protection hidden="1"/>
    </xf>
    <xf numFmtId="0" fontId="49" fillId="0" borderId="3" xfId="0" applyFont="1" applyFill="1" applyBorder="1" applyAlignment="1" applyProtection="1">
      <alignment horizontal="left" wrapText="1"/>
      <protection hidden="1"/>
    </xf>
    <xf numFmtId="0" fontId="0" fillId="0" borderId="3" xfId="0" applyBorder="1" applyAlignment="1">
      <alignment wrapText="1"/>
    </xf>
    <xf numFmtId="0" fontId="6" fillId="0" borderId="0" xfId="0" applyFont="1" applyFill="1" applyBorder="1" applyAlignment="1" applyProtection="1">
      <alignment horizontal="center" vertical="center" wrapText="1"/>
      <protection hidden="1"/>
    </xf>
    <xf numFmtId="0" fontId="6" fillId="4" borderId="17" xfId="0" applyFont="1" applyFill="1" applyBorder="1" applyAlignment="1" applyProtection="1">
      <alignment horizontal="center" vertical="center" wrapText="1"/>
      <protection hidden="1"/>
    </xf>
    <xf numFmtId="0" fontId="6" fillId="4" borderId="51" xfId="0" applyFont="1" applyFill="1" applyBorder="1" applyAlignment="1" applyProtection="1">
      <alignment horizontal="center" vertical="center" wrapText="1"/>
      <protection hidden="1"/>
    </xf>
    <xf numFmtId="0" fontId="23" fillId="0" borderId="0" xfId="1" applyFont="1" applyFill="1" applyAlignment="1" applyProtection="1">
      <alignment horizontal="right"/>
      <protection hidden="1"/>
    </xf>
    <xf numFmtId="0" fontId="34" fillId="0" borderId="0" xfId="1" applyFont="1" applyFill="1" applyAlignment="1" applyProtection="1">
      <alignment horizontal="right"/>
      <protection hidden="1"/>
    </xf>
    <xf numFmtId="0" fontId="34" fillId="0" borderId="0" xfId="1" applyFont="1" applyAlignment="1" applyProtection="1">
      <alignment horizontal="right"/>
      <protection hidden="1"/>
    </xf>
    <xf numFmtId="0" fontId="2" fillId="0" borderId="0" xfId="0" applyFont="1" applyFill="1" applyBorder="1" applyAlignment="1" applyProtection="1">
      <alignment horizontal="center" vertical="center" wrapText="1"/>
      <protection hidden="1"/>
    </xf>
    <xf numFmtId="0" fontId="0" fillId="0" borderId="3" xfId="0" applyBorder="1" applyAlignment="1"/>
    <xf numFmtId="0" fontId="16" fillId="0" borderId="16" xfId="0" applyFont="1" applyBorder="1" applyAlignment="1" applyProtection="1">
      <alignment horizontal="right" indent="2"/>
      <protection hidden="1"/>
    </xf>
    <xf numFmtId="0" fontId="16" fillId="0" borderId="27" xfId="0" applyFont="1" applyBorder="1" applyAlignment="1" applyProtection="1">
      <alignment horizontal="right" indent="2"/>
      <protection hidden="1"/>
    </xf>
    <xf numFmtId="0" fontId="2" fillId="0" borderId="12" xfId="0" applyFont="1" applyFill="1" applyBorder="1" applyAlignment="1" applyProtection="1">
      <alignment horizontal="center" vertical="center" wrapText="1"/>
      <protection hidden="1"/>
    </xf>
    <xf numFmtId="0" fontId="6" fillId="0" borderId="12" xfId="0" applyFont="1" applyFill="1" applyBorder="1" applyAlignment="1" applyProtection="1">
      <alignment horizontal="center" vertical="center" wrapText="1"/>
      <protection hidden="1"/>
    </xf>
    <xf numFmtId="0" fontId="6" fillId="0" borderId="45" xfId="0" applyFont="1" applyFill="1" applyBorder="1" applyAlignment="1" applyProtection="1">
      <alignment horizontal="center" vertical="center"/>
      <protection hidden="1"/>
    </xf>
    <xf numFmtId="0" fontId="6" fillId="0" borderId="46" xfId="0" applyFont="1" applyFill="1" applyBorder="1" applyAlignment="1" applyProtection="1">
      <alignment horizontal="center" vertical="center"/>
      <protection hidden="1"/>
    </xf>
    <xf numFmtId="0" fontId="21" fillId="5" borderId="10" xfId="1" applyFont="1" applyFill="1" applyBorder="1" applyAlignment="1" applyProtection="1">
      <alignment horizontal="center" vertical="center"/>
      <protection hidden="1"/>
    </xf>
    <xf numFmtId="0" fontId="21" fillId="5" borderId="18" xfId="1" applyFont="1" applyFill="1" applyBorder="1" applyAlignment="1" applyProtection="1">
      <alignment horizontal="center" vertical="center"/>
      <protection hidden="1"/>
    </xf>
    <xf numFmtId="0" fontId="37" fillId="0" borderId="0" xfId="0" applyFont="1" applyAlignment="1" applyProtection="1">
      <alignment horizontal="left" wrapText="1"/>
      <protection hidden="1"/>
    </xf>
    <xf numFmtId="0" fontId="37" fillId="0" borderId="0" xfId="0" applyFont="1" applyAlignment="1" applyProtection="1">
      <alignment horizontal="left"/>
      <protection hidden="1"/>
    </xf>
    <xf numFmtId="0" fontId="8" fillId="0" borderId="0" xfId="0" applyFont="1" applyAlignment="1" applyProtection="1">
      <alignment horizontal="left"/>
      <protection hidden="1"/>
    </xf>
    <xf numFmtId="0" fontId="6" fillId="4" borderId="1" xfId="0" applyFont="1" applyFill="1" applyBorder="1" applyAlignment="1" applyProtection="1">
      <alignment horizontal="center" vertical="center" wrapText="1"/>
      <protection hidden="1"/>
    </xf>
    <xf numFmtId="0" fontId="6" fillId="4" borderId="2" xfId="0" applyFont="1" applyFill="1" applyBorder="1" applyAlignment="1" applyProtection="1">
      <alignment horizontal="center" vertical="center" wrapText="1"/>
      <protection hidden="1"/>
    </xf>
    <xf numFmtId="0" fontId="4" fillId="0" borderId="24" xfId="0" applyFont="1" applyBorder="1" applyAlignment="1" applyProtection="1">
      <alignment horizontal="right" vertical="center"/>
      <protection hidden="1"/>
    </xf>
    <xf numFmtId="0" fontId="4" fillId="0" borderId="26" xfId="0" applyFont="1" applyBorder="1" applyAlignment="1" applyProtection="1">
      <alignment horizontal="right" vertical="center"/>
      <protection hidden="1"/>
    </xf>
    <xf numFmtId="3" fontId="2" fillId="0" borderId="3" xfId="0" applyNumberFormat="1" applyFont="1" applyFill="1" applyBorder="1" applyAlignment="1" applyProtection="1">
      <alignment horizontal="left" vertical="center" wrapText="1"/>
      <protection hidden="1"/>
    </xf>
    <xf numFmtId="0" fontId="6" fillId="4" borderId="10" xfId="0" applyFont="1" applyFill="1" applyBorder="1" applyAlignment="1" applyProtection="1">
      <alignment horizontal="left" vertical="center" wrapText="1" indent="2"/>
      <protection hidden="1"/>
    </xf>
    <xf numFmtId="0" fontId="6" fillId="4" borderId="12" xfId="0" applyFont="1" applyFill="1" applyBorder="1" applyAlignment="1" applyProtection="1">
      <alignment horizontal="left" vertical="center" wrapText="1" indent="2"/>
      <protection hidden="1"/>
    </xf>
    <xf numFmtId="0" fontId="6" fillId="4" borderId="45" xfId="0" applyFont="1" applyFill="1" applyBorder="1" applyAlignment="1" applyProtection="1">
      <alignment horizontal="left" vertical="center" wrapText="1" indent="2"/>
      <protection hidden="1"/>
    </xf>
    <xf numFmtId="0" fontId="3" fillId="5" borderId="1" xfId="0" applyFont="1" applyFill="1" applyBorder="1" applyAlignment="1" applyProtection="1">
      <alignment horizontal="left" wrapText="1"/>
      <protection hidden="1"/>
    </xf>
    <xf numFmtId="0" fontId="3" fillId="5" borderId="29" xfId="0" applyFont="1" applyFill="1" applyBorder="1" applyAlignment="1" applyProtection="1">
      <alignment horizontal="left" wrapText="1"/>
      <protection hidden="1"/>
    </xf>
    <xf numFmtId="9" fontId="3" fillId="5" borderId="1" xfId="0" applyNumberFormat="1" applyFont="1" applyFill="1" applyBorder="1" applyAlignment="1" applyProtection="1">
      <alignment horizontal="left" wrapText="1"/>
      <protection hidden="1"/>
    </xf>
    <xf numFmtId="9" fontId="3" fillId="5" borderId="29" xfId="0" applyNumberFormat="1" applyFont="1" applyFill="1" applyBorder="1" applyAlignment="1" applyProtection="1">
      <alignment horizontal="left" wrapText="1"/>
      <protection hidden="1"/>
    </xf>
    <xf numFmtId="0" fontId="6" fillId="4" borderId="10" xfId="0" applyFont="1" applyFill="1" applyBorder="1" applyAlignment="1" applyProtection="1">
      <alignment horizontal="center" vertical="center" wrapText="1"/>
      <protection hidden="1"/>
    </xf>
    <xf numFmtId="0" fontId="6" fillId="4" borderId="45" xfId="0" applyFont="1" applyFill="1" applyBorder="1" applyAlignment="1" applyProtection="1">
      <alignment horizontal="center" vertical="center" wrapText="1"/>
      <protection hidden="1"/>
    </xf>
    <xf numFmtId="0" fontId="6" fillId="4" borderId="21" xfId="0" applyFont="1" applyFill="1" applyBorder="1" applyAlignment="1" applyProtection="1">
      <alignment horizontal="left" vertical="center" wrapText="1" indent="2"/>
      <protection hidden="1"/>
    </xf>
    <xf numFmtId="0" fontId="6" fillId="4" borderId="6" xfId="0" applyFont="1" applyFill="1" applyBorder="1" applyAlignment="1" applyProtection="1">
      <alignment horizontal="left" vertical="center" wrapText="1" indent="2"/>
      <protection hidden="1"/>
    </xf>
    <xf numFmtId="0" fontId="6" fillId="4" borderId="8" xfId="0" applyFont="1" applyFill="1" applyBorder="1" applyAlignment="1" applyProtection="1">
      <alignment horizontal="left" vertical="center" wrapText="1" indent="2"/>
      <protection hidden="1"/>
    </xf>
    <xf numFmtId="3" fontId="2" fillId="0" borderId="29" xfId="0" applyNumberFormat="1" applyFont="1" applyFill="1" applyBorder="1" applyAlignment="1" applyProtection="1">
      <alignment horizontal="left" vertical="center" wrapText="1"/>
      <protection hidden="1"/>
    </xf>
    <xf numFmtId="0" fontId="2" fillId="0" borderId="22" xfId="0" applyFont="1" applyBorder="1" applyAlignment="1" applyProtection="1">
      <alignment horizontal="center" vertical="center"/>
      <protection hidden="1"/>
    </xf>
    <xf numFmtId="0" fontId="25" fillId="5" borderId="29" xfId="1" applyFont="1" applyFill="1" applyBorder="1" applyAlignment="1" applyProtection="1">
      <alignment horizontal="right" vertical="center"/>
      <protection hidden="1"/>
    </xf>
    <xf numFmtId="0" fontId="25" fillId="5" borderId="2" xfId="1" applyFont="1" applyFill="1" applyBorder="1" applyAlignment="1" applyProtection="1">
      <alignment horizontal="right" vertical="center"/>
      <protection hidden="1"/>
    </xf>
    <xf numFmtId="9" fontId="3" fillId="5" borderId="1" xfId="0" applyNumberFormat="1" applyFont="1" applyFill="1" applyBorder="1" applyAlignment="1" applyProtection="1">
      <alignment wrapText="1"/>
      <protection hidden="1"/>
    </xf>
    <xf numFmtId="9" fontId="3" fillId="5" borderId="29" xfId="0" applyNumberFormat="1" applyFont="1" applyFill="1" applyBorder="1" applyAlignment="1" applyProtection="1">
      <alignment wrapText="1"/>
      <protection hidden="1"/>
    </xf>
    <xf numFmtId="0" fontId="3" fillId="5" borderId="10" xfId="0" applyFont="1" applyFill="1" applyBorder="1" applyAlignment="1" applyProtection="1">
      <alignment horizontal="left" wrapText="1"/>
      <protection hidden="1"/>
    </xf>
    <xf numFmtId="0" fontId="3" fillId="5" borderId="32" xfId="0" applyFont="1" applyFill="1" applyBorder="1" applyAlignment="1" applyProtection="1">
      <alignment horizontal="left" wrapText="1"/>
      <protection hidden="1"/>
    </xf>
    <xf numFmtId="0" fontId="6" fillId="4" borderId="34" xfId="0" applyFont="1" applyFill="1" applyBorder="1" applyAlignment="1" applyProtection="1">
      <alignment horizontal="left" vertical="center" wrapText="1" indent="2"/>
      <protection hidden="1"/>
    </xf>
    <xf numFmtId="0" fontId="6" fillId="4" borderId="36" xfId="0" applyFont="1" applyFill="1" applyBorder="1" applyAlignment="1" applyProtection="1">
      <alignment horizontal="left" vertical="center" wrapText="1" indent="2"/>
      <protection hidden="1"/>
    </xf>
    <xf numFmtId="0" fontId="6" fillId="4" borderId="33" xfId="0" applyFont="1" applyFill="1" applyBorder="1" applyAlignment="1" applyProtection="1">
      <alignment horizontal="left" vertical="center" wrapText="1" indent="2"/>
      <protection hidden="1"/>
    </xf>
    <xf numFmtId="0" fontId="3" fillId="0" borderId="0" xfId="0" applyFont="1" applyAlignment="1" applyProtection="1">
      <alignment horizontal="left"/>
      <protection hidden="1"/>
    </xf>
    <xf numFmtId="2" fontId="44" fillId="0" borderId="0" xfId="0" applyNumberFormat="1" applyFont="1" applyAlignment="1" applyProtection="1">
      <alignment horizontal="left"/>
      <protection hidden="1"/>
    </xf>
    <xf numFmtId="0" fontId="6" fillId="4" borderId="1" xfId="0" applyFont="1" applyFill="1" applyBorder="1" applyAlignment="1" applyProtection="1">
      <alignment horizontal="center" vertical="center"/>
      <protection hidden="1"/>
    </xf>
    <xf numFmtId="0" fontId="6" fillId="4" borderId="2" xfId="0" applyFont="1" applyFill="1" applyBorder="1" applyAlignment="1" applyProtection="1">
      <alignment horizontal="center" vertical="center"/>
      <protection hidden="1"/>
    </xf>
    <xf numFmtId="0" fontId="6" fillId="4" borderId="1" xfId="0" applyFont="1" applyFill="1" applyBorder="1" applyAlignment="1" applyProtection="1">
      <alignment horizontal="center" wrapText="1"/>
      <protection hidden="1"/>
    </xf>
    <xf numFmtId="0" fontId="6" fillId="4" borderId="29" xfId="0" applyFont="1" applyFill="1" applyBorder="1" applyAlignment="1" applyProtection="1">
      <alignment horizontal="center" wrapText="1"/>
      <protection hidden="1"/>
    </xf>
    <xf numFmtId="0" fontId="6" fillId="4" borderId="2" xfId="0" applyFont="1" applyFill="1" applyBorder="1" applyAlignment="1" applyProtection="1">
      <alignment horizontal="center" wrapText="1"/>
      <protection hidden="1"/>
    </xf>
  </cellXfs>
  <cellStyles count="3">
    <cellStyle name="Гиперссылка" xfId="1" builtinId="8"/>
    <cellStyle name="Обычный" xfId="0" builtinId="0"/>
    <cellStyle name="Процентный" xfId="2" builtin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8.png"/><Relationship Id="rId21" Type="http://schemas.openxmlformats.org/officeDocument/2006/relationships/image" Target="../media/image22.jpeg"/><Relationship Id="rId42" Type="http://schemas.openxmlformats.org/officeDocument/2006/relationships/image" Target="../media/image43.png"/><Relationship Id="rId47" Type="http://schemas.openxmlformats.org/officeDocument/2006/relationships/image" Target="../media/image48.jpeg"/><Relationship Id="rId63" Type="http://schemas.openxmlformats.org/officeDocument/2006/relationships/image" Target="../media/image64.jpeg"/><Relationship Id="rId68" Type="http://schemas.openxmlformats.org/officeDocument/2006/relationships/image" Target="../media/image69.png"/><Relationship Id="rId84" Type="http://schemas.openxmlformats.org/officeDocument/2006/relationships/image" Target="../media/image85.png"/><Relationship Id="rId89" Type="http://schemas.openxmlformats.org/officeDocument/2006/relationships/image" Target="../media/image90.png"/><Relationship Id="rId112" Type="http://schemas.openxmlformats.org/officeDocument/2006/relationships/image" Target="../media/image113.png"/><Relationship Id="rId133" Type="http://schemas.openxmlformats.org/officeDocument/2006/relationships/image" Target="../media/image134.png"/><Relationship Id="rId138" Type="http://schemas.openxmlformats.org/officeDocument/2006/relationships/image" Target="../media/image139.png"/><Relationship Id="rId154" Type="http://schemas.openxmlformats.org/officeDocument/2006/relationships/image" Target="../media/image155.png"/><Relationship Id="rId159" Type="http://schemas.openxmlformats.org/officeDocument/2006/relationships/image" Target="../media/image160.png"/><Relationship Id="rId175" Type="http://schemas.openxmlformats.org/officeDocument/2006/relationships/image" Target="../media/image176.jpeg"/><Relationship Id="rId170" Type="http://schemas.openxmlformats.org/officeDocument/2006/relationships/image" Target="../media/image171.jpeg"/><Relationship Id="rId191" Type="http://schemas.openxmlformats.org/officeDocument/2006/relationships/image" Target="../media/image192.jpeg"/><Relationship Id="rId196" Type="http://schemas.openxmlformats.org/officeDocument/2006/relationships/image" Target="../media/image197.jpeg"/><Relationship Id="rId16" Type="http://schemas.openxmlformats.org/officeDocument/2006/relationships/image" Target="../media/image17.jpeg"/><Relationship Id="rId107" Type="http://schemas.openxmlformats.org/officeDocument/2006/relationships/image" Target="../media/image108.png"/><Relationship Id="rId11" Type="http://schemas.openxmlformats.org/officeDocument/2006/relationships/image" Target="../media/image12.jpeg"/><Relationship Id="rId32" Type="http://schemas.openxmlformats.org/officeDocument/2006/relationships/image" Target="../media/image33.jpeg"/><Relationship Id="rId37" Type="http://schemas.openxmlformats.org/officeDocument/2006/relationships/image" Target="../media/image38.png"/><Relationship Id="rId53" Type="http://schemas.openxmlformats.org/officeDocument/2006/relationships/image" Target="../media/image54.png"/><Relationship Id="rId58" Type="http://schemas.openxmlformats.org/officeDocument/2006/relationships/image" Target="../media/image59.jpeg"/><Relationship Id="rId74" Type="http://schemas.openxmlformats.org/officeDocument/2006/relationships/image" Target="../media/image75.jpeg"/><Relationship Id="rId79" Type="http://schemas.openxmlformats.org/officeDocument/2006/relationships/image" Target="../media/image80.png"/><Relationship Id="rId102" Type="http://schemas.openxmlformats.org/officeDocument/2006/relationships/image" Target="../media/image103.png"/><Relationship Id="rId123" Type="http://schemas.openxmlformats.org/officeDocument/2006/relationships/image" Target="../media/image124.png"/><Relationship Id="rId128" Type="http://schemas.openxmlformats.org/officeDocument/2006/relationships/image" Target="../media/image129.png"/><Relationship Id="rId144" Type="http://schemas.openxmlformats.org/officeDocument/2006/relationships/image" Target="../media/image145.jpeg"/><Relationship Id="rId149" Type="http://schemas.openxmlformats.org/officeDocument/2006/relationships/image" Target="../media/image150.jpeg"/><Relationship Id="rId5" Type="http://schemas.openxmlformats.org/officeDocument/2006/relationships/image" Target="../media/image6.jpeg"/><Relationship Id="rId90" Type="http://schemas.openxmlformats.org/officeDocument/2006/relationships/image" Target="../media/image91.png"/><Relationship Id="rId95" Type="http://schemas.openxmlformats.org/officeDocument/2006/relationships/image" Target="../media/image96.jpeg"/><Relationship Id="rId160" Type="http://schemas.openxmlformats.org/officeDocument/2006/relationships/image" Target="../media/image161.png"/><Relationship Id="rId165" Type="http://schemas.openxmlformats.org/officeDocument/2006/relationships/image" Target="../media/image166.jpeg"/><Relationship Id="rId181" Type="http://schemas.openxmlformats.org/officeDocument/2006/relationships/image" Target="../media/image182.png"/><Relationship Id="rId186" Type="http://schemas.openxmlformats.org/officeDocument/2006/relationships/image" Target="../media/image187.png"/><Relationship Id="rId22" Type="http://schemas.openxmlformats.org/officeDocument/2006/relationships/image" Target="../media/image23.jpeg"/><Relationship Id="rId27" Type="http://schemas.openxmlformats.org/officeDocument/2006/relationships/image" Target="../media/image28.jpeg"/><Relationship Id="rId43" Type="http://schemas.openxmlformats.org/officeDocument/2006/relationships/image" Target="../media/image44.png"/><Relationship Id="rId48" Type="http://schemas.openxmlformats.org/officeDocument/2006/relationships/image" Target="../media/image49.png"/><Relationship Id="rId64" Type="http://schemas.openxmlformats.org/officeDocument/2006/relationships/image" Target="../media/image65.jpeg"/><Relationship Id="rId69" Type="http://schemas.openxmlformats.org/officeDocument/2006/relationships/image" Target="../media/image70.png"/><Relationship Id="rId113" Type="http://schemas.openxmlformats.org/officeDocument/2006/relationships/image" Target="../media/image114.png"/><Relationship Id="rId118" Type="http://schemas.openxmlformats.org/officeDocument/2006/relationships/image" Target="../media/image119.png"/><Relationship Id="rId134" Type="http://schemas.openxmlformats.org/officeDocument/2006/relationships/image" Target="../media/image135.png"/><Relationship Id="rId139" Type="http://schemas.openxmlformats.org/officeDocument/2006/relationships/image" Target="../media/image140.png"/><Relationship Id="rId80" Type="http://schemas.openxmlformats.org/officeDocument/2006/relationships/image" Target="../media/image81.png"/><Relationship Id="rId85" Type="http://schemas.openxmlformats.org/officeDocument/2006/relationships/image" Target="../media/image86.png"/><Relationship Id="rId150" Type="http://schemas.openxmlformats.org/officeDocument/2006/relationships/image" Target="../media/image151.png"/><Relationship Id="rId155" Type="http://schemas.openxmlformats.org/officeDocument/2006/relationships/image" Target="../media/image156.png"/><Relationship Id="rId171" Type="http://schemas.openxmlformats.org/officeDocument/2006/relationships/image" Target="../media/image172.jpeg"/><Relationship Id="rId176" Type="http://schemas.openxmlformats.org/officeDocument/2006/relationships/image" Target="../media/image177.png"/><Relationship Id="rId192" Type="http://schemas.openxmlformats.org/officeDocument/2006/relationships/image" Target="../media/image193.jpeg"/><Relationship Id="rId197" Type="http://schemas.openxmlformats.org/officeDocument/2006/relationships/image" Target="../media/image198.jpeg"/><Relationship Id="rId12" Type="http://schemas.openxmlformats.org/officeDocument/2006/relationships/image" Target="../media/image13.jpeg"/><Relationship Id="rId17" Type="http://schemas.openxmlformats.org/officeDocument/2006/relationships/image" Target="../media/image18.jpeg"/><Relationship Id="rId33" Type="http://schemas.openxmlformats.org/officeDocument/2006/relationships/image" Target="../media/image34.png"/><Relationship Id="rId38" Type="http://schemas.openxmlformats.org/officeDocument/2006/relationships/image" Target="../media/image39.jpeg"/><Relationship Id="rId59" Type="http://schemas.openxmlformats.org/officeDocument/2006/relationships/image" Target="../media/image60.jpeg"/><Relationship Id="rId103" Type="http://schemas.openxmlformats.org/officeDocument/2006/relationships/image" Target="../media/image104.png"/><Relationship Id="rId108" Type="http://schemas.openxmlformats.org/officeDocument/2006/relationships/image" Target="../media/image109.png"/><Relationship Id="rId124" Type="http://schemas.openxmlformats.org/officeDocument/2006/relationships/image" Target="../media/image125.png"/><Relationship Id="rId129" Type="http://schemas.openxmlformats.org/officeDocument/2006/relationships/image" Target="../media/image130.png"/><Relationship Id="rId54" Type="http://schemas.openxmlformats.org/officeDocument/2006/relationships/image" Target="../media/image55.jpeg"/><Relationship Id="rId70" Type="http://schemas.openxmlformats.org/officeDocument/2006/relationships/image" Target="../media/image71.png"/><Relationship Id="rId75" Type="http://schemas.openxmlformats.org/officeDocument/2006/relationships/image" Target="../media/image76.jpeg"/><Relationship Id="rId91" Type="http://schemas.openxmlformats.org/officeDocument/2006/relationships/image" Target="../media/image92.png"/><Relationship Id="rId96" Type="http://schemas.openxmlformats.org/officeDocument/2006/relationships/image" Target="../media/image97.png"/><Relationship Id="rId140" Type="http://schemas.openxmlformats.org/officeDocument/2006/relationships/image" Target="../media/image141.png"/><Relationship Id="rId145" Type="http://schemas.openxmlformats.org/officeDocument/2006/relationships/image" Target="../media/image146.png"/><Relationship Id="rId161" Type="http://schemas.openxmlformats.org/officeDocument/2006/relationships/image" Target="../media/image162.png"/><Relationship Id="rId166" Type="http://schemas.openxmlformats.org/officeDocument/2006/relationships/image" Target="../media/image167.jpeg"/><Relationship Id="rId182" Type="http://schemas.openxmlformats.org/officeDocument/2006/relationships/image" Target="../media/image183.png"/><Relationship Id="rId187" Type="http://schemas.openxmlformats.org/officeDocument/2006/relationships/image" Target="../media/image188.png"/><Relationship Id="rId1" Type="http://schemas.openxmlformats.org/officeDocument/2006/relationships/image" Target="../media/image2.jpeg"/><Relationship Id="rId6" Type="http://schemas.openxmlformats.org/officeDocument/2006/relationships/image" Target="../media/image7.jpeg"/><Relationship Id="rId23" Type="http://schemas.openxmlformats.org/officeDocument/2006/relationships/image" Target="../media/image24.jpeg"/><Relationship Id="rId28" Type="http://schemas.openxmlformats.org/officeDocument/2006/relationships/image" Target="../media/image29.jpeg"/><Relationship Id="rId49" Type="http://schemas.openxmlformats.org/officeDocument/2006/relationships/image" Target="../media/image50.png"/><Relationship Id="rId114" Type="http://schemas.openxmlformats.org/officeDocument/2006/relationships/image" Target="../media/image115.png"/><Relationship Id="rId119" Type="http://schemas.openxmlformats.org/officeDocument/2006/relationships/image" Target="../media/image120.png"/><Relationship Id="rId44" Type="http://schemas.openxmlformats.org/officeDocument/2006/relationships/image" Target="../media/image45.png"/><Relationship Id="rId60" Type="http://schemas.openxmlformats.org/officeDocument/2006/relationships/image" Target="../media/image61.jpeg"/><Relationship Id="rId65" Type="http://schemas.openxmlformats.org/officeDocument/2006/relationships/image" Target="../media/image66.jpeg"/><Relationship Id="rId81" Type="http://schemas.openxmlformats.org/officeDocument/2006/relationships/image" Target="../media/image82.png"/><Relationship Id="rId86" Type="http://schemas.openxmlformats.org/officeDocument/2006/relationships/image" Target="../media/image87.png"/><Relationship Id="rId130" Type="http://schemas.openxmlformats.org/officeDocument/2006/relationships/image" Target="../media/image131.png"/><Relationship Id="rId135" Type="http://schemas.openxmlformats.org/officeDocument/2006/relationships/image" Target="../media/image136.png"/><Relationship Id="rId151" Type="http://schemas.openxmlformats.org/officeDocument/2006/relationships/image" Target="../media/image152.png"/><Relationship Id="rId156" Type="http://schemas.openxmlformats.org/officeDocument/2006/relationships/image" Target="../media/image157.png"/><Relationship Id="rId177" Type="http://schemas.openxmlformats.org/officeDocument/2006/relationships/image" Target="../media/image178.jpeg"/><Relationship Id="rId172" Type="http://schemas.openxmlformats.org/officeDocument/2006/relationships/image" Target="../media/image173.jpeg"/><Relationship Id="rId193" Type="http://schemas.openxmlformats.org/officeDocument/2006/relationships/image" Target="../media/image194.jpeg"/><Relationship Id="rId13" Type="http://schemas.openxmlformats.org/officeDocument/2006/relationships/image" Target="../media/image14.jpeg"/><Relationship Id="rId18" Type="http://schemas.openxmlformats.org/officeDocument/2006/relationships/image" Target="../media/image19.jpeg"/><Relationship Id="rId39" Type="http://schemas.openxmlformats.org/officeDocument/2006/relationships/image" Target="../media/image40.jpeg"/><Relationship Id="rId109" Type="http://schemas.openxmlformats.org/officeDocument/2006/relationships/image" Target="../media/image110.png"/><Relationship Id="rId34" Type="http://schemas.openxmlformats.org/officeDocument/2006/relationships/image" Target="../media/image35.png"/><Relationship Id="rId50" Type="http://schemas.openxmlformats.org/officeDocument/2006/relationships/image" Target="../media/image51.png"/><Relationship Id="rId55" Type="http://schemas.openxmlformats.org/officeDocument/2006/relationships/image" Target="../media/image56.png"/><Relationship Id="rId76" Type="http://schemas.openxmlformats.org/officeDocument/2006/relationships/image" Target="../media/image77.jpeg"/><Relationship Id="rId97" Type="http://schemas.openxmlformats.org/officeDocument/2006/relationships/image" Target="../media/image98.png"/><Relationship Id="rId104" Type="http://schemas.openxmlformats.org/officeDocument/2006/relationships/image" Target="../media/image105.png"/><Relationship Id="rId120" Type="http://schemas.openxmlformats.org/officeDocument/2006/relationships/image" Target="../media/image121.png"/><Relationship Id="rId125" Type="http://schemas.openxmlformats.org/officeDocument/2006/relationships/image" Target="../media/image126.png"/><Relationship Id="rId141" Type="http://schemas.openxmlformats.org/officeDocument/2006/relationships/image" Target="../media/image142.jpeg"/><Relationship Id="rId146" Type="http://schemas.openxmlformats.org/officeDocument/2006/relationships/image" Target="../media/image147.png"/><Relationship Id="rId167" Type="http://schemas.openxmlformats.org/officeDocument/2006/relationships/image" Target="../media/image168.jpeg"/><Relationship Id="rId188" Type="http://schemas.openxmlformats.org/officeDocument/2006/relationships/image" Target="../media/image189.png"/><Relationship Id="rId7" Type="http://schemas.openxmlformats.org/officeDocument/2006/relationships/image" Target="../media/image8.jpeg"/><Relationship Id="rId71" Type="http://schemas.openxmlformats.org/officeDocument/2006/relationships/image" Target="../media/image72.emf"/><Relationship Id="rId92" Type="http://schemas.openxmlformats.org/officeDocument/2006/relationships/image" Target="../media/image93.png"/><Relationship Id="rId162" Type="http://schemas.openxmlformats.org/officeDocument/2006/relationships/image" Target="../media/image163.png"/><Relationship Id="rId183" Type="http://schemas.openxmlformats.org/officeDocument/2006/relationships/image" Target="../media/image184.png"/><Relationship Id="rId2" Type="http://schemas.openxmlformats.org/officeDocument/2006/relationships/image" Target="../media/image3.jpeg"/><Relationship Id="rId29" Type="http://schemas.openxmlformats.org/officeDocument/2006/relationships/image" Target="../media/image30.jpeg"/><Relationship Id="rId24" Type="http://schemas.openxmlformats.org/officeDocument/2006/relationships/image" Target="../media/image25.jpeg"/><Relationship Id="rId40" Type="http://schemas.openxmlformats.org/officeDocument/2006/relationships/image" Target="../media/image41.jpeg"/><Relationship Id="rId45" Type="http://schemas.openxmlformats.org/officeDocument/2006/relationships/image" Target="../media/image46.png"/><Relationship Id="rId66" Type="http://schemas.openxmlformats.org/officeDocument/2006/relationships/image" Target="../media/image67.png"/><Relationship Id="rId87" Type="http://schemas.openxmlformats.org/officeDocument/2006/relationships/image" Target="../media/image88.png"/><Relationship Id="rId110" Type="http://schemas.openxmlformats.org/officeDocument/2006/relationships/image" Target="../media/image111.png"/><Relationship Id="rId115" Type="http://schemas.openxmlformats.org/officeDocument/2006/relationships/image" Target="../media/image116.png"/><Relationship Id="rId131" Type="http://schemas.openxmlformats.org/officeDocument/2006/relationships/image" Target="../media/image132.png"/><Relationship Id="rId136" Type="http://schemas.openxmlformats.org/officeDocument/2006/relationships/image" Target="../media/image137.png"/><Relationship Id="rId157" Type="http://schemas.openxmlformats.org/officeDocument/2006/relationships/image" Target="../media/image158.png"/><Relationship Id="rId178" Type="http://schemas.openxmlformats.org/officeDocument/2006/relationships/image" Target="../media/image179.png"/><Relationship Id="rId61" Type="http://schemas.openxmlformats.org/officeDocument/2006/relationships/image" Target="../media/image62.jpeg"/><Relationship Id="rId82" Type="http://schemas.openxmlformats.org/officeDocument/2006/relationships/image" Target="../media/image83.png"/><Relationship Id="rId152" Type="http://schemas.openxmlformats.org/officeDocument/2006/relationships/image" Target="../media/image153.jpeg"/><Relationship Id="rId173" Type="http://schemas.openxmlformats.org/officeDocument/2006/relationships/image" Target="../media/image174.jpeg"/><Relationship Id="rId194" Type="http://schemas.openxmlformats.org/officeDocument/2006/relationships/image" Target="../media/image195.jpeg"/><Relationship Id="rId19" Type="http://schemas.openxmlformats.org/officeDocument/2006/relationships/image" Target="../media/image20.jpeg"/><Relationship Id="rId14" Type="http://schemas.openxmlformats.org/officeDocument/2006/relationships/image" Target="../media/image15.jpeg"/><Relationship Id="rId30" Type="http://schemas.openxmlformats.org/officeDocument/2006/relationships/image" Target="../media/image31.jpeg"/><Relationship Id="rId35" Type="http://schemas.openxmlformats.org/officeDocument/2006/relationships/image" Target="../media/image36.png"/><Relationship Id="rId56" Type="http://schemas.openxmlformats.org/officeDocument/2006/relationships/image" Target="../media/image57.jpeg"/><Relationship Id="rId77" Type="http://schemas.openxmlformats.org/officeDocument/2006/relationships/image" Target="../media/image78.jpeg"/><Relationship Id="rId100" Type="http://schemas.openxmlformats.org/officeDocument/2006/relationships/image" Target="../media/image101.png"/><Relationship Id="rId105" Type="http://schemas.openxmlformats.org/officeDocument/2006/relationships/image" Target="../media/image106.png"/><Relationship Id="rId126" Type="http://schemas.openxmlformats.org/officeDocument/2006/relationships/image" Target="../media/image127.png"/><Relationship Id="rId147" Type="http://schemas.openxmlformats.org/officeDocument/2006/relationships/image" Target="../media/image148.png"/><Relationship Id="rId168" Type="http://schemas.openxmlformats.org/officeDocument/2006/relationships/image" Target="../media/image169.jpeg"/><Relationship Id="rId8" Type="http://schemas.openxmlformats.org/officeDocument/2006/relationships/image" Target="../media/image9.jpeg"/><Relationship Id="rId51" Type="http://schemas.openxmlformats.org/officeDocument/2006/relationships/image" Target="../media/image52.png"/><Relationship Id="rId72" Type="http://schemas.openxmlformats.org/officeDocument/2006/relationships/image" Target="../media/image73.jpeg"/><Relationship Id="rId93" Type="http://schemas.openxmlformats.org/officeDocument/2006/relationships/image" Target="../media/image94.png"/><Relationship Id="rId98" Type="http://schemas.openxmlformats.org/officeDocument/2006/relationships/image" Target="../media/image99.png"/><Relationship Id="rId121" Type="http://schemas.openxmlformats.org/officeDocument/2006/relationships/image" Target="../media/image122.png"/><Relationship Id="rId142" Type="http://schemas.openxmlformats.org/officeDocument/2006/relationships/image" Target="../media/image143.png"/><Relationship Id="rId163" Type="http://schemas.openxmlformats.org/officeDocument/2006/relationships/image" Target="../media/image164.png"/><Relationship Id="rId184" Type="http://schemas.openxmlformats.org/officeDocument/2006/relationships/image" Target="../media/image185.png"/><Relationship Id="rId189" Type="http://schemas.openxmlformats.org/officeDocument/2006/relationships/image" Target="../media/image190.jpeg"/><Relationship Id="rId3" Type="http://schemas.openxmlformats.org/officeDocument/2006/relationships/image" Target="../media/image4.jpeg"/><Relationship Id="rId25" Type="http://schemas.openxmlformats.org/officeDocument/2006/relationships/image" Target="../media/image26.jpeg"/><Relationship Id="rId46" Type="http://schemas.openxmlformats.org/officeDocument/2006/relationships/image" Target="../media/image47.jpeg"/><Relationship Id="rId67" Type="http://schemas.openxmlformats.org/officeDocument/2006/relationships/image" Target="../media/image68.emf"/><Relationship Id="rId116" Type="http://schemas.openxmlformats.org/officeDocument/2006/relationships/image" Target="../media/image117.png"/><Relationship Id="rId137" Type="http://schemas.openxmlformats.org/officeDocument/2006/relationships/image" Target="../media/image138.png"/><Relationship Id="rId158" Type="http://schemas.openxmlformats.org/officeDocument/2006/relationships/image" Target="../media/image159.png"/><Relationship Id="rId20" Type="http://schemas.openxmlformats.org/officeDocument/2006/relationships/image" Target="../media/image21.jpeg"/><Relationship Id="rId41" Type="http://schemas.openxmlformats.org/officeDocument/2006/relationships/image" Target="../media/image42.jpeg"/><Relationship Id="rId62" Type="http://schemas.openxmlformats.org/officeDocument/2006/relationships/image" Target="../media/image63.jpeg"/><Relationship Id="rId83" Type="http://schemas.openxmlformats.org/officeDocument/2006/relationships/image" Target="../media/image84.jpeg"/><Relationship Id="rId88" Type="http://schemas.openxmlformats.org/officeDocument/2006/relationships/image" Target="../media/image89.png"/><Relationship Id="rId111" Type="http://schemas.openxmlformats.org/officeDocument/2006/relationships/image" Target="../media/image112.jpeg"/><Relationship Id="rId132" Type="http://schemas.openxmlformats.org/officeDocument/2006/relationships/image" Target="../media/image133.png"/><Relationship Id="rId153" Type="http://schemas.openxmlformats.org/officeDocument/2006/relationships/image" Target="../media/image154.png"/><Relationship Id="rId174" Type="http://schemas.openxmlformats.org/officeDocument/2006/relationships/image" Target="../media/image175.jpeg"/><Relationship Id="rId179" Type="http://schemas.openxmlformats.org/officeDocument/2006/relationships/image" Target="../media/image180.jpeg"/><Relationship Id="rId195" Type="http://schemas.openxmlformats.org/officeDocument/2006/relationships/image" Target="../media/image196.jpeg"/><Relationship Id="rId190" Type="http://schemas.openxmlformats.org/officeDocument/2006/relationships/image" Target="../media/image191.jpeg"/><Relationship Id="rId15" Type="http://schemas.openxmlformats.org/officeDocument/2006/relationships/image" Target="../media/image16.jpeg"/><Relationship Id="rId36" Type="http://schemas.openxmlformats.org/officeDocument/2006/relationships/image" Target="../media/image37.png"/><Relationship Id="rId57" Type="http://schemas.openxmlformats.org/officeDocument/2006/relationships/image" Target="../media/image58.jpeg"/><Relationship Id="rId106" Type="http://schemas.openxmlformats.org/officeDocument/2006/relationships/image" Target="../media/image107.png"/><Relationship Id="rId127" Type="http://schemas.openxmlformats.org/officeDocument/2006/relationships/image" Target="../media/image128.png"/><Relationship Id="rId10" Type="http://schemas.openxmlformats.org/officeDocument/2006/relationships/image" Target="../media/image11.jpeg"/><Relationship Id="rId31" Type="http://schemas.openxmlformats.org/officeDocument/2006/relationships/image" Target="../media/image32.jpeg"/><Relationship Id="rId52" Type="http://schemas.openxmlformats.org/officeDocument/2006/relationships/image" Target="../media/image53.jpeg"/><Relationship Id="rId73" Type="http://schemas.openxmlformats.org/officeDocument/2006/relationships/image" Target="../media/image74.jpeg"/><Relationship Id="rId78" Type="http://schemas.openxmlformats.org/officeDocument/2006/relationships/image" Target="../media/image79.png"/><Relationship Id="rId94" Type="http://schemas.openxmlformats.org/officeDocument/2006/relationships/image" Target="../media/image95.png"/><Relationship Id="rId99" Type="http://schemas.openxmlformats.org/officeDocument/2006/relationships/image" Target="../media/image100.png"/><Relationship Id="rId101" Type="http://schemas.openxmlformats.org/officeDocument/2006/relationships/image" Target="../media/image102.png"/><Relationship Id="rId122" Type="http://schemas.openxmlformats.org/officeDocument/2006/relationships/image" Target="../media/image123.png"/><Relationship Id="rId143" Type="http://schemas.openxmlformats.org/officeDocument/2006/relationships/image" Target="../media/image144.png"/><Relationship Id="rId148" Type="http://schemas.openxmlformats.org/officeDocument/2006/relationships/image" Target="../media/image149.jpeg"/><Relationship Id="rId164" Type="http://schemas.openxmlformats.org/officeDocument/2006/relationships/image" Target="../media/image165.png"/><Relationship Id="rId169" Type="http://schemas.openxmlformats.org/officeDocument/2006/relationships/image" Target="../media/image170.jpeg"/><Relationship Id="rId185" Type="http://schemas.openxmlformats.org/officeDocument/2006/relationships/image" Target="../media/image186.png"/><Relationship Id="rId4" Type="http://schemas.openxmlformats.org/officeDocument/2006/relationships/image" Target="../media/image5.jpeg"/><Relationship Id="rId9" Type="http://schemas.openxmlformats.org/officeDocument/2006/relationships/image" Target="../media/image10.jpeg"/><Relationship Id="rId180" Type="http://schemas.openxmlformats.org/officeDocument/2006/relationships/image" Target="../media/image181.png"/><Relationship Id="rId26" Type="http://schemas.openxmlformats.org/officeDocument/2006/relationships/image" Target="../media/image27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2</xdr:row>
      <xdr:rowOff>9525</xdr:rowOff>
    </xdr:from>
    <xdr:to>
      <xdr:col>2</xdr:col>
      <xdr:colOff>1114425</xdr:colOff>
      <xdr:row>4</xdr:row>
      <xdr:rowOff>125730</xdr:rowOff>
    </xdr:to>
    <xdr:pic>
      <xdr:nvPicPr>
        <xdr:cNvPr id="2655" name="Picture 383" descr="123">
          <a:extLst>
            <a:ext uri="{FF2B5EF4-FFF2-40B4-BE49-F238E27FC236}">
              <a16:creationId xmlns:a16="http://schemas.microsoft.com/office/drawing/2014/main" xmlns="" id="{00000000-0008-0000-0000-00005F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t="6827"/>
        <a:stretch>
          <a:fillRect/>
        </a:stretch>
      </xdr:blipFill>
      <xdr:spPr bwMode="auto">
        <a:xfrm>
          <a:off x="85725" y="209550"/>
          <a:ext cx="154305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419100</xdr:colOff>
      <xdr:row>165</xdr:row>
      <xdr:rowOff>47625</xdr:rowOff>
    </xdr:from>
    <xdr:to>
      <xdr:col>2</xdr:col>
      <xdr:colOff>581025</xdr:colOff>
      <xdr:row>165</xdr:row>
      <xdr:rowOff>400050</xdr:rowOff>
    </xdr:to>
    <xdr:pic>
      <xdr:nvPicPr>
        <xdr:cNvPr id="117553" name="Picture 4" descr="Geometriya_1">
          <a:extLst>
            <a:ext uri="{FF2B5EF4-FFF2-40B4-BE49-F238E27FC236}">
              <a16:creationId xmlns:a16="http://schemas.microsoft.com/office/drawing/2014/main" xmlns="" id="{00000000-0008-0000-0100-000031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047875" y="59140725"/>
          <a:ext cx="161925" cy="352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200025</xdr:colOff>
      <xdr:row>166</xdr:row>
      <xdr:rowOff>28575</xdr:rowOff>
    </xdr:from>
    <xdr:to>
      <xdr:col>2</xdr:col>
      <xdr:colOff>371475</xdr:colOff>
      <xdr:row>166</xdr:row>
      <xdr:rowOff>400050</xdr:rowOff>
    </xdr:to>
    <xdr:pic>
      <xdr:nvPicPr>
        <xdr:cNvPr id="117554" name="Picture 8" descr="Geometriya_3">
          <a:extLst>
            <a:ext uri="{FF2B5EF4-FFF2-40B4-BE49-F238E27FC236}">
              <a16:creationId xmlns:a16="http://schemas.microsoft.com/office/drawing/2014/main" xmlns="" id="{00000000-0008-0000-0100-000032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828800" y="59559825"/>
          <a:ext cx="171450" cy="371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409575</xdr:colOff>
      <xdr:row>166</xdr:row>
      <xdr:rowOff>28575</xdr:rowOff>
    </xdr:from>
    <xdr:to>
      <xdr:col>2</xdr:col>
      <xdr:colOff>581025</xdr:colOff>
      <xdr:row>166</xdr:row>
      <xdr:rowOff>400050</xdr:rowOff>
    </xdr:to>
    <xdr:pic>
      <xdr:nvPicPr>
        <xdr:cNvPr id="117555" name="Picture 9" descr="Geometriya_3">
          <a:extLst>
            <a:ext uri="{FF2B5EF4-FFF2-40B4-BE49-F238E27FC236}">
              <a16:creationId xmlns:a16="http://schemas.microsoft.com/office/drawing/2014/main" xmlns="" id="{00000000-0008-0000-0100-000033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038350" y="59559825"/>
          <a:ext cx="171450" cy="371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190500</xdr:colOff>
      <xdr:row>167</xdr:row>
      <xdr:rowOff>28575</xdr:rowOff>
    </xdr:from>
    <xdr:to>
      <xdr:col>2</xdr:col>
      <xdr:colOff>371475</xdr:colOff>
      <xdr:row>167</xdr:row>
      <xdr:rowOff>419100</xdr:rowOff>
    </xdr:to>
    <xdr:pic>
      <xdr:nvPicPr>
        <xdr:cNvPr id="117556" name="Picture 10" descr="Geometriya_4">
          <a:extLst>
            <a:ext uri="{FF2B5EF4-FFF2-40B4-BE49-F238E27FC236}">
              <a16:creationId xmlns:a16="http://schemas.microsoft.com/office/drawing/2014/main" xmlns="" id="{00000000-0008-0000-0100-000034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819275" y="59997975"/>
          <a:ext cx="180975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400050</xdr:colOff>
      <xdr:row>167</xdr:row>
      <xdr:rowOff>28575</xdr:rowOff>
    </xdr:from>
    <xdr:to>
      <xdr:col>2</xdr:col>
      <xdr:colOff>581025</xdr:colOff>
      <xdr:row>167</xdr:row>
      <xdr:rowOff>419100</xdr:rowOff>
    </xdr:to>
    <xdr:pic>
      <xdr:nvPicPr>
        <xdr:cNvPr id="117557" name="Picture 11" descr="Geometriya_4">
          <a:extLst>
            <a:ext uri="{FF2B5EF4-FFF2-40B4-BE49-F238E27FC236}">
              <a16:creationId xmlns:a16="http://schemas.microsoft.com/office/drawing/2014/main" xmlns="" id="{00000000-0008-0000-0100-000035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028825" y="59997975"/>
          <a:ext cx="180975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190500</xdr:colOff>
      <xdr:row>168</xdr:row>
      <xdr:rowOff>28575</xdr:rowOff>
    </xdr:from>
    <xdr:to>
      <xdr:col>2</xdr:col>
      <xdr:colOff>371475</xdr:colOff>
      <xdr:row>168</xdr:row>
      <xdr:rowOff>419100</xdr:rowOff>
    </xdr:to>
    <xdr:pic>
      <xdr:nvPicPr>
        <xdr:cNvPr id="117558" name="Picture 12" descr="Geometriya_5">
          <a:extLst>
            <a:ext uri="{FF2B5EF4-FFF2-40B4-BE49-F238E27FC236}">
              <a16:creationId xmlns:a16="http://schemas.microsoft.com/office/drawing/2014/main" xmlns="" id="{00000000-0008-0000-0100-000036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819275" y="60436125"/>
          <a:ext cx="180975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400050</xdr:colOff>
      <xdr:row>168</xdr:row>
      <xdr:rowOff>28575</xdr:rowOff>
    </xdr:from>
    <xdr:to>
      <xdr:col>2</xdr:col>
      <xdr:colOff>581025</xdr:colOff>
      <xdr:row>168</xdr:row>
      <xdr:rowOff>419100</xdr:rowOff>
    </xdr:to>
    <xdr:pic>
      <xdr:nvPicPr>
        <xdr:cNvPr id="117559" name="Picture 13" descr="Geometriya_5">
          <a:extLst>
            <a:ext uri="{FF2B5EF4-FFF2-40B4-BE49-F238E27FC236}">
              <a16:creationId xmlns:a16="http://schemas.microsoft.com/office/drawing/2014/main" xmlns="" id="{00000000-0008-0000-0100-000037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2028825" y="60436125"/>
          <a:ext cx="180975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190500</xdr:colOff>
      <xdr:row>169</xdr:row>
      <xdr:rowOff>28575</xdr:rowOff>
    </xdr:from>
    <xdr:to>
      <xdr:col>2</xdr:col>
      <xdr:colOff>371475</xdr:colOff>
      <xdr:row>169</xdr:row>
      <xdr:rowOff>419100</xdr:rowOff>
    </xdr:to>
    <xdr:pic>
      <xdr:nvPicPr>
        <xdr:cNvPr id="117560" name="Picture 14" descr="Geometriya_6">
          <a:extLst>
            <a:ext uri="{FF2B5EF4-FFF2-40B4-BE49-F238E27FC236}">
              <a16:creationId xmlns:a16="http://schemas.microsoft.com/office/drawing/2014/main" xmlns="" id="{00000000-0008-0000-0100-000038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819275" y="60874275"/>
          <a:ext cx="180975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400050</xdr:colOff>
      <xdr:row>169</xdr:row>
      <xdr:rowOff>28575</xdr:rowOff>
    </xdr:from>
    <xdr:to>
      <xdr:col>2</xdr:col>
      <xdr:colOff>581025</xdr:colOff>
      <xdr:row>169</xdr:row>
      <xdr:rowOff>419100</xdr:rowOff>
    </xdr:to>
    <xdr:pic>
      <xdr:nvPicPr>
        <xdr:cNvPr id="117561" name="Picture 15" descr="Geometriya_6">
          <a:extLst>
            <a:ext uri="{FF2B5EF4-FFF2-40B4-BE49-F238E27FC236}">
              <a16:creationId xmlns:a16="http://schemas.microsoft.com/office/drawing/2014/main" xmlns="" id="{00000000-0008-0000-0100-000039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2028825" y="60874275"/>
          <a:ext cx="180975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304800</xdr:colOff>
      <xdr:row>291</xdr:row>
      <xdr:rowOff>38100</xdr:rowOff>
    </xdr:from>
    <xdr:to>
      <xdr:col>2</xdr:col>
      <xdr:colOff>466725</xdr:colOff>
      <xdr:row>291</xdr:row>
      <xdr:rowOff>419100</xdr:rowOff>
    </xdr:to>
    <xdr:pic>
      <xdr:nvPicPr>
        <xdr:cNvPr id="117569" name="Picture 70" descr="Idea_1">
          <a:extLst>
            <a:ext uri="{FF2B5EF4-FFF2-40B4-BE49-F238E27FC236}">
              <a16:creationId xmlns:a16="http://schemas.microsoft.com/office/drawing/2014/main" xmlns="" id="{00000000-0008-0000-0100-000041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933575" y="88144350"/>
          <a:ext cx="161925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190500</xdr:colOff>
      <xdr:row>292</xdr:row>
      <xdr:rowOff>47625</xdr:rowOff>
    </xdr:from>
    <xdr:to>
      <xdr:col>2</xdr:col>
      <xdr:colOff>361950</xdr:colOff>
      <xdr:row>292</xdr:row>
      <xdr:rowOff>419100</xdr:rowOff>
    </xdr:to>
    <xdr:pic>
      <xdr:nvPicPr>
        <xdr:cNvPr id="117570" name="Picture 71" descr="Idea_3">
          <a:extLst>
            <a:ext uri="{FF2B5EF4-FFF2-40B4-BE49-F238E27FC236}">
              <a16:creationId xmlns:a16="http://schemas.microsoft.com/office/drawing/2014/main" xmlns="" id="{00000000-0008-0000-0100-000042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1819275" y="88592025"/>
          <a:ext cx="171450" cy="371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419100</xdr:colOff>
      <xdr:row>292</xdr:row>
      <xdr:rowOff>47625</xdr:rowOff>
    </xdr:from>
    <xdr:to>
      <xdr:col>2</xdr:col>
      <xdr:colOff>581025</xdr:colOff>
      <xdr:row>292</xdr:row>
      <xdr:rowOff>419100</xdr:rowOff>
    </xdr:to>
    <xdr:pic>
      <xdr:nvPicPr>
        <xdr:cNvPr id="117571" name="Picture 72" descr="Idea_3">
          <a:extLst>
            <a:ext uri="{FF2B5EF4-FFF2-40B4-BE49-F238E27FC236}">
              <a16:creationId xmlns:a16="http://schemas.microsoft.com/office/drawing/2014/main" xmlns="" id="{00000000-0008-0000-0100-000043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2047875" y="88592025"/>
          <a:ext cx="161925" cy="371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209550</xdr:colOff>
      <xdr:row>1016</xdr:row>
      <xdr:rowOff>28575</xdr:rowOff>
    </xdr:from>
    <xdr:to>
      <xdr:col>2</xdr:col>
      <xdr:colOff>381000</xdr:colOff>
      <xdr:row>1016</xdr:row>
      <xdr:rowOff>400050</xdr:rowOff>
    </xdr:to>
    <xdr:pic>
      <xdr:nvPicPr>
        <xdr:cNvPr id="117572" name="Picture 85" descr="Lada-Concept_2">
          <a:extLst>
            <a:ext uri="{FF2B5EF4-FFF2-40B4-BE49-F238E27FC236}">
              <a16:creationId xmlns:a16="http://schemas.microsoft.com/office/drawing/2014/main" xmlns="" id="{00000000-0008-0000-0100-000044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1838325" y="192538350"/>
          <a:ext cx="171450" cy="371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428625</xdr:colOff>
      <xdr:row>1016</xdr:row>
      <xdr:rowOff>28575</xdr:rowOff>
    </xdr:from>
    <xdr:to>
      <xdr:col>2</xdr:col>
      <xdr:colOff>590550</xdr:colOff>
      <xdr:row>1016</xdr:row>
      <xdr:rowOff>400050</xdr:rowOff>
    </xdr:to>
    <xdr:pic>
      <xdr:nvPicPr>
        <xdr:cNvPr id="117573" name="Picture 86" descr="Lada-Concept_2">
          <a:extLst>
            <a:ext uri="{FF2B5EF4-FFF2-40B4-BE49-F238E27FC236}">
              <a16:creationId xmlns:a16="http://schemas.microsoft.com/office/drawing/2014/main" xmlns="" id="{00000000-0008-0000-0100-000045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2057400" y="192538350"/>
          <a:ext cx="161925" cy="371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314325</xdr:colOff>
      <xdr:row>1764</xdr:row>
      <xdr:rowOff>38100</xdr:rowOff>
    </xdr:from>
    <xdr:to>
      <xdr:col>2</xdr:col>
      <xdr:colOff>476250</xdr:colOff>
      <xdr:row>1764</xdr:row>
      <xdr:rowOff>419100</xdr:rowOff>
    </xdr:to>
    <xdr:pic>
      <xdr:nvPicPr>
        <xdr:cNvPr id="117574" name="Picture 93" descr="Lineya_1">
          <a:extLst>
            <a:ext uri="{FF2B5EF4-FFF2-40B4-BE49-F238E27FC236}">
              <a16:creationId xmlns:a16="http://schemas.microsoft.com/office/drawing/2014/main" xmlns="" id="{00000000-0008-0000-0100-000046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1943100" y="328374375"/>
          <a:ext cx="161925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323850</xdr:colOff>
      <xdr:row>1765</xdr:row>
      <xdr:rowOff>38100</xdr:rowOff>
    </xdr:from>
    <xdr:to>
      <xdr:col>2</xdr:col>
      <xdr:colOff>485775</xdr:colOff>
      <xdr:row>1765</xdr:row>
      <xdr:rowOff>419100</xdr:rowOff>
    </xdr:to>
    <xdr:pic>
      <xdr:nvPicPr>
        <xdr:cNvPr id="117575" name="Picture 96" descr="Lineya_3">
          <a:extLst>
            <a:ext uri="{FF2B5EF4-FFF2-40B4-BE49-F238E27FC236}">
              <a16:creationId xmlns:a16="http://schemas.microsoft.com/office/drawing/2014/main" xmlns="" id="{00000000-0008-0000-0100-000047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1952625" y="328812525"/>
          <a:ext cx="161925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323850</xdr:colOff>
      <xdr:row>1766</xdr:row>
      <xdr:rowOff>38100</xdr:rowOff>
    </xdr:from>
    <xdr:to>
      <xdr:col>2</xdr:col>
      <xdr:colOff>495300</xdr:colOff>
      <xdr:row>1766</xdr:row>
      <xdr:rowOff>419100</xdr:rowOff>
    </xdr:to>
    <xdr:pic>
      <xdr:nvPicPr>
        <xdr:cNvPr id="117576" name="Picture 97" descr="Lineya_4">
          <a:extLst>
            <a:ext uri="{FF2B5EF4-FFF2-40B4-BE49-F238E27FC236}">
              <a16:creationId xmlns:a16="http://schemas.microsoft.com/office/drawing/2014/main" xmlns="" id="{00000000-0008-0000-0100-000048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1952625" y="329250675"/>
          <a:ext cx="17145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323850</xdr:colOff>
      <xdr:row>1837</xdr:row>
      <xdr:rowOff>38100</xdr:rowOff>
    </xdr:from>
    <xdr:to>
      <xdr:col>2</xdr:col>
      <xdr:colOff>485775</xdr:colOff>
      <xdr:row>1837</xdr:row>
      <xdr:rowOff>419100</xdr:rowOff>
    </xdr:to>
    <xdr:pic>
      <xdr:nvPicPr>
        <xdr:cNvPr id="117577" name="Picture 99" descr="Layn_1">
          <a:extLst>
            <a:ext uri="{FF2B5EF4-FFF2-40B4-BE49-F238E27FC236}">
              <a16:creationId xmlns:a16="http://schemas.microsoft.com/office/drawing/2014/main" xmlns="" id="{00000000-0008-0000-0100-000049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1952625" y="341442675"/>
          <a:ext cx="161925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323850</xdr:colOff>
      <xdr:row>1838</xdr:row>
      <xdr:rowOff>38100</xdr:rowOff>
    </xdr:from>
    <xdr:to>
      <xdr:col>2</xdr:col>
      <xdr:colOff>495300</xdr:colOff>
      <xdr:row>1838</xdr:row>
      <xdr:rowOff>419100</xdr:rowOff>
    </xdr:to>
    <xdr:pic>
      <xdr:nvPicPr>
        <xdr:cNvPr id="117578" name="Picture 100" descr="Layn_2">
          <a:extLst>
            <a:ext uri="{FF2B5EF4-FFF2-40B4-BE49-F238E27FC236}">
              <a16:creationId xmlns:a16="http://schemas.microsoft.com/office/drawing/2014/main" xmlns="" id="{00000000-0008-0000-0100-00004A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1952625" y="341880825"/>
          <a:ext cx="17145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323850</xdr:colOff>
      <xdr:row>1839</xdr:row>
      <xdr:rowOff>47625</xdr:rowOff>
    </xdr:from>
    <xdr:to>
      <xdr:col>2</xdr:col>
      <xdr:colOff>495300</xdr:colOff>
      <xdr:row>1839</xdr:row>
      <xdr:rowOff>419100</xdr:rowOff>
    </xdr:to>
    <xdr:pic>
      <xdr:nvPicPr>
        <xdr:cNvPr id="117579" name="Picture 101" descr="Layn_3">
          <a:extLst>
            <a:ext uri="{FF2B5EF4-FFF2-40B4-BE49-F238E27FC236}">
              <a16:creationId xmlns:a16="http://schemas.microsoft.com/office/drawing/2014/main" xmlns="" id="{00000000-0008-0000-0100-00004B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1952625" y="342328500"/>
          <a:ext cx="171450" cy="371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323850</xdr:colOff>
      <xdr:row>1840</xdr:row>
      <xdr:rowOff>38100</xdr:rowOff>
    </xdr:from>
    <xdr:to>
      <xdr:col>2</xdr:col>
      <xdr:colOff>495300</xdr:colOff>
      <xdr:row>1840</xdr:row>
      <xdr:rowOff>419100</xdr:rowOff>
    </xdr:to>
    <xdr:pic>
      <xdr:nvPicPr>
        <xdr:cNvPr id="117580" name="Picture 102" descr="Layn_4">
          <a:extLst>
            <a:ext uri="{FF2B5EF4-FFF2-40B4-BE49-F238E27FC236}">
              <a16:creationId xmlns:a16="http://schemas.microsoft.com/office/drawing/2014/main" xmlns="" id="{00000000-0008-0000-0100-00004C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1952625" y="342757125"/>
          <a:ext cx="17145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323850</xdr:colOff>
      <xdr:row>1841</xdr:row>
      <xdr:rowOff>47625</xdr:rowOff>
    </xdr:from>
    <xdr:to>
      <xdr:col>2</xdr:col>
      <xdr:colOff>495300</xdr:colOff>
      <xdr:row>1841</xdr:row>
      <xdr:rowOff>419100</xdr:rowOff>
    </xdr:to>
    <xdr:pic>
      <xdr:nvPicPr>
        <xdr:cNvPr id="117581" name="Picture 103" descr="Layn_5">
          <a:extLst>
            <a:ext uri="{FF2B5EF4-FFF2-40B4-BE49-F238E27FC236}">
              <a16:creationId xmlns:a16="http://schemas.microsoft.com/office/drawing/2014/main" xmlns="" id="{00000000-0008-0000-0100-00004D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1952625" y="343204800"/>
          <a:ext cx="171450" cy="371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333375</xdr:colOff>
      <xdr:row>1914</xdr:row>
      <xdr:rowOff>28575</xdr:rowOff>
    </xdr:from>
    <xdr:to>
      <xdr:col>2</xdr:col>
      <xdr:colOff>495300</xdr:colOff>
      <xdr:row>1914</xdr:row>
      <xdr:rowOff>400050</xdr:rowOff>
    </xdr:to>
    <xdr:pic>
      <xdr:nvPicPr>
        <xdr:cNvPr id="117582" name="Picture 105" descr="Elegant_1">
          <a:extLst>
            <a:ext uri="{FF2B5EF4-FFF2-40B4-BE49-F238E27FC236}">
              <a16:creationId xmlns:a16="http://schemas.microsoft.com/office/drawing/2014/main" xmlns="" id="{00000000-0008-0000-0100-00004E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1962150" y="356387400"/>
          <a:ext cx="161925" cy="371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323850</xdr:colOff>
      <xdr:row>1915</xdr:row>
      <xdr:rowOff>28575</xdr:rowOff>
    </xdr:from>
    <xdr:to>
      <xdr:col>2</xdr:col>
      <xdr:colOff>504825</xdr:colOff>
      <xdr:row>1915</xdr:row>
      <xdr:rowOff>419100</xdr:rowOff>
    </xdr:to>
    <xdr:pic>
      <xdr:nvPicPr>
        <xdr:cNvPr id="117583" name="Picture 106" descr="Elegant_2">
          <a:extLst>
            <a:ext uri="{FF2B5EF4-FFF2-40B4-BE49-F238E27FC236}">
              <a16:creationId xmlns:a16="http://schemas.microsoft.com/office/drawing/2014/main" xmlns="" id="{00000000-0008-0000-0100-00004F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1952625" y="356825550"/>
          <a:ext cx="180975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323850</xdr:colOff>
      <xdr:row>1916</xdr:row>
      <xdr:rowOff>28575</xdr:rowOff>
    </xdr:from>
    <xdr:to>
      <xdr:col>2</xdr:col>
      <xdr:colOff>504825</xdr:colOff>
      <xdr:row>1916</xdr:row>
      <xdr:rowOff>419100</xdr:rowOff>
    </xdr:to>
    <xdr:pic>
      <xdr:nvPicPr>
        <xdr:cNvPr id="117584" name="Picture 107" descr="Elegant_3">
          <a:extLst>
            <a:ext uri="{FF2B5EF4-FFF2-40B4-BE49-F238E27FC236}">
              <a16:creationId xmlns:a16="http://schemas.microsoft.com/office/drawing/2014/main" xmlns="" id="{00000000-0008-0000-0100-000050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1952625" y="357263700"/>
          <a:ext cx="180975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323850</xdr:colOff>
      <xdr:row>1917</xdr:row>
      <xdr:rowOff>28575</xdr:rowOff>
    </xdr:from>
    <xdr:to>
      <xdr:col>2</xdr:col>
      <xdr:colOff>504825</xdr:colOff>
      <xdr:row>1917</xdr:row>
      <xdr:rowOff>419100</xdr:rowOff>
    </xdr:to>
    <xdr:pic>
      <xdr:nvPicPr>
        <xdr:cNvPr id="117585" name="Picture 108" descr="Elegant_4">
          <a:extLst>
            <a:ext uri="{FF2B5EF4-FFF2-40B4-BE49-F238E27FC236}">
              <a16:creationId xmlns:a16="http://schemas.microsoft.com/office/drawing/2014/main" xmlns="" id="{00000000-0008-0000-0100-000051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1952625" y="357701850"/>
          <a:ext cx="180975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323850</xdr:colOff>
      <xdr:row>1918</xdr:row>
      <xdr:rowOff>28575</xdr:rowOff>
    </xdr:from>
    <xdr:to>
      <xdr:col>2</xdr:col>
      <xdr:colOff>504825</xdr:colOff>
      <xdr:row>1918</xdr:row>
      <xdr:rowOff>419100</xdr:rowOff>
    </xdr:to>
    <xdr:pic>
      <xdr:nvPicPr>
        <xdr:cNvPr id="117586" name="Picture 109" descr="Elegant_5">
          <a:extLst>
            <a:ext uri="{FF2B5EF4-FFF2-40B4-BE49-F238E27FC236}">
              <a16:creationId xmlns:a16="http://schemas.microsoft.com/office/drawing/2014/main" xmlns="" id="{00000000-0008-0000-0100-000052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1952625" y="358140000"/>
          <a:ext cx="180975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190500</xdr:colOff>
      <xdr:row>92</xdr:row>
      <xdr:rowOff>25853</xdr:rowOff>
    </xdr:from>
    <xdr:to>
      <xdr:col>2</xdr:col>
      <xdr:colOff>361950</xdr:colOff>
      <xdr:row>92</xdr:row>
      <xdr:rowOff>402771</xdr:rowOff>
    </xdr:to>
    <xdr:pic>
      <xdr:nvPicPr>
        <xdr:cNvPr id="117591" name="Picture 284" descr="Kupava_3">
          <a:extLst>
            <a:ext uri="{FF2B5EF4-FFF2-40B4-BE49-F238E27FC236}">
              <a16:creationId xmlns:a16="http://schemas.microsoft.com/office/drawing/2014/main" xmlns="" id="{00000000-0008-0000-0100-000057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1817914" y="17029339"/>
          <a:ext cx="171450" cy="37691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435428</xdr:colOff>
      <xdr:row>92</xdr:row>
      <xdr:rowOff>38101</xdr:rowOff>
    </xdr:from>
    <xdr:to>
      <xdr:col>2</xdr:col>
      <xdr:colOff>597353</xdr:colOff>
      <xdr:row>92</xdr:row>
      <xdr:rowOff>409576</xdr:rowOff>
    </xdr:to>
    <xdr:pic>
      <xdr:nvPicPr>
        <xdr:cNvPr id="117592" name="Picture 285" descr="Kupava_3">
          <a:extLst>
            <a:ext uri="{FF2B5EF4-FFF2-40B4-BE49-F238E27FC236}">
              <a16:creationId xmlns:a16="http://schemas.microsoft.com/office/drawing/2014/main" xmlns="" id="{00000000-0008-0000-0100-000058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2062842" y="17041587"/>
          <a:ext cx="161925" cy="371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200025</xdr:colOff>
      <xdr:row>93</xdr:row>
      <xdr:rowOff>38100</xdr:rowOff>
    </xdr:from>
    <xdr:to>
      <xdr:col>2</xdr:col>
      <xdr:colOff>361950</xdr:colOff>
      <xdr:row>93</xdr:row>
      <xdr:rowOff>409575</xdr:rowOff>
    </xdr:to>
    <xdr:pic>
      <xdr:nvPicPr>
        <xdr:cNvPr id="117593" name="Picture 286" descr="Kupava_4">
          <a:extLst>
            <a:ext uri="{FF2B5EF4-FFF2-40B4-BE49-F238E27FC236}">
              <a16:creationId xmlns:a16="http://schemas.microsoft.com/office/drawing/2014/main" xmlns="" id="{00000000-0008-0000-0100-000059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1828800" y="18354675"/>
          <a:ext cx="161925" cy="371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419100</xdr:colOff>
      <xdr:row>93</xdr:row>
      <xdr:rowOff>38100</xdr:rowOff>
    </xdr:from>
    <xdr:to>
      <xdr:col>2</xdr:col>
      <xdr:colOff>581025</xdr:colOff>
      <xdr:row>93</xdr:row>
      <xdr:rowOff>409575</xdr:rowOff>
    </xdr:to>
    <xdr:pic>
      <xdr:nvPicPr>
        <xdr:cNvPr id="117594" name="Picture 287" descr="Kupava_4">
          <a:extLst>
            <a:ext uri="{FF2B5EF4-FFF2-40B4-BE49-F238E27FC236}">
              <a16:creationId xmlns:a16="http://schemas.microsoft.com/office/drawing/2014/main" xmlns="" id="{00000000-0008-0000-0100-00005A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2047875" y="18354675"/>
          <a:ext cx="161925" cy="371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200025</xdr:colOff>
      <xdr:row>165</xdr:row>
      <xdr:rowOff>47625</xdr:rowOff>
    </xdr:from>
    <xdr:to>
      <xdr:col>2</xdr:col>
      <xdr:colOff>361950</xdr:colOff>
      <xdr:row>165</xdr:row>
      <xdr:rowOff>400050</xdr:rowOff>
    </xdr:to>
    <xdr:pic>
      <xdr:nvPicPr>
        <xdr:cNvPr id="117608" name="Picture 338" descr="Geometriya_1">
          <a:extLst>
            <a:ext uri="{FF2B5EF4-FFF2-40B4-BE49-F238E27FC236}">
              <a16:creationId xmlns:a16="http://schemas.microsoft.com/office/drawing/2014/main" xmlns="" id="{00000000-0008-0000-0100-000068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1828800" y="59140725"/>
          <a:ext cx="161925" cy="352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333375</xdr:colOff>
      <xdr:row>1989</xdr:row>
      <xdr:rowOff>28575</xdr:rowOff>
    </xdr:from>
    <xdr:to>
      <xdr:col>2</xdr:col>
      <xdr:colOff>514350</xdr:colOff>
      <xdr:row>1989</xdr:row>
      <xdr:rowOff>419100</xdr:rowOff>
    </xdr:to>
    <xdr:pic>
      <xdr:nvPicPr>
        <xdr:cNvPr id="117609" name="Picture 435">
          <a:extLst>
            <a:ext uri="{FF2B5EF4-FFF2-40B4-BE49-F238E27FC236}">
              <a16:creationId xmlns:a16="http://schemas.microsoft.com/office/drawing/2014/main" xmlns="" id="{00000000-0008-0000-0100-000069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1962150" y="370884450"/>
          <a:ext cx="180975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333375</xdr:colOff>
      <xdr:row>1990</xdr:row>
      <xdr:rowOff>28575</xdr:rowOff>
    </xdr:from>
    <xdr:to>
      <xdr:col>2</xdr:col>
      <xdr:colOff>514350</xdr:colOff>
      <xdr:row>1990</xdr:row>
      <xdr:rowOff>419100</xdr:rowOff>
    </xdr:to>
    <xdr:pic>
      <xdr:nvPicPr>
        <xdr:cNvPr id="117610" name="Picture 436">
          <a:extLst>
            <a:ext uri="{FF2B5EF4-FFF2-40B4-BE49-F238E27FC236}">
              <a16:creationId xmlns:a16="http://schemas.microsoft.com/office/drawing/2014/main" xmlns="" id="{00000000-0008-0000-0100-00006A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1962150" y="371322600"/>
          <a:ext cx="180975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333375</xdr:colOff>
      <xdr:row>1991</xdr:row>
      <xdr:rowOff>19050</xdr:rowOff>
    </xdr:from>
    <xdr:to>
      <xdr:col>2</xdr:col>
      <xdr:colOff>514350</xdr:colOff>
      <xdr:row>1991</xdr:row>
      <xdr:rowOff>409575</xdr:rowOff>
    </xdr:to>
    <xdr:pic>
      <xdr:nvPicPr>
        <xdr:cNvPr id="117611" name="Picture 437">
          <a:extLst>
            <a:ext uri="{FF2B5EF4-FFF2-40B4-BE49-F238E27FC236}">
              <a16:creationId xmlns:a16="http://schemas.microsoft.com/office/drawing/2014/main" xmlns="" id="{00000000-0008-0000-0100-00006B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1962150" y="371751225"/>
          <a:ext cx="180975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333375</xdr:colOff>
      <xdr:row>1992</xdr:row>
      <xdr:rowOff>19050</xdr:rowOff>
    </xdr:from>
    <xdr:to>
      <xdr:col>2</xdr:col>
      <xdr:colOff>514350</xdr:colOff>
      <xdr:row>1992</xdr:row>
      <xdr:rowOff>409575</xdr:rowOff>
    </xdr:to>
    <xdr:pic>
      <xdr:nvPicPr>
        <xdr:cNvPr id="117612" name="Picture 438">
          <a:extLst>
            <a:ext uri="{FF2B5EF4-FFF2-40B4-BE49-F238E27FC236}">
              <a16:creationId xmlns:a16="http://schemas.microsoft.com/office/drawing/2014/main" xmlns="" id="{00000000-0008-0000-0100-00006C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1962150" y="372189375"/>
          <a:ext cx="180975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333375</xdr:colOff>
      <xdr:row>1993</xdr:row>
      <xdr:rowOff>19050</xdr:rowOff>
    </xdr:from>
    <xdr:to>
      <xdr:col>2</xdr:col>
      <xdr:colOff>514350</xdr:colOff>
      <xdr:row>1993</xdr:row>
      <xdr:rowOff>409575</xdr:rowOff>
    </xdr:to>
    <xdr:pic>
      <xdr:nvPicPr>
        <xdr:cNvPr id="117613" name="Picture 439">
          <a:extLst>
            <a:ext uri="{FF2B5EF4-FFF2-40B4-BE49-F238E27FC236}">
              <a16:creationId xmlns:a16="http://schemas.microsoft.com/office/drawing/2014/main" xmlns="" id="{00000000-0008-0000-0100-00006D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1962150" y="372627525"/>
          <a:ext cx="180975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352425</xdr:colOff>
      <xdr:row>2124</xdr:row>
      <xdr:rowOff>38100</xdr:rowOff>
    </xdr:from>
    <xdr:to>
      <xdr:col>2</xdr:col>
      <xdr:colOff>466725</xdr:colOff>
      <xdr:row>2124</xdr:row>
      <xdr:rowOff>419100</xdr:rowOff>
    </xdr:to>
    <xdr:pic>
      <xdr:nvPicPr>
        <xdr:cNvPr id="117614" name="Picture 468" descr="Dobor_A">
          <a:extLst>
            <a:ext uri="{FF2B5EF4-FFF2-40B4-BE49-F238E27FC236}">
              <a16:creationId xmlns:a16="http://schemas.microsoft.com/office/drawing/2014/main" xmlns="" id="{00000000-0008-0000-0100-00006E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1981200" y="397211550"/>
          <a:ext cx="11430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352425</xdr:colOff>
      <xdr:row>2125</xdr:row>
      <xdr:rowOff>38100</xdr:rowOff>
    </xdr:from>
    <xdr:to>
      <xdr:col>2</xdr:col>
      <xdr:colOff>466725</xdr:colOff>
      <xdr:row>2125</xdr:row>
      <xdr:rowOff>419100</xdr:rowOff>
    </xdr:to>
    <xdr:pic>
      <xdr:nvPicPr>
        <xdr:cNvPr id="117615" name="Picture 469" descr="Dobor_B">
          <a:extLst>
            <a:ext uri="{FF2B5EF4-FFF2-40B4-BE49-F238E27FC236}">
              <a16:creationId xmlns:a16="http://schemas.microsoft.com/office/drawing/2014/main" xmlns="" id="{00000000-0008-0000-0100-00006F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1981200" y="397649700"/>
          <a:ext cx="11430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200025</xdr:colOff>
      <xdr:row>293</xdr:row>
      <xdr:rowOff>38100</xdr:rowOff>
    </xdr:from>
    <xdr:to>
      <xdr:col>2</xdr:col>
      <xdr:colOff>361950</xdr:colOff>
      <xdr:row>293</xdr:row>
      <xdr:rowOff>419100</xdr:rowOff>
    </xdr:to>
    <xdr:pic>
      <xdr:nvPicPr>
        <xdr:cNvPr id="117616" name="Picture 509" descr="Idea_4">
          <a:extLst>
            <a:ext uri="{FF2B5EF4-FFF2-40B4-BE49-F238E27FC236}">
              <a16:creationId xmlns:a16="http://schemas.microsoft.com/office/drawing/2014/main" xmlns="" id="{00000000-0008-0000-0100-000070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1828800" y="89020650"/>
          <a:ext cx="161925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419100</xdr:colOff>
      <xdr:row>293</xdr:row>
      <xdr:rowOff>38100</xdr:rowOff>
    </xdr:from>
    <xdr:to>
      <xdr:col>2</xdr:col>
      <xdr:colOff>581025</xdr:colOff>
      <xdr:row>293</xdr:row>
      <xdr:rowOff>419100</xdr:rowOff>
    </xdr:to>
    <xdr:pic>
      <xdr:nvPicPr>
        <xdr:cNvPr id="117617" name="Picture 510" descr="Idea_4">
          <a:extLst>
            <a:ext uri="{FF2B5EF4-FFF2-40B4-BE49-F238E27FC236}">
              <a16:creationId xmlns:a16="http://schemas.microsoft.com/office/drawing/2014/main" xmlns="" id="{00000000-0008-0000-0100-000071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2047875" y="89020650"/>
          <a:ext cx="161925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200025</xdr:colOff>
      <xdr:row>294</xdr:row>
      <xdr:rowOff>19050</xdr:rowOff>
    </xdr:from>
    <xdr:to>
      <xdr:col>2</xdr:col>
      <xdr:colOff>381000</xdr:colOff>
      <xdr:row>294</xdr:row>
      <xdr:rowOff>419100</xdr:rowOff>
    </xdr:to>
    <xdr:pic>
      <xdr:nvPicPr>
        <xdr:cNvPr id="117618" name="Picture 513">
          <a:extLst>
            <a:ext uri="{FF2B5EF4-FFF2-40B4-BE49-F238E27FC236}">
              <a16:creationId xmlns:a16="http://schemas.microsoft.com/office/drawing/2014/main" xmlns="" id="{00000000-0008-0000-0100-000072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1828800" y="89439750"/>
          <a:ext cx="180975" cy="4000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419100</xdr:colOff>
      <xdr:row>294</xdr:row>
      <xdr:rowOff>28575</xdr:rowOff>
    </xdr:from>
    <xdr:to>
      <xdr:col>2</xdr:col>
      <xdr:colOff>590550</xdr:colOff>
      <xdr:row>294</xdr:row>
      <xdr:rowOff>419100</xdr:rowOff>
    </xdr:to>
    <xdr:pic>
      <xdr:nvPicPr>
        <xdr:cNvPr id="117619" name="Picture 514">
          <a:extLst>
            <a:ext uri="{FF2B5EF4-FFF2-40B4-BE49-F238E27FC236}">
              <a16:creationId xmlns:a16="http://schemas.microsoft.com/office/drawing/2014/main" xmlns="" id="{00000000-0008-0000-0100-000073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2047875" y="89449275"/>
          <a:ext cx="171450" cy="3905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190500</xdr:colOff>
      <xdr:row>295</xdr:row>
      <xdr:rowOff>19050</xdr:rowOff>
    </xdr:from>
    <xdr:to>
      <xdr:col>2</xdr:col>
      <xdr:colOff>371475</xdr:colOff>
      <xdr:row>296</xdr:row>
      <xdr:rowOff>4677</xdr:rowOff>
    </xdr:to>
    <xdr:pic>
      <xdr:nvPicPr>
        <xdr:cNvPr id="117620" name="Picture 515">
          <a:extLst>
            <a:ext uri="{FF2B5EF4-FFF2-40B4-BE49-F238E27FC236}">
              <a16:creationId xmlns:a16="http://schemas.microsoft.com/office/drawing/2014/main" xmlns="" id="{00000000-0008-0000-0100-000074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1819275" y="89877900"/>
          <a:ext cx="180975" cy="4095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409575</xdr:colOff>
      <xdr:row>295</xdr:row>
      <xdr:rowOff>19050</xdr:rowOff>
    </xdr:from>
    <xdr:to>
      <xdr:col>2</xdr:col>
      <xdr:colOff>590550</xdr:colOff>
      <xdr:row>296</xdr:row>
      <xdr:rowOff>4677</xdr:rowOff>
    </xdr:to>
    <xdr:pic>
      <xdr:nvPicPr>
        <xdr:cNvPr id="117621" name="Picture 518">
          <a:extLst>
            <a:ext uri="{FF2B5EF4-FFF2-40B4-BE49-F238E27FC236}">
              <a16:creationId xmlns:a16="http://schemas.microsoft.com/office/drawing/2014/main" xmlns="" id="{00000000-0008-0000-0100-000075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2038350" y="89877900"/>
          <a:ext cx="180975" cy="4095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209550</xdr:colOff>
      <xdr:row>1017</xdr:row>
      <xdr:rowOff>38100</xdr:rowOff>
    </xdr:from>
    <xdr:to>
      <xdr:col>2</xdr:col>
      <xdr:colOff>371475</xdr:colOff>
      <xdr:row>1017</xdr:row>
      <xdr:rowOff>419100</xdr:rowOff>
    </xdr:to>
    <xdr:pic>
      <xdr:nvPicPr>
        <xdr:cNvPr id="117622" name="Picture 524" descr="Lada-Concept_3">
          <a:extLst>
            <a:ext uri="{FF2B5EF4-FFF2-40B4-BE49-F238E27FC236}">
              <a16:creationId xmlns:a16="http://schemas.microsoft.com/office/drawing/2014/main" xmlns="" id="{00000000-0008-0000-0100-000076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1838325" y="192986025"/>
          <a:ext cx="161925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419100</xdr:colOff>
      <xdr:row>1017</xdr:row>
      <xdr:rowOff>38100</xdr:rowOff>
    </xdr:from>
    <xdr:to>
      <xdr:col>2</xdr:col>
      <xdr:colOff>590550</xdr:colOff>
      <xdr:row>1017</xdr:row>
      <xdr:rowOff>419100</xdr:rowOff>
    </xdr:to>
    <xdr:pic>
      <xdr:nvPicPr>
        <xdr:cNvPr id="117623" name="Picture 525" descr="Lada-Concept_3">
          <a:extLst>
            <a:ext uri="{FF2B5EF4-FFF2-40B4-BE49-F238E27FC236}">
              <a16:creationId xmlns:a16="http://schemas.microsoft.com/office/drawing/2014/main" xmlns="" id="{00000000-0008-0000-0100-000077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2047875" y="192986025"/>
          <a:ext cx="17145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200025</xdr:colOff>
      <xdr:row>1018</xdr:row>
      <xdr:rowOff>19050</xdr:rowOff>
    </xdr:from>
    <xdr:to>
      <xdr:col>2</xdr:col>
      <xdr:colOff>371475</xdr:colOff>
      <xdr:row>1018</xdr:row>
      <xdr:rowOff>400050</xdr:rowOff>
    </xdr:to>
    <xdr:pic>
      <xdr:nvPicPr>
        <xdr:cNvPr id="117624" name="Picture 528">
          <a:extLst>
            <a:ext uri="{FF2B5EF4-FFF2-40B4-BE49-F238E27FC236}">
              <a16:creationId xmlns:a16="http://schemas.microsoft.com/office/drawing/2014/main" xmlns="" id="{00000000-0008-0000-0100-000078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1828800" y="193405125"/>
          <a:ext cx="171450" cy="3810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428625</xdr:colOff>
      <xdr:row>1018</xdr:row>
      <xdr:rowOff>28575</xdr:rowOff>
    </xdr:from>
    <xdr:to>
      <xdr:col>2</xdr:col>
      <xdr:colOff>600075</xdr:colOff>
      <xdr:row>1018</xdr:row>
      <xdr:rowOff>409575</xdr:rowOff>
    </xdr:to>
    <xdr:pic>
      <xdr:nvPicPr>
        <xdr:cNvPr id="117625" name="Picture 529">
          <a:extLst>
            <a:ext uri="{FF2B5EF4-FFF2-40B4-BE49-F238E27FC236}">
              <a16:creationId xmlns:a16="http://schemas.microsoft.com/office/drawing/2014/main" xmlns="" id="{00000000-0008-0000-0100-000079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2057400" y="193414650"/>
          <a:ext cx="171450" cy="3810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323850</xdr:colOff>
      <xdr:row>1021</xdr:row>
      <xdr:rowOff>38100</xdr:rowOff>
    </xdr:from>
    <xdr:to>
      <xdr:col>2</xdr:col>
      <xdr:colOff>485775</xdr:colOff>
      <xdr:row>1021</xdr:row>
      <xdr:rowOff>400050</xdr:rowOff>
    </xdr:to>
    <xdr:pic>
      <xdr:nvPicPr>
        <xdr:cNvPr id="117626" name="Picture 531">
          <a:extLst>
            <a:ext uri="{FF2B5EF4-FFF2-40B4-BE49-F238E27FC236}">
              <a16:creationId xmlns:a16="http://schemas.microsoft.com/office/drawing/2014/main" xmlns="" id="{00000000-0008-0000-0100-00007A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1952625" y="194738625"/>
          <a:ext cx="161925" cy="3619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333375</xdr:colOff>
      <xdr:row>1099</xdr:row>
      <xdr:rowOff>38100</xdr:rowOff>
    </xdr:from>
    <xdr:to>
      <xdr:col>2</xdr:col>
      <xdr:colOff>514350</xdr:colOff>
      <xdr:row>1100</xdr:row>
      <xdr:rowOff>4678</xdr:rowOff>
    </xdr:to>
    <xdr:pic>
      <xdr:nvPicPr>
        <xdr:cNvPr id="117627" name="Picture 541">
          <a:extLst>
            <a:ext uri="{FF2B5EF4-FFF2-40B4-BE49-F238E27FC236}">
              <a16:creationId xmlns:a16="http://schemas.microsoft.com/office/drawing/2014/main" xmlns="" id="{00000000-0008-0000-0100-00007B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1962150" y="209473800"/>
          <a:ext cx="180975" cy="3905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323850</xdr:colOff>
      <xdr:row>1842</xdr:row>
      <xdr:rowOff>47625</xdr:rowOff>
    </xdr:from>
    <xdr:to>
      <xdr:col>2</xdr:col>
      <xdr:colOff>495300</xdr:colOff>
      <xdr:row>1842</xdr:row>
      <xdr:rowOff>419100</xdr:rowOff>
    </xdr:to>
    <xdr:pic>
      <xdr:nvPicPr>
        <xdr:cNvPr id="117628" name="Picture 542" descr="Layn_6">
          <a:extLst>
            <a:ext uri="{FF2B5EF4-FFF2-40B4-BE49-F238E27FC236}">
              <a16:creationId xmlns:a16="http://schemas.microsoft.com/office/drawing/2014/main" xmlns="" id="{00000000-0008-0000-0100-00007C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1952625" y="343642950"/>
          <a:ext cx="171450" cy="371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333375</xdr:colOff>
      <xdr:row>1843</xdr:row>
      <xdr:rowOff>38100</xdr:rowOff>
    </xdr:from>
    <xdr:to>
      <xdr:col>2</xdr:col>
      <xdr:colOff>514350</xdr:colOff>
      <xdr:row>1843</xdr:row>
      <xdr:rowOff>419100</xdr:rowOff>
    </xdr:to>
    <xdr:pic>
      <xdr:nvPicPr>
        <xdr:cNvPr id="117629" name="Picture 543">
          <a:extLst>
            <a:ext uri="{FF2B5EF4-FFF2-40B4-BE49-F238E27FC236}">
              <a16:creationId xmlns:a16="http://schemas.microsoft.com/office/drawing/2014/main" xmlns="" id="{00000000-0008-0000-0100-00007D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1962150" y="344071575"/>
          <a:ext cx="180975" cy="3810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323850</xdr:colOff>
      <xdr:row>1919</xdr:row>
      <xdr:rowOff>28575</xdr:rowOff>
    </xdr:from>
    <xdr:to>
      <xdr:col>2</xdr:col>
      <xdr:colOff>504825</xdr:colOff>
      <xdr:row>1919</xdr:row>
      <xdr:rowOff>419100</xdr:rowOff>
    </xdr:to>
    <xdr:pic>
      <xdr:nvPicPr>
        <xdr:cNvPr id="117630" name="Picture 544" descr="Elegant_6">
          <a:extLst>
            <a:ext uri="{FF2B5EF4-FFF2-40B4-BE49-F238E27FC236}">
              <a16:creationId xmlns:a16="http://schemas.microsoft.com/office/drawing/2014/main" xmlns="" id="{00000000-0008-0000-0100-00007E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1952625" y="358578150"/>
          <a:ext cx="180975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314325</xdr:colOff>
      <xdr:row>1920</xdr:row>
      <xdr:rowOff>38100</xdr:rowOff>
    </xdr:from>
    <xdr:to>
      <xdr:col>2</xdr:col>
      <xdr:colOff>485775</xdr:colOff>
      <xdr:row>1920</xdr:row>
      <xdr:rowOff>419100</xdr:rowOff>
    </xdr:to>
    <xdr:pic>
      <xdr:nvPicPr>
        <xdr:cNvPr id="117631" name="Picture 545">
          <a:extLst>
            <a:ext uri="{FF2B5EF4-FFF2-40B4-BE49-F238E27FC236}">
              <a16:creationId xmlns:a16="http://schemas.microsoft.com/office/drawing/2014/main" xmlns="" id="{00000000-0008-0000-0100-00007F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1943100" y="359025825"/>
          <a:ext cx="171450" cy="3810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209550</xdr:colOff>
      <xdr:row>1094</xdr:row>
      <xdr:rowOff>38100</xdr:rowOff>
    </xdr:from>
    <xdr:to>
      <xdr:col>2</xdr:col>
      <xdr:colOff>371475</xdr:colOff>
      <xdr:row>1094</xdr:row>
      <xdr:rowOff>419100</xdr:rowOff>
    </xdr:to>
    <xdr:pic>
      <xdr:nvPicPr>
        <xdr:cNvPr id="117632" name="Picture 550" descr="Lada-Nova_4">
          <a:extLst>
            <a:ext uri="{FF2B5EF4-FFF2-40B4-BE49-F238E27FC236}">
              <a16:creationId xmlns:a16="http://schemas.microsoft.com/office/drawing/2014/main" xmlns="" id="{00000000-0008-0000-0100-000080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1838325" y="207283050"/>
          <a:ext cx="161925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419100</xdr:colOff>
      <xdr:row>1094</xdr:row>
      <xdr:rowOff>38100</xdr:rowOff>
    </xdr:from>
    <xdr:to>
      <xdr:col>2</xdr:col>
      <xdr:colOff>581025</xdr:colOff>
      <xdr:row>1094</xdr:row>
      <xdr:rowOff>419100</xdr:rowOff>
    </xdr:to>
    <xdr:pic>
      <xdr:nvPicPr>
        <xdr:cNvPr id="117633" name="Picture 551" descr="Lada-Nova_4">
          <a:extLst>
            <a:ext uri="{FF2B5EF4-FFF2-40B4-BE49-F238E27FC236}">
              <a16:creationId xmlns:a16="http://schemas.microsoft.com/office/drawing/2014/main" xmlns="" id="{00000000-0008-0000-0100-000081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/>
        <a:srcRect/>
        <a:stretch>
          <a:fillRect/>
        </a:stretch>
      </xdr:blipFill>
      <xdr:spPr bwMode="auto">
        <a:xfrm>
          <a:off x="2047875" y="207283050"/>
          <a:ext cx="161925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314325</xdr:colOff>
      <xdr:row>14</xdr:row>
      <xdr:rowOff>47625</xdr:rowOff>
    </xdr:from>
    <xdr:to>
      <xdr:col>2</xdr:col>
      <xdr:colOff>485775</xdr:colOff>
      <xdr:row>15</xdr:row>
      <xdr:rowOff>0</xdr:rowOff>
    </xdr:to>
    <xdr:pic>
      <xdr:nvPicPr>
        <xdr:cNvPr id="117634" name="Picture 589" descr="Standart_1A">
          <a:extLst>
            <a:ext uri="{FF2B5EF4-FFF2-40B4-BE49-F238E27FC236}">
              <a16:creationId xmlns:a16="http://schemas.microsoft.com/office/drawing/2014/main" xmlns="" id="{00000000-0008-0000-0100-000082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>
          <a:off x="1943100" y="2019300"/>
          <a:ext cx="17145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314325</xdr:colOff>
      <xdr:row>15</xdr:row>
      <xdr:rowOff>38100</xdr:rowOff>
    </xdr:from>
    <xdr:to>
      <xdr:col>2</xdr:col>
      <xdr:colOff>485775</xdr:colOff>
      <xdr:row>15</xdr:row>
      <xdr:rowOff>400050</xdr:rowOff>
    </xdr:to>
    <xdr:pic>
      <xdr:nvPicPr>
        <xdr:cNvPr id="117635" name="Picture 590" descr="Standart_1B">
          <a:extLst>
            <a:ext uri="{FF2B5EF4-FFF2-40B4-BE49-F238E27FC236}">
              <a16:creationId xmlns:a16="http://schemas.microsoft.com/office/drawing/2014/main" xmlns="" id="{00000000-0008-0000-0100-000083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/>
        <a:srcRect/>
        <a:stretch>
          <a:fillRect/>
        </a:stretch>
      </xdr:blipFill>
      <xdr:spPr bwMode="auto">
        <a:xfrm>
          <a:off x="1943100" y="2447925"/>
          <a:ext cx="171450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314325</xdr:colOff>
      <xdr:row>16</xdr:row>
      <xdr:rowOff>38100</xdr:rowOff>
    </xdr:from>
    <xdr:to>
      <xdr:col>2</xdr:col>
      <xdr:colOff>485775</xdr:colOff>
      <xdr:row>16</xdr:row>
      <xdr:rowOff>400050</xdr:rowOff>
    </xdr:to>
    <xdr:pic>
      <xdr:nvPicPr>
        <xdr:cNvPr id="117636" name="Picture 591" descr="Standart_2A">
          <a:extLst>
            <a:ext uri="{FF2B5EF4-FFF2-40B4-BE49-F238E27FC236}">
              <a16:creationId xmlns:a16="http://schemas.microsoft.com/office/drawing/2014/main" xmlns="" id="{00000000-0008-0000-0100-000084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/>
        <a:srcRect/>
        <a:stretch>
          <a:fillRect/>
        </a:stretch>
      </xdr:blipFill>
      <xdr:spPr bwMode="auto">
        <a:xfrm>
          <a:off x="1943100" y="2886075"/>
          <a:ext cx="171450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314325</xdr:colOff>
      <xdr:row>17</xdr:row>
      <xdr:rowOff>38100</xdr:rowOff>
    </xdr:from>
    <xdr:to>
      <xdr:col>2</xdr:col>
      <xdr:colOff>485775</xdr:colOff>
      <xdr:row>17</xdr:row>
      <xdr:rowOff>400050</xdr:rowOff>
    </xdr:to>
    <xdr:pic>
      <xdr:nvPicPr>
        <xdr:cNvPr id="117637" name="Picture 592" descr="Standart_2B">
          <a:extLst>
            <a:ext uri="{FF2B5EF4-FFF2-40B4-BE49-F238E27FC236}">
              <a16:creationId xmlns:a16="http://schemas.microsoft.com/office/drawing/2014/main" xmlns="" id="{00000000-0008-0000-0100-000085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/>
        <a:srcRect/>
        <a:stretch>
          <a:fillRect/>
        </a:stretch>
      </xdr:blipFill>
      <xdr:spPr bwMode="auto">
        <a:xfrm>
          <a:off x="1943100" y="3324225"/>
          <a:ext cx="171450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200025</xdr:colOff>
      <xdr:row>18</xdr:row>
      <xdr:rowOff>47625</xdr:rowOff>
    </xdr:from>
    <xdr:to>
      <xdr:col>2</xdr:col>
      <xdr:colOff>361950</xdr:colOff>
      <xdr:row>18</xdr:row>
      <xdr:rowOff>419100</xdr:rowOff>
    </xdr:to>
    <xdr:pic>
      <xdr:nvPicPr>
        <xdr:cNvPr id="117638" name="Picture 593" descr="Standart_3">
          <a:extLst>
            <a:ext uri="{FF2B5EF4-FFF2-40B4-BE49-F238E27FC236}">
              <a16:creationId xmlns:a16="http://schemas.microsoft.com/office/drawing/2014/main" xmlns="" id="{00000000-0008-0000-0100-000086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/>
        <a:srcRect/>
        <a:stretch>
          <a:fillRect/>
        </a:stretch>
      </xdr:blipFill>
      <xdr:spPr bwMode="auto">
        <a:xfrm>
          <a:off x="1828800" y="3771900"/>
          <a:ext cx="161925" cy="371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400050</xdr:colOff>
      <xdr:row>18</xdr:row>
      <xdr:rowOff>47625</xdr:rowOff>
    </xdr:from>
    <xdr:to>
      <xdr:col>2</xdr:col>
      <xdr:colOff>561975</xdr:colOff>
      <xdr:row>18</xdr:row>
      <xdr:rowOff>419100</xdr:rowOff>
    </xdr:to>
    <xdr:pic>
      <xdr:nvPicPr>
        <xdr:cNvPr id="117639" name="Picture 594" descr="Standart_3">
          <a:extLst>
            <a:ext uri="{FF2B5EF4-FFF2-40B4-BE49-F238E27FC236}">
              <a16:creationId xmlns:a16="http://schemas.microsoft.com/office/drawing/2014/main" xmlns="" id="{00000000-0008-0000-0100-000087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" cstate="print"/>
        <a:srcRect/>
        <a:stretch>
          <a:fillRect/>
        </a:stretch>
      </xdr:blipFill>
      <xdr:spPr bwMode="auto">
        <a:xfrm>
          <a:off x="2028825" y="3771900"/>
          <a:ext cx="161925" cy="371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190500</xdr:colOff>
      <xdr:row>19</xdr:row>
      <xdr:rowOff>57150</xdr:rowOff>
    </xdr:from>
    <xdr:to>
      <xdr:col>2</xdr:col>
      <xdr:colOff>342900</xdr:colOff>
      <xdr:row>19</xdr:row>
      <xdr:rowOff>419100</xdr:rowOff>
    </xdr:to>
    <xdr:pic>
      <xdr:nvPicPr>
        <xdr:cNvPr id="117640" name="Picture 595" descr="Standart_4">
          <a:extLst>
            <a:ext uri="{FF2B5EF4-FFF2-40B4-BE49-F238E27FC236}">
              <a16:creationId xmlns:a16="http://schemas.microsoft.com/office/drawing/2014/main" xmlns="" id="{00000000-0008-0000-0100-000088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 bwMode="auto">
        <a:xfrm>
          <a:off x="1819275" y="4219575"/>
          <a:ext cx="152400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400050</xdr:colOff>
      <xdr:row>19</xdr:row>
      <xdr:rowOff>57150</xdr:rowOff>
    </xdr:from>
    <xdr:to>
      <xdr:col>2</xdr:col>
      <xdr:colOff>561975</xdr:colOff>
      <xdr:row>19</xdr:row>
      <xdr:rowOff>419100</xdr:rowOff>
    </xdr:to>
    <xdr:pic>
      <xdr:nvPicPr>
        <xdr:cNvPr id="117641" name="Picture 596" descr="Standart_4">
          <a:extLst>
            <a:ext uri="{FF2B5EF4-FFF2-40B4-BE49-F238E27FC236}">
              <a16:creationId xmlns:a16="http://schemas.microsoft.com/office/drawing/2014/main" xmlns="" id="{00000000-0008-0000-0100-000089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" cstate="print"/>
        <a:srcRect/>
        <a:stretch>
          <a:fillRect/>
        </a:stretch>
      </xdr:blipFill>
      <xdr:spPr bwMode="auto">
        <a:xfrm>
          <a:off x="2028825" y="4219575"/>
          <a:ext cx="161925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171450</xdr:colOff>
      <xdr:row>2189</xdr:row>
      <xdr:rowOff>38100</xdr:rowOff>
    </xdr:from>
    <xdr:to>
      <xdr:col>2</xdr:col>
      <xdr:colOff>609600</xdr:colOff>
      <xdr:row>2190</xdr:row>
      <xdr:rowOff>1602</xdr:rowOff>
    </xdr:to>
    <xdr:pic>
      <xdr:nvPicPr>
        <xdr:cNvPr id="117642" name="Picture 607">
          <a:extLst>
            <a:ext uri="{FF2B5EF4-FFF2-40B4-BE49-F238E27FC236}">
              <a16:creationId xmlns:a16="http://schemas.microsoft.com/office/drawing/2014/main" xmlns="" id="{00000000-0008-0000-0100-00008A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" cstate="print"/>
        <a:srcRect/>
        <a:stretch>
          <a:fillRect/>
        </a:stretch>
      </xdr:blipFill>
      <xdr:spPr bwMode="auto">
        <a:xfrm>
          <a:off x="1800225" y="409003500"/>
          <a:ext cx="438150" cy="4000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200025</xdr:colOff>
      <xdr:row>2251</xdr:row>
      <xdr:rowOff>47625</xdr:rowOff>
    </xdr:from>
    <xdr:to>
      <xdr:col>2</xdr:col>
      <xdr:colOff>609600</xdr:colOff>
      <xdr:row>2252</xdr:row>
      <xdr:rowOff>0</xdr:rowOff>
    </xdr:to>
    <xdr:pic>
      <xdr:nvPicPr>
        <xdr:cNvPr id="117643" name="Picture 609">
          <a:extLst>
            <a:ext uri="{FF2B5EF4-FFF2-40B4-BE49-F238E27FC236}">
              <a16:creationId xmlns:a16="http://schemas.microsoft.com/office/drawing/2014/main" xmlns="" id="{00000000-0008-0000-0100-00008B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" cstate="print"/>
        <a:srcRect/>
        <a:stretch>
          <a:fillRect/>
        </a:stretch>
      </xdr:blipFill>
      <xdr:spPr bwMode="auto">
        <a:xfrm>
          <a:off x="1828800" y="420785925"/>
          <a:ext cx="409575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180975</xdr:colOff>
      <xdr:row>2255</xdr:row>
      <xdr:rowOff>38100</xdr:rowOff>
    </xdr:from>
    <xdr:to>
      <xdr:col>2</xdr:col>
      <xdr:colOff>619125</xdr:colOff>
      <xdr:row>2255</xdr:row>
      <xdr:rowOff>400050</xdr:rowOff>
    </xdr:to>
    <xdr:pic>
      <xdr:nvPicPr>
        <xdr:cNvPr id="117644" name="Picture 613">
          <a:extLst>
            <a:ext uri="{FF2B5EF4-FFF2-40B4-BE49-F238E27FC236}">
              <a16:creationId xmlns:a16="http://schemas.microsoft.com/office/drawing/2014/main" xmlns="" id="{00000000-0008-0000-0100-00008C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" cstate="print"/>
        <a:srcRect/>
        <a:stretch>
          <a:fillRect/>
        </a:stretch>
      </xdr:blipFill>
      <xdr:spPr bwMode="auto">
        <a:xfrm>
          <a:off x="1809750" y="422405175"/>
          <a:ext cx="438150" cy="3619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152400</xdr:colOff>
      <xdr:row>2254</xdr:row>
      <xdr:rowOff>47625</xdr:rowOff>
    </xdr:from>
    <xdr:to>
      <xdr:col>2</xdr:col>
      <xdr:colOff>638175</xdr:colOff>
      <xdr:row>2254</xdr:row>
      <xdr:rowOff>419100</xdr:rowOff>
    </xdr:to>
    <xdr:pic>
      <xdr:nvPicPr>
        <xdr:cNvPr id="117645" name="Picture 616">
          <a:extLst>
            <a:ext uri="{FF2B5EF4-FFF2-40B4-BE49-F238E27FC236}">
              <a16:creationId xmlns:a16="http://schemas.microsoft.com/office/drawing/2014/main" xmlns="" id="{00000000-0008-0000-0100-00008D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" cstate="print"/>
        <a:srcRect/>
        <a:stretch>
          <a:fillRect/>
        </a:stretch>
      </xdr:blipFill>
      <xdr:spPr bwMode="auto">
        <a:xfrm>
          <a:off x="1781175" y="421976550"/>
          <a:ext cx="485775" cy="3714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114300</xdr:colOff>
      <xdr:row>2316</xdr:row>
      <xdr:rowOff>66675</xdr:rowOff>
    </xdr:from>
    <xdr:to>
      <xdr:col>2</xdr:col>
      <xdr:colOff>676275</xdr:colOff>
      <xdr:row>2320</xdr:row>
      <xdr:rowOff>142875</xdr:rowOff>
    </xdr:to>
    <xdr:pic>
      <xdr:nvPicPr>
        <xdr:cNvPr id="117646" name="Picture 618">
          <a:extLst>
            <a:ext uri="{FF2B5EF4-FFF2-40B4-BE49-F238E27FC236}">
              <a16:creationId xmlns:a16="http://schemas.microsoft.com/office/drawing/2014/main" xmlns="" id="{00000000-0008-0000-0100-00008E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" cstate="print"/>
        <a:srcRect/>
        <a:stretch>
          <a:fillRect/>
        </a:stretch>
      </xdr:blipFill>
      <xdr:spPr bwMode="auto">
        <a:xfrm>
          <a:off x="1743075" y="433606575"/>
          <a:ext cx="561975" cy="7239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1333500</xdr:colOff>
      <xdr:row>2740</xdr:row>
      <xdr:rowOff>57150</xdr:rowOff>
    </xdr:from>
    <xdr:to>
      <xdr:col>2</xdr:col>
      <xdr:colOff>676275</xdr:colOff>
      <xdr:row>2740</xdr:row>
      <xdr:rowOff>419100</xdr:rowOff>
    </xdr:to>
    <xdr:pic>
      <xdr:nvPicPr>
        <xdr:cNvPr id="117647" name="Picture 620">
          <a:extLst>
            <a:ext uri="{FF2B5EF4-FFF2-40B4-BE49-F238E27FC236}">
              <a16:creationId xmlns:a16="http://schemas.microsoft.com/office/drawing/2014/main" xmlns="" id="{00000000-0008-0000-0100-00008F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" cstate="print"/>
        <a:srcRect/>
        <a:stretch>
          <a:fillRect/>
        </a:stretch>
      </xdr:blipFill>
      <xdr:spPr bwMode="auto">
        <a:xfrm>
          <a:off x="1400175" y="497938425"/>
          <a:ext cx="904875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2665</xdr:row>
      <xdr:rowOff>85725</xdr:rowOff>
    </xdr:from>
    <xdr:to>
      <xdr:col>2</xdr:col>
      <xdr:colOff>771525</xdr:colOff>
      <xdr:row>2665</xdr:row>
      <xdr:rowOff>333375</xdr:rowOff>
    </xdr:to>
    <xdr:pic>
      <xdr:nvPicPr>
        <xdr:cNvPr id="117648" name="Picture 638" descr="111">
          <a:extLst>
            <a:ext uri="{FF2B5EF4-FFF2-40B4-BE49-F238E27FC236}">
              <a16:creationId xmlns:a16="http://schemas.microsoft.com/office/drawing/2014/main" xmlns="" id="{00000000-0008-0000-0100-000090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" cstate="print"/>
        <a:srcRect/>
        <a:stretch>
          <a:fillRect/>
        </a:stretch>
      </xdr:blipFill>
      <xdr:spPr bwMode="auto">
        <a:xfrm>
          <a:off x="1647825" y="483765225"/>
          <a:ext cx="752475" cy="247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104775</xdr:colOff>
      <xdr:row>2667</xdr:row>
      <xdr:rowOff>47625</xdr:rowOff>
    </xdr:from>
    <xdr:to>
      <xdr:col>2</xdr:col>
      <xdr:colOff>676275</xdr:colOff>
      <xdr:row>2675</xdr:row>
      <xdr:rowOff>133353</xdr:rowOff>
    </xdr:to>
    <xdr:pic>
      <xdr:nvPicPr>
        <xdr:cNvPr id="117649" name="Picture 639" descr="2222">
          <a:extLst>
            <a:ext uri="{FF2B5EF4-FFF2-40B4-BE49-F238E27FC236}">
              <a16:creationId xmlns:a16="http://schemas.microsoft.com/office/drawing/2014/main" xmlns="" id="{00000000-0008-0000-0100-000091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" cstate="print"/>
        <a:srcRect/>
        <a:stretch>
          <a:fillRect/>
        </a:stretch>
      </xdr:blipFill>
      <xdr:spPr bwMode="auto">
        <a:xfrm>
          <a:off x="1733550" y="484479600"/>
          <a:ext cx="571500" cy="1381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266700</xdr:colOff>
      <xdr:row>2797</xdr:row>
      <xdr:rowOff>19050</xdr:rowOff>
    </xdr:from>
    <xdr:to>
      <xdr:col>2</xdr:col>
      <xdr:colOff>685800</xdr:colOff>
      <xdr:row>2798</xdr:row>
      <xdr:rowOff>0</xdr:rowOff>
    </xdr:to>
    <xdr:pic>
      <xdr:nvPicPr>
        <xdr:cNvPr id="117650" name="Picture 640" descr="111">
          <a:extLst>
            <a:ext uri="{FF2B5EF4-FFF2-40B4-BE49-F238E27FC236}">
              <a16:creationId xmlns:a16="http://schemas.microsoft.com/office/drawing/2014/main" xmlns="" id="{00000000-0008-0000-0100-000092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" cstate="print"/>
        <a:srcRect/>
        <a:stretch>
          <a:fillRect/>
        </a:stretch>
      </xdr:blipFill>
      <xdr:spPr bwMode="auto">
        <a:xfrm>
          <a:off x="1895475" y="509225550"/>
          <a:ext cx="4191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295275</xdr:colOff>
      <xdr:row>2798</xdr:row>
      <xdr:rowOff>38100</xdr:rowOff>
    </xdr:from>
    <xdr:to>
      <xdr:col>2</xdr:col>
      <xdr:colOff>657225</xdr:colOff>
      <xdr:row>2798</xdr:row>
      <xdr:rowOff>409575</xdr:rowOff>
    </xdr:to>
    <xdr:pic>
      <xdr:nvPicPr>
        <xdr:cNvPr id="117651" name="Picture 641" descr="222">
          <a:extLst>
            <a:ext uri="{FF2B5EF4-FFF2-40B4-BE49-F238E27FC236}">
              <a16:creationId xmlns:a16="http://schemas.microsoft.com/office/drawing/2014/main" xmlns="" id="{00000000-0008-0000-0100-000093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" cstate="print"/>
        <a:srcRect/>
        <a:stretch>
          <a:fillRect/>
        </a:stretch>
      </xdr:blipFill>
      <xdr:spPr bwMode="auto">
        <a:xfrm>
          <a:off x="1924050" y="509682750"/>
          <a:ext cx="361950" cy="371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381000</xdr:colOff>
      <xdr:row>2799</xdr:row>
      <xdr:rowOff>57150</xdr:rowOff>
    </xdr:from>
    <xdr:to>
      <xdr:col>2</xdr:col>
      <xdr:colOff>619125</xdr:colOff>
      <xdr:row>2799</xdr:row>
      <xdr:rowOff>390525</xdr:rowOff>
    </xdr:to>
    <xdr:pic>
      <xdr:nvPicPr>
        <xdr:cNvPr id="117652" name="Picture 642" descr="7b6d420211dc05624fdfc06bef8941cc">
          <a:extLst>
            <a:ext uri="{FF2B5EF4-FFF2-40B4-BE49-F238E27FC236}">
              <a16:creationId xmlns:a16="http://schemas.microsoft.com/office/drawing/2014/main" xmlns="" id="{00000000-0008-0000-0100-000094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" cstate="print"/>
        <a:srcRect/>
        <a:stretch>
          <a:fillRect/>
        </a:stretch>
      </xdr:blipFill>
      <xdr:spPr bwMode="auto">
        <a:xfrm>
          <a:off x="2009775" y="510578100"/>
          <a:ext cx="238125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257175</xdr:colOff>
      <xdr:row>2800</xdr:row>
      <xdr:rowOff>38100</xdr:rowOff>
    </xdr:from>
    <xdr:to>
      <xdr:col>2</xdr:col>
      <xdr:colOff>704850</xdr:colOff>
      <xdr:row>2800</xdr:row>
      <xdr:rowOff>390525</xdr:rowOff>
    </xdr:to>
    <xdr:pic>
      <xdr:nvPicPr>
        <xdr:cNvPr id="117653" name="Picture 643" descr="2330865">
          <a:extLst>
            <a:ext uri="{FF2B5EF4-FFF2-40B4-BE49-F238E27FC236}">
              <a16:creationId xmlns:a16="http://schemas.microsoft.com/office/drawing/2014/main" xmlns="" id="{00000000-0008-0000-0100-000095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" cstate="print"/>
        <a:srcRect/>
        <a:stretch>
          <a:fillRect/>
        </a:stretch>
      </xdr:blipFill>
      <xdr:spPr bwMode="auto">
        <a:xfrm>
          <a:off x="1885950" y="511435350"/>
          <a:ext cx="447675" cy="352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333375</xdr:colOff>
      <xdr:row>1019</xdr:row>
      <xdr:rowOff>38100</xdr:rowOff>
    </xdr:from>
    <xdr:to>
      <xdr:col>2</xdr:col>
      <xdr:colOff>495300</xdr:colOff>
      <xdr:row>1019</xdr:row>
      <xdr:rowOff>400050</xdr:rowOff>
    </xdr:to>
    <xdr:pic>
      <xdr:nvPicPr>
        <xdr:cNvPr id="117655" name="Picture 681">
          <a:extLst>
            <a:ext uri="{FF2B5EF4-FFF2-40B4-BE49-F238E27FC236}">
              <a16:creationId xmlns:a16="http://schemas.microsoft.com/office/drawing/2014/main" xmlns="" id="{00000000-0008-0000-0100-000097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" cstate="print"/>
        <a:srcRect/>
        <a:stretch>
          <a:fillRect/>
        </a:stretch>
      </xdr:blipFill>
      <xdr:spPr bwMode="auto">
        <a:xfrm>
          <a:off x="1962150" y="193862325"/>
          <a:ext cx="161925" cy="3619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333375</xdr:colOff>
      <xdr:row>1020</xdr:row>
      <xdr:rowOff>38100</xdr:rowOff>
    </xdr:from>
    <xdr:to>
      <xdr:col>2</xdr:col>
      <xdr:colOff>495300</xdr:colOff>
      <xdr:row>1020</xdr:row>
      <xdr:rowOff>400050</xdr:rowOff>
    </xdr:to>
    <xdr:pic>
      <xdr:nvPicPr>
        <xdr:cNvPr id="117656" name="Picture 685" descr="Lada-Concept_5">
          <a:extLst>
            <a:ext uri="{FF2B5EF4-FFF2-40B4-BE49-F238E27FC236}">
              <a16:creationId xmlns:a16="http://schemas.microsoft.com/office/drawing/2014/main" xmlns="" id="{00000000-0008-0000-0100-000098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" cstate="print"/>
        <a:srcRect/>
        <a:stretch>
          <a:fillRect/>
        </a:stretch>
      </xdr:blipFill>
      <xdr:spPr bwMode="auto">
        <a:xfrm>
          <a:off x="1962150" y="194300475"/>
          <a:ext cx="161925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333375</xdr:colOff>
      <xdr:row>1097</xdr:row>
      <xdr:rowOff>38100</xdr:rowOff>
    </xdr:from>
    <xdr:to>
      <xdr:col>2</xdr:col>
      <xdr:colOff>495300</xdr:colOff>
      <xdr:row>1097</xdr:row>
      <xdr:rowOff>400050</xdr:rowOff>
    </xdr:to>
    <xdr:pic>
      <xdr:nvPicPr>
        <xdr:cNvPr id="117657" name="Picture 692">
          <a:extLst>
            <a:ext uri="{FF2B5EF4-FFF2-40B4-BE49-F238E27FC236}">
              <a16:creationId xmlns:a16="http://schemas.microsoft.com/office/drawing/2014/main" xmlns="" id="{00000000-0008-0000-0100-000099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" cstate="print"/>
        <a:srcRect/>
        <a:stretch>
          <a:fillRect/>
        </a:stretch>
      </xdr:blipFill>
      <xdr:spPr bwMode="auto">
        <a:xfrm>
          <a:off x="1962150" y="208597500"/>
          <a:ext cx="161925" cy="3619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333375</xdr:colOff>
      <xdr:row>1098</xdr:row>
      <xdr:rowOff>57150</xdr:rowOff>
    </xdr:from>
    <xdr:to>
      <xdr:col>2</xdr:col>
      <xdr:colOff>485775</xdr:colOff>
      <xdr:row>1098</xdr:row>
      <xdr:rowOff>400050</xdr:rowOff>
    </xdr:to>
    <xdr:pic>
      <xdr:nvPicPr>
        <xdr:cNvPr id="117658" name="Picture 696" descr="Lada-Nova_7">
          <a:extLst>
            <a:ext uri="{FF2B5EF4-FFF2-40B4-BE49-F238E27FC236}">
              <a16:creationId xmlns:a16="http://schemas.microsoft.com/office/drawing/2014/main" xmlns="" id="{00000000-0008-0000-0100-00009A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" cstate="print"/>
        <a:srcRect/>
        <a:stretch>
          <a:fillRect/>
        </a:stretch>
      </xdr:blipFill>
      <xdr:spPr bwMode="auto">
        <a:xfrm>
          <a:off x="1962150" y="209054700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342900</xdr:colOff>
      <xdr:row>1095</xdr:row>
      <xdr:rowOff>47625</xdr:rowOff>
    </xdr:from>
    <xdr:to>
      <xdr:col>2</xdr:col>
      <xdr:colOff>495300</xdr:colOff>
      <xdr:row>1095</xdr:row>
      <xdr:rowOff>390525</xdr:rowOff>
    </xdr:to>
    <xdr:pic>
      <xdr:nvPicPr>
        <xdr:cNvPr id="117659" name="Picture 697" descr="Lada-Nova_6a">
          <a:extLst>
            <a:ext uri="{FF2B5EF4-FFF2-40B4-BE49-F238E27FC236}">
              <a16:creationId xmlns:a16="http://schemas.microsoft.com/office/drawing/2014/main" xmlns="" id="{00000000-0008-0000-0100-00009B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" cstate="print"/>
        <a:srcRect/>
        <a:stretch>
          <a:fillRect/>
        </a:stretch>
      </xdr:blipFill>
      <xdr:spPr bwMode="auto">
        <a:xfrm>
          <a:off x="1971675" y="2077307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333375</xdr:colOff>
      <xdr:row>1096</xdr:row>
      <xdr:rowOff>57150</xdr:rowOff>
    </xdr:from>
    <xdr:to>
      <xdr:col>2</xdr:col>
      <xdr:colOff>485775</xdr:colOff>
      <xdr:row>1096</xdr:row>
      <xdr:rowOff>400050</xdr:rowOff>
    </xdr:to>
    <xdr:pic>
      <xdr:nvPicPr>
        <xdr:cNvPr id="117660" name="Picture 701" descr="Lada-Nova_6a">
          <a:extLst>
            <a:ext uri="{FF2B5EF4-FFF2-40B4-BE49-F238E27FC236}">
              <a16:creationId xmlns:a16="http://schemas.microsoft.com/office/drawing/2014/main" xmlns="" id="{00000000-0008-0000-0100-00009C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" cstate="print"/>
        <a:srcRect/>
        <a:stretch>
          <a:fillRect/>
        </a:stretch>
      </xdr:blipFill>
      <xdr:spPr bwMode="auto">
        <a:xfrm>
          <a:off x="1962150" y="208178400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114300</xdr:colOff>
      <xdr:row>2388</xdr:row>
      <xdr:rowOff>66675</xdr:rowOff>
    </xdr:from>
    <xdr:to>
      <xdr:col>2</xdr:col>
      <xdr:colOff>676275</xdr:colOff>
      <xdr:row>2392</xdr:row>
      <xdr:rowOff>142874</xdr:rowOff>
    </xdr:to>
    <xdr:pic>
      <xdr:nvPicPr>
        <xdr:cNvPr id="117661" name="Picture 728">
          <a:extLst>
            <a:ext uri="{FF2B5EF4-FFF2-40B4-BE49-F238E27FC236}">
              <a16:creationId xmlns:a16="http://schemas.microsoft.com/office/drawing/2014/main" xmlns="" id="{00000000-0008-0000-0100-00009D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" cstate="print"/>
        <a:srcRect/>
        <a:stretch>
          <a:fillRect/>
        </a:stretch>
      </xdr:blipFill>
      <xdr:spPr bwMode="auto">
        <a:xfrm>
          <a:off x="1743075" y="446989200"/>
          <a:ext cx="561975" cy="7239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114300</xdr:colOff>
      <xdr:row>2456</xdr:row>
      <xdr:rowOff>66675</xdr:rowOff>
    </xdr:from>
    <xdr:to>
      <xdr:col>2</xdr:col>
      <xdr:colOff>676275</xdr:colOff>
      <xdr:row>2460</xdr:row>
      <xdr:rowOff>142873</xdr:rowOff>
    </xdr:to>
    <xdr:pic>
      <xdr:nvPicPr>
        <xdr:cNvPr id="117662" name="Picture 732">
          <a:extLst>
            <a:ext uri="{FF2B5EF4-FFF2-40B4-BE49-F238E27FC236}">
              <a16:creationId xmlns:a16="http://schemas.microsoft.com/office/drawing/2014/main" xmlns="" id="{00000000-0008-0000-0100-00009E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" cstate="print"/>
        <a:srcRect/>
        <a:stretch>
          <a:fillRect/>
        </a:stretch>
      </xdr:blipFill>
      <xdr:spPr bwMode="auto">
        <a:xfrm>
          <a:off x="1743075" y="458743050"/>
          <a:ext cx="561975" cy="7239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</xdr:colOff>
      <xdr:row>0</xdr:row>
      <xdr:rowOff>133350</xdr:rowOff>
    </xdr:from>
    <xdr:to>
      <xdr:col>2</xdr:col>
      <xdr:colOff>219075</xdr:colOff>
      <xdr:row>4</xdr:row>
      <xdr:rowOff>85725</xdr:rowOff>
    </xdr:to>
    <xdr:pic>
      <xdr:nvPicPr>
        <xdr:cNvPr id="117664" name="Picture 383" descr="123">
          <a:extLst>
            <a:ext uri="{FF2B5EF4-FFF2-40B4-BE49-F238E27FC236}">
              <a16:creationId xmlns:a16="http://schemas.microsoft.com/office/drawing/2014/main" xmlns="" id="{00000000-0008-0000-0100-0000A0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" cstate="print"/>
        <a:srcRect t="6827"/>
        <a:stretch>
          <a:fillRect/>
        </a:stretch>
      </xdr:blipFill>
      <xdr:spPr bwMode="auto">
        <a:xfrm>
          <a:off x="85725" y="133350"/>
          <a:ext cx="1762125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114300</xdr:colOff>
      <xdr:row>1245</xdr:row>
      <xdr:rowOff>0</xdr:rowOff>
    </xdr:from>
    <xdr:to>
      <xdr:col>2</xdr:col>
      <xdr:colOff>428625</xdr:colOff>
      <xdr:row>1246</xdr:row>
      <xdr:rowOff>7016</xdr:rowOff>
    </xdr:to>
    <xdr:pic>
      <xdr:nvPicPr>
        <xdr:cNvPr id="117665" name="Рисунок 191" descr="Loft 1_0_401.png">
          <a:extLst>
            <a:ext uri="{FF2B5EF4-FFF2-40B4-BE49-F238E27FC236}">
              <a16:creationId xmlns:a16="http://schemas.microsoft.com/office/drawing/2014/main" xmlns="" id="{00000000-0008-0000-0100-0000A1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print"/>
        <a:srcRect/>
        <a:stretch>
          <a:fillRect/>
        </a:stretch>
      </xdr:blipFill>
      <xdr:spPr bwMode="auto">
        <a:xfrm>
          <a:off x="1743075" y="234724575"/>
          <a:ext cx="314325" cy="428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371475</xdr:colOff>
      <xdr:row>1244</xdr:row>
      <xdr:rowOff>152400</xdr:rowOff>
    </xdr:from>
    <xdr:to>
      <xdr:col>2</xdr:col>
      <xdr:colOff>685800</xdr:colOff>
      <xdr:row>1246</xdr:row>
      <xdr:rowOff>2471</xdr:rowOff>
    </xdr:to>
    <xdr:pic>
      <xdr:nvPicPr>
        <xdr:cNvPr id="117666" name="Рисунок 192" descr="Loft 1_1_401.png">
          <a:extLst>
            <a:ext uri="{FF2B5EF4-FFF2-40B4-BE49-F238E27FC236}">
              <a16:creationId xmlns:a16="http://schemas.microsoft.com/office/drawing/2014/main" xmlns="" id="{00000000-0008-0000-0100-0000A2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print"/>
        <a:srcRect/>
        <a:stretch>
          <a:fillRect/>
        </a:stretch>
      </xdr:blipFill>
      <xdr:spPr bwMode="auto">
        <a:xfrm>
          <a:off x="2000250" y="234715050"/>
          <a:ext cx="314325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123825</xdr:colOff>
      <xdr:row>1246</xdr:row>
      <xdr:rowOff>9525</xdr:rowOff>
    </xdr:from>
    <xdr:to>
      <xdr:col>2</xdr:col>
      <xdr:colOff>438150</xdr:colOff>
      <xdr:row>1247</xdr:row>
      <xdr:rowOff>1</xdr:rowOff>
    </xdr:to>
    <xdr:pic>
      <xdr:nvPicPr>
        <xdr:cNvPr id="117667" name="Рисунок 195" descr="Loft 3_0_401.png">
          <a:extLst>
            <a:ext uri="{FF2B5EF4-FFF2-40B4-BE49-F238E27FC236}">
              <a16:creationId xmlns:a16="http://schemas.microsoft.com/office/drawing/2014/main" xmlns="" id="{00000000-0008-0000-0100-0000A3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print"/>
        <a:srcRect/>
        <a:stretch>
          <a:fillRect/>
        </a:stretch>
      </xdr:blipFill>
      <xdr:spPr bwMode="auto">
        <a:xfrm>
          <a:off x="1752600" y="235172250"/>
          <a:ext cx="314325" cy="428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390525</xdr:colOff>
      <xdr:row>1246</xdr:row>
      <xdr:rowOff>19050</xdr:rowOff>
    </xdr:from>
    <xdr:to>
      <xdr:col>2</xdr:col>
      <xdr:colOff>704850</xdr:colOff>
      <xdr:row>1247</xdr:row>
      <xdr:rowOff>9526</xdr:rowOff>
    </xdr:to>
    <xdr:pic>
      <xdr:nvPicPr>
        <xdr:cNvPr id="117668" name="Рисунок 196" descr="Loft 3_1_401.png">
          <a:extLst>
            <a:ext uri="{FF2B5EF4-FFF2-40B4-BE49-F238E27FC236}">
              <a16:creationId xmlns:a16="http://schemas.microsoft.com/office/drawing/2014/main" xmlns="" id="{00000000-0008-0000-0100-0000A4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print"/>
        <a:srcRect/>
        <a:stretch>
          <a:fillRect/>
        </a:stretch>
      </xdr:blipFill>
      <xdr:spPr bwMode="auto">
        <a:xfrm>
          <a:off x="2019300" y="235181775"/>
          <a:ext cx="314325" cy="428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114300</xdr:colOff>
      <xdr:row>1247</xdr:row>
      <xdr:rowOff>19050</xdr:rowOff>
    </xdr:from>
    <xdr:to>
      <xdr:col>2</xdr:col>
      <xdr:colOff>428625</xdr:colOff>
      <xdr:row>1248</xdr:row>
      <xdr:rowOff>0</xdr:rowOff>
    </xdr:to>
    <xdr:pic>
      <xdr:nvPicPr>
        <xdr:cNvPr id="117669" name="Рисунок 197" descr="Loft 4_0_401.png">
          <a:extLst>
            <a:ext uri="{FF2B5EF4-FFF2-40B4-BE49-F238E27FC236}">
              <a16:creationId xmlns:a16="http://schemas.microsoft.com/office/drawing/2014/main" xmlns="" id="{00000000-0008-0000-0100-0000A5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print"/>
        <a:srcRect/>
        <a:stretch>
          <a:fillRect/>
        </a:stretch>
      </xdr:blipFill>
      <xdr:spPr bwMode="auto">
        <a:xfrm>
          <a:off x="1743075" y="235619925"/>
          <a:ext cx="314325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390525</xdr:colOff>
      <xdr:row>1247</xdr:row>
      <xdr:rowOff>9525</xdr:rowOff>
    </xdr:from>
    <xdr:to>
      <xdr:col>2</xdr:col>
      <xdr:colOff>695325</xdr:colOff>
      <xdr:row>1248</xdr:row>
      <xdr:rowOff>0</xdr:rowOff>
    </xdr:to>
    <xdr:pic>
      <xdr:nvPicPr>
        <xdr:cNvPr id="117670" name="Рисунок 198" descr="Loft 4_1_401.png">
          <a:extLst>
            <a:ext uri="{FF2B5EF4-FFF2-40B4-BE49-F238E27FC236}">
              <a16:creationId xmlns:a16="http://schemas.microsoft.com/office/drawing/2014/main" xmlns="" id="{00000000-0008-0000-0100-0000A6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print"/>
        <a:srcRect/>
        <a:stretch>
          <a:fillRect/>
        </a:stretch>
      </xdr:blipFill>
      <xdr:spPr bwMode="auto">
        <a:xfrm>
          <a:off x="2019300" y="235610400"/>
          <a:ext cx="304800" cy="428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114300</xdr:colOff>
      <xdr:row>1248</xdr:row>
      <xdr:rowOff>9525</xdr:rowOff>
    </xdr:from>
    <xdr:to>
      <xdr:col>2</xdr:col>
      <xdr:colOff>428625</xdr:colOff>
      <xdr:row>1249</xdr:row>
      <xdr:rowOff>9526</xdr:rowOff>
    </xdr:to>
    <xdr:pic>
      <xdr:nvPicPr>
        <xdr:cNvPr id="117671" name="Рисунок 199" descr="Loft 5_0_401.png">
          <a:extLst>
            <a:ext uri="{FF2B5EF4-FFF2-40B4-BE49-F238E27FC236}">
              <a16:creationId xmlns:a16="http://schemas.microsoft.com/office/drawing/2014/main" xmlns="" id="{00000000-0008-0000-0100-0000A7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print"/>
        <a:srcRect/>
        <a:stretch>
          <a:fillRect/>
        </a:stretch>
      </xdr:blipFill>
      <xdr:spPr bwMode="auto">
        <a:xfrm>
          <a:off x="1743075" y="236048550"/>
          <a:ext cx="314325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390525</xdr:colOff>
      <xdr:row>1248</xdr:row>
      <xdr:rowOff>0</xdr:rowOff>
    </xdr:from>
    <xdr:to>
      <xdr:col>2</xdr:col>
      <xdr:colOff>704850</xdr:colOff>
      <xdr:row>1249</xdr:row>
      <xdr:rowOff>1</xdr:rowOff>
    </xdr:to>
    <xdr:pic>
      <xdr:nvPicPr>
        <xdr:cNvPr id="117672" name="Рисунок 200" descr="Loft 5_1_401.png">
          <a:extLst>
            <a:ext uri="{FF2B5EF4-FFF2-40B4-BE49-F238E27FC236}">
              <a16:creationId xmlns:a16="http://schemas.microsoft.com/office/drawing/2014/main" xmlns="" id="{00000000-0008-0000-0100-0000A8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print"/>
        <a:srcRect/>
        <a:stretch>
          <a:fillRect/>
        </a:stretch>
      </xdr:blipFill>
      <xdr:spPr bwMode="auto">
        <a:xfrm>
          <a:off x="2019300" y="236039025"/>
          <a:ext cx="314325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114300</xdr:colOff>
      <xdr:row>1249</xdr:row>
      <xdr:rowOff>0</xdr:rowOff>
    </xdr:from>
    <xdr:to>
      <xdr:col>2</xdr:col>
      <xdr:colOff>428625</xdr:colOff>
      <xdr:row>1250</xdr:row>
      <xdr:rowOff>7015</xdr:rowOff>
    </xdr:to>
    <xdr:pic>
      <xdr:nvPicPr>
        <xdr:cNvPr id="117673" name="Рисунок 201" descr="Loft 6_0_401.png">
          <a:extLst>
            <a:ext uri="{FF2B5EF4-FFF2-40B4-BE49-F238E27FC236}">
              <a16:creationId xmlns:a16="http://schemas.microsoft.com/office/drawing/2014/main" xmlns="" id="{00000000-0008-0000-0100-0000A9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print"/>
        <a:srcRect/>
        <a:stretch>
          <a:fillRect/>
        </a:stretch>
      </xdr:blipFill>
      <xdr:spPr bwMode="auto">
        <a:xfrm>
          <a:off x="1743075" y="236477175"/>
          <a:ext cx="314325" cy="428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381000</xdr:colOff>
      <xdr:row>1249</xdr:row>
      <xdr:rowOff>9525</xdr:rowOff>
    </xdr:from>
    <xdr:to>
      <xdr:col>2</xdr:col>
      <xdr:colOff>695325</xdr:colOff>
      <xdr:row>1250</xdr:row>
      <xdr:rowOff>1599</xdr:rowOff>
    </xdr:to>
    <xdr:pic>
      <xdr:nvPicPr>
        <xdr:cNvPr id="117674" name="Рисунок 202" descr="Loft 6_1_401.png">
          <a:extLst>
            <a:ext uri="{FF2B5EF4-FFF2-40B4-BE49-F238E27FC236}">
              <a16:creationId xmlns:a16="http://schemas.microsoft.com/office/drawing/2014/main" xmlns="" id="{00000000-0008-0000-0100-0000AA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print"/>
        <a:srcRect/>
        <a:stretch>
          <a:fillRect/>
        </a:stretch>
      </xdr:blipFill>
      <xdr:spPr bwMode="auto">
        <a:xfrm>
          <a:off x="2009775" y="236486700"/>
          <a:ext cx="314325" cy="428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</xdr:colOff>
      <xdr:row>2328</xdr:row>
      <xdr:rowOff>66675</xdr:rowOff>
    </xdr:from>
    <xdr:to>
      <xdr:col>2</xdr:col>
      <xdr:colOff>771525</xdr:colOff>
      <xdr:row>2328</xdr:row>
      <xdr:rowOff>381000</xdr:rowOff>
    </xdr:to>
    <xdr:pic>
      <xdr:nvPicPr>
        <xdr:cNvPr id="117675" name="Picture 637" descr="asdfadsfadsf">
          <a:extLst>
            <a:ext uri="{FF2B5EF4-FFF2-40B4-BE49-F238E27FC236}">
              <a16:creationId xmlns:a16="http://schemas.microsoft.com/office/drawing/2014/main" xmlns="" id="{00000000-0008-0000-0100-0000AB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" cstate="print"/>
        <a:srcRect/>
        <a:stretch>
          <a:fillRect/>
        </a:stretch>
      </xdr:blipFill>
      <xdr:spPr bwMode="auto">
        <a:xfrm>
          <a:off x="1657350" y="435978300"/>
          <a:ext cx="742950" cy="314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200025</xdr:colOff>
      <xdr:row>2252</xdr:row>
      <xdr:rowOff>47625</xdr:rowOff>
    </xdr:from>
    <xdr:to>
      <xdr:col>2</xdr:col>
      <xdr:colOff>609600</xdr:colOff>
      <xdr:row>2253</xdr:row>
      <xdr:rowOff>4</xdr:rowOff>
    </xdr:to>
    <xdr:pic>
      <xdr:nvPicPr>
        <xdr:cNvPr id="117676" name="Picture 609">
          <a:extLst>
            <a:ext uri="{FF2B5EF4-FFF2-40B4-BE49-F238E27FC236}">
              <a16:creationId xmlns:a16="http://schemas.microsoft.com/office/drawing/2014/main" xmlns="" id="{00000000-0008-0000-0100-0000AC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" cstate="print"/>
        <a:srcRect/>
        <a:stretch>
          <a:fillRect/>
        </a:stretch>
      </xdr:blipFill>
      <xdr:spPr bwMode="auto">
        <a:xfrm>
          <a:off x="1828800" y="421224075"/>
          <a:ext cx="409575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171450</xdr:colOff>
      <xdr:row>1617</xdr:row>
      <xdr:rowOff>19050</xdr:rowOff>
    </xdr:from>
    <xdr:to>
      <xdr:col>2</xdr:col>
      <xdr:colOff>342900</xdr:colOff>
      <xdr:row>1617</xdr:row>
      <xdr:rowOff>400050</xdr:rowOff>
    </xdr:to>
    <xdr:pic>
      <xdr:nvPicPr>
        <xdr:cNvPr id="117677" name="Рисунок 218" descr="Модерн 3A.1_401.png">
          <a:extLst>
            <a:ext uri="{FF2B5EF4-FFF2-40B4-BE49-F238E27FC236}">
              <a16:creationId xmlns:a16="http://schemas.microsoft.com/office/drawing/2014/main" xmlns="" id="{00000000-0008-0000-0100-0000AD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print"/>
        <a:srcRect/>
        <a:stretch>
          <a:fillRect/>
        </a:stretch>
      </xdr:blipFill>
      <xdr:spPr bwMode="auto">
        <a:xfrm>
          <a:off x="1800225" y="302190150"/>
          <a:ext cx="17145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</xdr:colOff>
      <xdr:row>2511</xdr:row>
      <xdr:rowOff>66675</xdr:rowOff>
    </xdr:from>
    <xdr:to>
      <xdr:col>2</xdr:col>
      <xdr:colOff>771525</xdr:colOff>
      <xdr:row>2511</xdr:row>
      <xdr:rowOff>381000</xdr:rowOff>
    </xdr:to>
    <xdr:pic>
      <xdr:nvPicPr>
        <xdr:cNvPr id="117678" name="Picture 637" descr="asdfadsfadsf">
          <a:extLst>
            <a:ext uri="{FF2B5EF4-FFF2-40B4-BE49-F238E27FC236}">
              <a16:creationId xmlns:a16="http://schemas.microsoft.com/office/drawing/2014/main" xmlns="" id="{00000000-0008-0000-0100-0000AE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" cstate="print"/>
        <a:srcRect/>
        <a:stretch>
          <a:fillRect/>
        </a:stretch>
      </xdr:blipFill>
      <xdr:spPr bwMode="auto">
        <a:xfrm>
          <a:off x="1657350" y="461114775"/>
          <a:ext cx="742950" cy="314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180975</xdr:colOff>
      <xdr:row>2256</xdr:row>
      <xdr:rowOff>38100</xdr:rowOff>
    </xdr:from>
    <xdr:to>
      <xdr:col>2</xdr:col>
      <xdr:colOff>619125</xdr:colOff>
      <xdr:row>2256</xdr:row>
      <xdr:rowOff>400050</xdr:rowOff>
    </xdr:to>
    <xdr:pic>
      <xdr:nvPicPr>
        <xdr:cNvPr id="117679" name="Picture 613">
          <a:extLst>
            <a:ext uri="{FF2B5EF4-FFF2-40B4-BE49-F238E27FC236}">
              <a16:creationId xmlns:a16="http://schemas.microsoft.com/office/drawing/2014/main" xmlns="" id="{00000000-0008-0000-0100-0000AF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" cstate="print"/>
        <a:srcRect/>
        <a:stretch>
          <a:fillRect/>
        </a:stretch>
      </xdr:blipFill>
      <xdr:spPr bwMode="auto">
        <a:xfrm>
          <a:off x="1809750" y="422843325"/>
          <a:ext cx="438150" cy="3619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133350</xdr:colOff>
      <xdr:row>2606</xdr:row>
      <xdr:rowOff>142875</xdr:rowOff>
    </xdr:from>
    <xdr:to>
      <xdr:col>2</xdr:col>
      <xdr:colOff>695325</xdr:colOff>
      <xdr:row>2607</xdr:row>
      <xdr:rowOff>238124</xdr:rowOff>
    </xdr:to>
    <xdr:pic>
      <xdr:nvPicPr>
        <xdr:cNvPr id="117680" name="Picture 609">
          <a:extLst>
            <a:ext uri="{FF2B5EF4-FFF2-40B4-BE49-F238E27FC236}">
              <a16:creationId xmlns:a16="http://schemas.microsoft.com/office/drawing/2014/main" xmlns="" id="{00000000-0008-0000-0100-0000B0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" cstate="print"/>
        <a:srcRect/>
        <a:stretch>
          <a:fillRect/>
        </a:stretch>
      </xdr:blipFill>
      <xdr:spPr bwMode="auto">
        <a:xfrm>
          <a:off x="1762125" y="472544775"/>
          <a:ext cx="561975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1614</xdr:row>
      <xdr:rowOff>171450</xdr:rowOff>
    </xdr:from>
    <xdr:to>
      <xdr:col>2</xdr:col>
      <xdr:colOff>466725</xdr:colOff>
      <xdr:row>1616</xdr:row>
      <xdr:rowOff>1120</xdr:rowOff>
    </xdr:to>
    <xdr:pic>
      <xdr:nvPicPr>
        <xdr:cNvPr id="117681" name="Рисунок 216" descr="Modern 1.0_401.png">
          <a:extLst>
            <a:ext uri="{FF2B5EF4-FFF2-40B4-BE49-F238E27FC236}">
              <a16:creationId xmlns:a16="http://schemas.microsoft.com/office/drawing/2014/main" xmlns="" id="{00000000-0008-0000-0100-0000B1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print"/>
        <a:srcRect/>
        <a:stretch>
          <a:fillRect/>
        </a:stretch>
      </xdr:blipFill>
      <xdr:spPr bwMode="auto">
        <a:xfrm>
          <a:off x="1647825" y="301294800"/>
          <a:ext cx="447675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304800</xdr:colOff>
      <xdr:row>1614</xdr:row>
      <xdr:rowOff>180975</xdr:rowOff>
    </xdr:from>
    <xdr:to>
      <xdr:col>2</xdr:col>
      <xdr:colOff>752475</xdr:colOff>
      <xdr:row>1616</xdr:row>
      <xdr:rowOff>1120</xdr:rowOff>
    </xdr:to>
    <xdr:pic>
      <xdr:nvPicPr>
        <xdr:cNvPr id="117682" name="Рисунок 217" descr="Modern 1.1_401.png">
          <a:extLst>
            <a:ext uri="{FF2B5EF4-FFF2-40B4-BE49-F238E27FC236}">
              <a16:creationId xmlns:a16="http://schemas.microsoft.com/office/drawing/2014/main" xmlns="" id="{00000000-0008-0000-0100-0000B2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print"/>
        <a:srcRect/>
        <a:stretch>
          <a:fillRect/>
        </a:stretch>
      </xdr:blipFill>
      <xdr:spPr bwMode="auto">
        <a:xfrm>
          <a:off x="1933575" y="301294800"/>
          <a:ext cx="447675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</xdr:colOff>
      <xdr:row>1616</xdr:row>
      <xdr:rowOff>0</xdr:rowOff>
    </xdr:from>
    <xdr:to>
      <xdr:col>2</xdr:col>
      <xdr:colOff>476250</xdr:colOff>
      <xdr:row>1617</xdr:row>
      <xdr:rowOff>9527</xdr:rowOff>
    </xdr:to>
    <xdr:pic>
      <xdr:nvPicPr>
        <xdr:cNvPr id="117683" name="Рисунок 218" descr="Modern 3.0_401.png">
          <a:extLst>
            <a:ext uri="{FF2B5EF4-FFF2-40B4-BE49-F238E27FC236}">
              <a16:creationId xmlns:a16="http://schemas.microsoft.com/office/drawing/2014/main" xmlns="" id="{00000000-0008-0000-0100-0000B3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print"/>
        <a:srcRect/>
        <a:stretch>
          <a:fillRect/>
        </a:stretch>
      </xdr:blipFill>
      <xdr:spPr bwMode="auto">
        <a:xfrm>
          <a:off x="1657350" y="301732950"/>
          <a:ext cx="447675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314325</xdr:colOff>
      <xdr:row>1616</xdr:row>
      <xdr:rowOff>0</xdr:rowOff>
    </xdr:from>
    <xdr:to>
      <xdr:col>2</xdr:col>
      <xdr:colOff>762000</xdr:colOff>
      <xdr:row>1617</xdr:row>
      <xdr:rowOff>2</xdr:rowOff>
    </xdr:to>
    <xdr:pic>
      <xdr:nvPicPr>
        <xdr:cNvPr id="117684" name="Рисунок 221" descr="Modern 3.3_401.png">
          <a:extLst>
            <a:ext uri="{FF2B5EF4-FFF2-40B4-BE49-F238E27FC236}">
              <a16:creationId xmlns:a16="http://schemas.microsoft.com/office/drawing/2014/main" xmlns="" id="{00000000-0008-0000-0100-0000B4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print"/>
        <a:srcRect/>
        <a:stretch>
          <a:fillRect/>
        </a:stretch>
      </xdr:blipFill>
      <xdr:spPr bwMode="auto">
        <a:xfrm>
          <a:off x="1943100" y="301732950"/>
          <a:ext cx="447675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323850</xdr:colOff>
      <xdr:row>1617</xdr:row>
      <xdr:rowOff>0</xdr:rowOff>
    </xdr:from>
    <xdr:to>
      <xdr:col>2</xdr:col>
      <xdr:colOff>762000</xdr:colOff>
      <xdr:row>1618</xdr:row>
      <xdr:rowOff>6804</xdr:rowOff>
    </xdr:to>
    <xdr:pic>
      <xdr:nvPicPr>
        <xdr:cNvPr id="117685" name="Рисунок 222" descr="Modern 3A.2_401.png">
          <a:extLst>
            <a:ext uri="{FF2B5EF4-FFF2-40B4-BE49-F238E27FC236}">
              <a16:creationId xmlns:a16="http://schemas.microsoft.com/office/drawing/2014/main" xmlns="" id="{00000000-0008-0000-0100-0000B5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/>
        <a:srcRect/>
        <a:stretch>
          <a:fillRect/>
        </a:stretch>
      </xdr:blipFill>
      <xdr:spPr bwMode="auto">
        <a:xfrm>
          <a:off x="1952625" y="302171100"/>
          <a:ext cx="43815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142875</xdr:colOff>
      <xdr:row>578</xdr:row>
      <xdr:rowOff>19050</xdr:rowOff>
    </xdr:from>
    <xdr:to>
      <xdr:col>2</xdr:col>
      <xdr:colOff>314325</xdr:colOff>
      <xdr:row>578</xdr:row>
      <xdr:rowOff>400050</xdr:rowOff>
    </xdr:to>
    <xdr:pic>
      <xdr:nvPicPr>
        <xdr:cNvPr id="117686" name="Рисунок 223" descr="Lada 2A.0.png">
          <a:extLst>
            <a:ext uri="{FF2B5EF4-FFF2-40B4-BE49-F238E27FC236}">
              <a16:creationId xmlns:a16="http://schemas.microsoft.com/office/drawing/2014/main" xmlns="" id="{00000000-0008-0000-0100-0000B6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 cstate="print"/>
        <a:srcRect/>
        <a:stretch>
          <a:fillRect/>
        </a:stretch>
      </xdr:blipFill>
      <xdr:spPr bwMode="auto">
        <a:xfrm>
          <a:off x="1771650" y="114900075"/>
          <a:ext cx="17145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409575</xdr:colOff>
      <xdr:row>578</xdr:row>
      <xdr:rowOff>28575</xdr:rowOff>
    </xdr:from>
    <xdr:to>
      <xdr:col>2</xdr:col>
      <xdr:colOff>581025</xdr:colOff>
      <xdr:row>578</xdr:row>
      <xdr:rowOff>409575</xdr:rowOff>
    </xdr:to>
    <xdr:pic>
      <xdr:nvPicPr>
        <xdr:cNvPr id="117687" name="Рисунок 224" descr="Lada 2A.1.png">
          <a:extLst>
            <a:ext uri="{FF2B5EF4-FFF2-40B4-BE49-F238E27FC236}">
              <a16:creationId xmlns:a16="http://schemas.microsoft.com/office/drawing/2014/main" xmlns="" id="{00000000-0008-0000-0100-0000B7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print"/>
        <a:srcRect/>
        <a:stretch>
          <a:fillRect/>
        </a:stretch>
      </xdr:blipFill>
      <xdr:spPr bwMode="auto">
        <a:xfrm>
          <a:off x="2038350" y="114909600"/>
          <a:ext cx="17145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133350</xdr:colOff>
      <xdr:row>579</xdr:row>
      <xdr:rowOff>38100</xdr:rowOff>
    </xdr:from>
    <xdr:to>
      <xdr:col>2</xdr:col>
      <xdr:colOff>304800</xdr:colOff>
      <xdr:row>579</xdr:row>
      <xdr:rowOff>419100</xdr:rowOff>
    </xdr:to>
    <xdr:pic>
      <xdr:nvPicPr>
        <xdr:cNvPr id="117688" name="Рисунок 225" descr="Lada 3A.0.png">
          <a:extLst>
            <a:ext uri="{FF2B5EF4-FFF2-40B4-BE49-F238E27FC236}">
              <a16:creationId xmlns:a16="http://schemas.microsoft.com/office/drawing/2014/main" xmlns="" id="{00000000-0008-0000-0100-0000B8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print"/>
        <a:srcRect/>
        <a:stretch>
          <a:fillRect/>
        </a:stretch>
      </xdr:blipFill>
      <xdr:spPr bwMode="auto">
        <a:xfrm>
          <a:off x="1762125" y="115357275"/>
          <a:ext cx="17145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409575</xdr:colOff>
      <xdr:row>579</xdr:row>
      <xdr:rowOff>28575</xdr:rowOff>
    </xdr:from>
    <xdr:to>
      <xdr:col>2</xdr:col>
      <xdr:colOff>581025</xdr:colOff>
      <xdr:row>579</xdr:row>
      <xdr:rowOff>409575</xdr:rowOff>
    </xdr:to>
    <xdr:pic>
      <xdr:nvPicPr>
        <xdr:cNvPr id="117689" name="Рисунок 226" descr="Lada 3A.2.png">
          <a:extLst>
            <a:ext uri="{FF2B5EF4-FFF2-40B4-BE49-F238E27FC236}">
              <a16:creationId xmlns:a16="http://schemas.microsoft.com/office/drawing/2014/main" xmlns="" id="{00000000-0008-0000-0100-0000B9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 cstate="print"/>
        <a:srcRect/>
        <a:stretch>
          <a:fillRect/>
        </a:stretch>
      </xdr:blipFill>
      <xdr:spPr bwMode="auto">
        <a:xfrm>
          <a:off x="2038350" y="115347750"/>
          <a:ext cx="17145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123825</xdr:colOff>
      <xdr:row>580</xdr:row>
      <xdr:rowOff>28575</xdr:rowOff>
    </xdr:from>
    <xdr:to>
      <xdr:col>2</xdr:col>
      <xdr:colOff>295275</xdr:colOff>
      <xdr:row>580</xdr:row>
      <xdr:rowOff>409575</xdr:rowOff>
    </xdr:to>
    <xdr:pic>
      <xdr:nvPicPr>
        <xdr:cNvPr id="117690" name="Рисунок 227" descr="Lada 8.0.png">
          <a:extLst>
            <a:ext uri="{FF2B5EF4-FFF2-40B4-BE49-F238E27FC236}">
              <a16:creationId xmlns:a16="http://schemas.microsoft.com/office/drawing/2014/main" xmlns="" id="{00000000-0008-0000-0100-0000BA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 cstate="print"/>
        <a:srcRect/>
        <a:stretch>
          <a:fillRect/>
        </a:stretch>
      </xdr:blipFill>
      <xdr:spPr bwMode="auto">
        <a:xfrm>
          <a:off x="1752600" y="115785900"/>
          <a:ext cx="17145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419100</xdr:colOff>
      <xdr:row>580</xdr:row>
      <xdr:rowOff>28575</xdr:rowOff>
    </xdr:from>
    <xdr:to>
      <xdr:col>2</xdr:col>
      <xdr:colOff>581025</xdr:colOff>
      <xdr:row>580</xdr:row>
      <xdr:rowOff>409575</xdr:rowOff>
    </xdr:to>
    <xdr:pic>
      <xdr:nvPicPr>
        <xdr:cNvPr id="117691" name="Рисунок 228" descr="Lada 8.5.png">
          <a:extLst>
            <a:ext uri="{FF2B5EF4-FFF2-40B4-BE49-F238E27FC236}">
              <a16:creationId xmlns:a16="http://schemas.microsoft.com/office/drawing/2014/main" xmlns="" id="{00000000-0008-0000-0100-0000BB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 cstate="print"/>
        <a:srcRect/>
        <a:stretch>
          <a:fillRect/>
        </a:stretch>
      </xdr:blipFill>
      <xdr:spPr bwMode="auto">
        <a:xfrm>
          <a:off x="2047875" y="115785900"/>
          <a:ext cx="161925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651</xdr:row>
      <xdr:rowOff>28575</xdr:rowOff>
    </xdr:from>
    <xdr:to>
      <xdr:col>2</xdr:col>
      <xdr:colOff>333375</xdr:colOff>
      <xdr:row>651</xdr:row>
      <xdr:rowOff>419100</xdr:rowOff>
    </xdr:to>
    <xdr:pic>
      <xdr:nvPicPr>
        <xdr:cNvPr id="117692" name="Рисунок 229" descr="Lada 1.0.png">
          <a:extLst>
            <a:ext uri="{FF2B5EF4-FFF2-40B4-BE49-F238E27FC236}">
              <a16:creationId xmlns:a16="http://schemas.microsoft.com/office/drawing/2014/main" xmlns="" id="{00000000-0008-0000-0100-0000BC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 cstate="print"/>
        <a:srcRect/>
        <a:stretch>
          <a:fillRect/>
        </a:stretch>
      </xdr:blipFill>
      <xdr:spPr bwMode="auto">
        <a:xfrm>
          <a:off x="1790700" y="128130300"/>
          <a:ext cx="17145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419100</xdr:colOff>
      <xdr:row>651</xdr:row>
      <xdr:rowOff>28575</xdr:rowOff>
    </xdr:from>
    <xdr:to>
      <xdr:col>2</xdr:col>
      <xdr:colOff>590550</xdr:colOff>
      <xdr:row>651</xdr:row>
      <xdr:rowOff>409575</xdr:rowOff>
    </xdr:to>
    <xdr:pic>
      <xdr:nvPicPr>
        <xdr:cNvPr id="117693" name="Рисунок 230" descr="Lada 1.3.png">
          <a:extLst>
            <a:ext uri="{FF2B5EF4-FFF2-40B4-BE49-F238E27FC236}">
              <a16:creationId xmlns:a16="http://schemas.microsoft.com/office/drawing/2014/main" xmlns="" id="{00000000-0008-0000-0100-0000BD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 cstate="print"/>
        <a:srcRect/>
        <a:stretch>
          <a:fillRect/>
        </a:stretch>
      </xdr:blipFill>
      <xdr:spPr bwMode="auto">
        <a:xfrm>
          <a:off x="2047875" y="128130300"/>
          <a:ext cx="17145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652</xdr:row>
      <xdr:rowOff>38100</xdr:rowOff>
    </xdr:from>
    <xdr:to>
      <xdr:col>2</xdr:col>
      <xdr:colOff>333375</xdr:colOff>
      <xdr:row>652</xdr:row>
      <xdr:rowOff>419100</xdr:rowOff>
    </xdr:to>
    <xdr:pic>
      <xdr:nvPicPr>
        <xdr:cNvPr id="117694" name="Рисунок 231" descr="Lada 2.0.png">
          <a:extLst>
            <a:ext uri="{FF2B5EF4-FFF2-40B4-BE49-F238E27FC236}">
              <a16:creationId xmlns:a16="http://schemas.microsoft.com/office/drawing/2014/main" xmlns="" id="{00000000-0008-0000-0100-0000BE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 cstate="print"/>
        <a:srcRect/>
        <a:stretch>
          <a:fillRect/>
        </a:stretch>
      </xdr:blipFill>
      <xdr:spPr bwMode="auto">
        <a:xfrm>
          <a:off x="1790700" y="128577975"/>
          <a:ext cx="17145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419100</xdr:colOff>
      <xdr:row>652</xdr:row>
      <xdr:rowOff>28575</xdr:rowOff>
    </xdr:from>
    <xdr:to>
      <xdr:col>2</xdr:col>
      <xdr:colOff>590550</xdr:colOff>
      <xdr:row>652</xdr:row>
      <xdr:rowOff>409575</xdr:rowOff>
    </xdr:to>
    <xdr:pic>
      <xdr:nvPicPr>
        <xdr:cNvPr id="117695" name="Рисунок 232" descr="Lada 2.2.png">
          <a:extLst>
            <a:ext uri="{FF2B5EF4-FFF2-40B4-BE49-F238E27FC236}">
              <a16:creationId xmlns:a16="http://schemas.microsoft.com/office/drawing/2014/main" xmlns="" id="{00000000-0008-0000-0100-0000BF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 cstate="print"/>
        <a:srcRect/>
        <a:stretch>
          <a:fillRect/>
        </a:stretch>
      </xdr:blipFill>
      <xdr:spPr bwMode="auto">
        <a:xfrm>
          <a:off x="2047875" y="128568450"/>
          <a:ext cx="17145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152400</xdr:colOff>
      <xdr:row>653</xdr:row>
      <xdr:rowOff>28575</xdr:rowOff>
    </xdr:from>
    <xdr:to>
      <xdr:col>2</xdr:col>
      <xdr:colOff>323850</xdr:colOff>
      <xdr:row>653</xdr:row>
      <xdr:rowOff>409575</xdr:rowOff>
    </xdr:to>
    <xdr:pic>
      <xdr:nvPicPr>
        <xdr:cNvPr id="117696" name="Рисунок 233" descr="Lada 3.0.png">
          <a:extLst>
            <a:ext uri="{FF2B5EF4-FFF2-40B4-BE49-F238E27FC236}">
              <a16:creationId xmlns:a16="http://schemas.microsoft.com/office/drawing/2014/main" xmlns="" id="{00000000-0008-0000-0100-0000C0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 cstate="print"/>
        <a:srcRect/>
        <a:stretch>
          <a:fillRect/>
        </a:stretch>
      </xdr:blipFill>
      <xdr:spPr bwMode="auto">
        <a:xfrm>
          <a:off x="1781175" y="129006600"/>
          <a:ext cx="17145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419100</xdr:colOff>
      <xdr:row>653</xdr:row>
      <xdr:rowOff>38100</xdr:rowOff>
    </xdr:from>
    <xdr:to>
      <xdr:col>2</xdr:col>
      <xdr:colOff>590550</xdr:colOff>
      <xdr:row>653</xdr:row>
      <xdr:rowOff>419100</xdr:rowOff>
    </xdr:to>
    <xdr:pic>
      <xdr:nvPicPr>
        <xdr:cNvPr id="117697" name="Рисунок 234" descr="Lada 3.5.png">
          <a:extLst>
            <a:ext uri="{FF2B5EF4-FFF2-40B4-BE49-F238E27FC236}">
              <a16:creationId xmlns:a16="http://schemas.microsoft.com/office/drawing/2014/main" xmlns="" id="{00000000-0008-0000-0100-0000C1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 cstate="print"/>
        <a:srcRect/>
        <a:stretch>
          <a:fillRect/>
        </a:stretch>
      </xdr:blipFill>
      <xdr:spPr bwMode="auto">
        <a:xfrm>
          <a:off x="2047875" y="129016125"/>
          <a:ext cx="17145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171450</xdr:colOff>
      <xdr:row>725</xdr:row>
      <xdr:rowOff>28575</xdr:rowOff>
    </xdr:from>
    <xdr:to>
      <xdr:col>2</xdr:col>
      <xdr:colOff>342900</xdr:colOff>
      <xdr:row>725</xdr:row>
      <xdr:rowOff>409575</xdr:rowOff>
    </xdr:to>
    <xdr:pic>
      <xdr:nvPicPr>
        <xdr:cNvPr id="117698" name="Рисунок 235" descr="Lada 4.0.png">
          <a:extLst>
            <a:ext uri="{FF2B5EF4-FFF2-40B4-BE49-F238E27FC236}">
              <a16:creationId xmlns:a16="http://schemas.microsoft.com/office/drawing/2014/main" xmlns="" id="{00000000-0008-0000-0100-0000C2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 cstate="print"/>
        <a:srcRect/>
        <a:stretch>
          <a:fillRect/>
        </a:stretch>
      </xdr:blipFill>
      <xdr:spPr bwMode="auto">
        <a:xfrm>
          <a:off x="1800225" y="141351000"/>
          <a:ext cx="17145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438150</xdr:colOff>
      <xdr:row>726</xdr:row>
      <xdr:rowOff>28575</xdr:rowOff>
    </xdr:from>
    <xdr:to>
      <xdr:col>2</xdr:col>
      <xdr:colOff>609600</xdr:colOff>
      <xdr:row>726</xdr:row>
      <xdr:rowOff>409575</xdr:rowOff>
    </xdr:to>
    <xdr:pic>
      <xdr:nvPicPr>
        <xdr:cNvPr id="117699" name="Рисунок 236" descr="Lada 4.8.png">
          <a:extLst>
            <a:ext uri="{FF2B5EF4-FFF2-40B4-BE49-F238E27FC236}">
              <a16:creationId xmlns:a16="http://schemas.microsoft.com/office/drawing/2014/main" xmlns="" id="{00000000-0008-0000-0100-0000C3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 cstate="print"/>
        <a:srcRect/>
        <a:stretch>
          <a:fillRect/>
        </a:stretch>
      </xdr:blipFill>
      <xdr:spPr bwMode="auto">
        <a:xfrm>
          <a:off x="2066925" y="141789150"/>
          <a:ext cx="17145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171450</xdr:colOff>
      <xdr:row>726</xdr:row>
      <xdr:rowOff>28575</xdr:rowOff>
    </xdr:from>
    <xdr:to>
      <xdr:col>2</xdr:col>
      <xdr:colOff>342900</xdr:colOff>
      <xdr:row>726</xdr:row>
      <xdr:rowOff>409575</xdr:rowOff>
    </xdr:to>
    <xdr:pic>
      <xdr:nvPicPr>
        <xdr:cNvPr id="117700" name="Рисунок 237" descr="Lada 5.0.png">
          <a:extLst>
            <a:ext uri="{FF2B5EF4-FFF2-40B4-BE49-F238E27FC236}">
              <a16:creationId xmlns:a16="http://schemas.microsoft.com/office/drawing/2014/main" xmlns="" id="{00000000-0008-0000-0100-0000C4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 cstate="print"/>
        <a:srcRect/>
        <a:stretch>
          <a:fillRect/>
        </a:stretch>
      </xdr:blipFill>
      <xdr:spPr bwMode="auto">
        <a:xfrm>
          <a:off x="1800225" y="141789150"/>
          <a:ext cx="17145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447675</xdr:colOff>
      <xdr:row>725</xdr:row>
      <xdr:rowOff>38100</xdr:rowOff>
    </xdr:from>
    <xdr:to>
      <xdr:col>2</xdr:col>
      <xdr:colOff>619125</xdr:colOff>
      <xdr:row>725</xdr:row>
      <xdr:rowOff>419100</xdr:rowOff>
    </xdr:to>
    <xdr:pic>
      <xdr:nvPicPr>
        <xdr:cNvPr id="117701" name="Рисунок 238" descr="Lada 5.6.png">
          <a:extLst>
            <a:ext uri="{FF2B5EF4-FFF2-40B4-BE49-F238E27FC236}">
              <a16:creationId xmlns:a16="http://schemas.microsoft.com/office/drawing/2014/main" xmlns="" id="{00000000-0008-0000-0100-0000C5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 cstate="print"/>
        <a:srcRect/>
        <a:stretch>
          <a:fillRect/>
        </a:stretch>
      </xdr:blipFill>
      <xdr:spPr bwMode="auto">
        <a:xfrm>
          <a:off x="2076450" y="141360525"/>
          <a:ext cx="17145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171450</xdr:colOff>
      <xdr:row>797</xdr:row>
      <xdr:rowOff>28575</xdr:rowOff>
    </xdr:from>
    <xdr:to>
      <xdr:col>2</xdr:col>
      <xdr:colOff>342900</xdr:colOff>
      <xdr:row>797</xdr:row>
      <xdr:rowOff>409575</xdr:rowOff>
    </xdr:to>
    <xdr:pic>
      <xdr:nvPicPr>
        <xdr:cNvPr id="117702" name="Рисунок 239" descr="Lada 6.0.png">
          <a:extLst>
            <a:ext uri="{FF2B5EF4-FFF2-40B4-BE49-F238E27FC236}">
              <a16:creationId xmlns:a16="http://schemas.microsoft.com/office/drawing/2014/main" xmlns="" id="{00000000-0008-0000-0100-0000C6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 cstate="print"/>
        <a:srcRect/>
        <a:stretch>
          <a:fillRect/>
        </a:stretch>
      </xdr:blipFill>
      <xdr:spPr bwMode="auto">
        <a:xfrm>
          <a:off x="1800225" y="154133550"/>
          <a:ext cx="17145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419100</xdr:colOff>
      <xdr:row>797</xdr:row>
      <xdr:rowOff>28575</xdr:rowOff>
    </xdr:from>
    <xdr:to>
      <xdr:col>2</xdr:col>
      <xdr:colOff>590550</xdr:colOff>
      <xdr:row>797</xdr:row>
      <xdr:rowOff>409575</xdr:rowOff>
    </xdr:to>
    <xdr:pic>
      <xdr:nvPicPr>
        <xdr:cNvPr id="117703" name="Рисунок 240" descr="Lada 6.4.png">
          <a:extLst>
            <a:ext uri="{FF2B5EF4-FFF2-40B4-BE49-F238E27FC236}">
              <a16:creationId xmlns:a16="http://schemas.microsoft.com/office/drawing/2014/main" xmlns="" id="{00000000-0008-0000-0100-0000C7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 cstate="print"/>
        <a:srcRect/>
        <a:stretch>
          <a:fillRect/>
        </a:stretch>
      </xdr:blipFill>
      <xdr:spPr bwMode="auto">
        <a:xfrm>
          <a:off x="2047875" y="154133550"/>
          <a:ext cx="17145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171450</xdr:colOff>
      <xdr:row>798</xdr:row>
      <xdr:rowOff>28575</xdr:rowOff>
    </xdr:from>
    <xdr:to>
      <xdr:col>2</xdr:col>
      <xdr:colOff>342900</xdr:colOff>
      <xdr:row>798</xdr:row>
      <xdr:rowOff>409575</xdr:rowOff>
    </xdr:to>
    <xdr:pic>
      <xdr:nvPicPr>
        <xdr:cNvPr id="117704" name="Рисунок 241" descr="Lada 7.0.png">
          <a:extLst>
            <a:ext uri="{FF2B5EF4-FFF2-40B4-BE49-F238E27FC236}">
              <a16:creationId xmlns:a16="http://schemas.microsoft.com/office/drawing/2014/main" xmlns="" id="{00000000-0008-0000-0100-0000C8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 cstate="print"/>
        <a:srcRect/>
        <a:stretch>
          <a:fillRect/>
        </a:stretch>
      </xdr:blipFill>
      <xdr:spPr bwMode="auto">
        <a:xfrm>
          <a:off x="1800225" y="154571700"/>
          <a:ext cx="17145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438150</xdr:colOff>
      <xdr:row>798</xdr:row>
      <xdr:rowOff>38100</xdr:rowOff>
    </xdr:from>
    <xdr:to>
      <xdr:col>2</xdr:col>
      <xdr:colOff>609600</xdr:colOff>
      <xdr:row>798</xdr:row>
      <xdr:rowOff>419100</xdr:rowOff>
    </xdr:to>
    <xdr:pic>
      <xdr:nvPicPr>
        <xdr:cNvPr id="117705" name="Рисунок 242" descr="Lada 7.2.png">
          <a:extLst>
            <a:ext uri="{FF2B5EF4-FFF2-40B4-BE49-F238E27FC236}">
              <a16:creationId xmlns:a16="http://schemas.microsoft.com/office/drawing/2014/main" xmlns="" id="{00000000-0008-0000-0100-0000C9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 cstate="print"/>
        <a:srcRect/>
        <a:stretch>
          <a:fillRect/>
        </a:stretch>
      </xdr:blipFill>
      <xdr:spPr bwMode="auto">
        <a:xfrm>
          <a:off x="2066925" y="154581225"/>
          <a:ext cx="17145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152400</xdr:colOff>
      <xdr:row>870</xdr:row>
      <xdr:rowOff>38100</xdr:rowOff>
    </xdr:from>
    <xdr:to>
      <xdr:col>2</xdr:col>
      <xdr:colOff>333375</xdr:colOff>
      <xdr:row>871</xdr:row>
      <xdr:rowOff>2</xdr:rowOff>
    </xdr:to>
    <xdr:pic>
      <xdr:nvPicPr>
        <xdr:cNvPr id="117706" name="Рисунок 178" descr="Nika 1.0.png">
          <a:extLst>
            <a:ext uri="{FF2B5EF4-FFF2-40B4-BE49-F238E27FC236}">
              <a16:creationId xmlns:a16="http://schemas.microsoft.com/office/drawing/2014/main" xmlns="" id="{00000000-0008-0000-0100-0000CA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 cstate="print"/>
        <a:srcRect/>
        <a:stretch>
          <a:fillRect/>
        </a:stretch>
      </xdr:blipFill>
      <xdr:spPr bwMode="auto">
        <a:xfrm>
          <a:off x="1781175" y="166925625"/>
          <a:ext cx="180975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419100</xdr:colOff>
      <xdr:row>870</xdr:row>
      <xdr:rowOff>38100</xdr:rowOff>
    </xdr:from>
    <xdr:to>
      <xdr:col>2</xdr:col>
      <xdr:colOff>590550</xdr:colOff>
      <xdr:row>871</xdr:row>
      <xdr:rowOff>2</xdr:rowOff>
    </xdr:to>
    <xdr:pic>
      <xdr:nvPicPr>
        <xdr:cNvPr id="117707" name="Рисунок 179" descr="Nika 1.8.png">
          <a:extLst>
            <a:ext uri="{FF2B5EF4-FFF2-40B4-BE49-F238E27FC236}">
              <a16:creationId xmlns:a16="http://schemas.microsoft.com/office/drawing/2014/main" xmlns="" id="{00000000-0008-0000-0100-0000CB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 cstate="print"/>
        <a:srcRect/>
        <a:stretch>
          <a:fillRect/>
        </a:stretch>
      </xdr:blipFill>
      <xdr:spPr bwMode="auto">
        <a:xfrm>
          <a:off x="2047875" y="166925625"/>
          <a:ext cx="17145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142875</xdr:colOff>
      <xdr:row>871</xdr:row>
      <xdr:rowOff>19050</xdr:rowOff>
    </xdr:from>
    <xdr:to>
      <xdr:col>2</xdr:col>
      <xdr:colOff>314325</xdr:colOff>
      <xdr:row>871</xdr:row>
      <xdr:rowOff>400050</xdr:rowOff>
    </xdr:to>
    <xdr:pic>
      <xdr:nvPicPr>
        <xdr:cNvPr id="117708" name="Рисунок 180" descr="Nika 2.1.png">
          <a:extLst>
            <a:ext uri="{FF2B5EF4-FFF2-40B4-BE49-F238E27FC236}">
              <a16:creationId xmlns:a16="http://schemas.microsoft.com/office/drawing/2014/main" xmlns="" id="{00000000-0008-0000-0100-0000CC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 cstate="print"/>
        <a:srcRect/>
        <a:stretch>
          <a:fillRect/>
        </a:stretch>
      </xdr:blipFill>
      <xdr:spPr bwMode="auto">
        <a:xfrm>
          <a:off x="1771650" y="167344725"/>
          <a:ext cx="17145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400050</xdr:colOff>
      <xdr:row>871</xdr:row>
      <xdr:rowOff>19050</xdr:rowOff>
    </xdr:from>
    <xdr:to>
      <xdr:col>2</xdr:col>
      <xdr:colOff>581025</xdr:colOff>
      <xdr:row>871</xdr:row>
      <xdr:rowOff>400050</xdr:rowOff>
    </xdr:to>
    <xdr:pic>
      <xdr:nvPicPr>
        <xdr:cNvPr id="117709" name="Рисунок 181" descr="Nika 2.4.png">
          <a:extLst>
            <a:ext uri="{FF2B5EF4-FFF2-40B4-BE49-F238E27FC236}">
              <a16:creationId xmlns:a16="http://schemas.microsoft.com/office/drawing/2014/main" xmlns="" id="{00000000-0008-0000-0100-0000CD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 cstate="print"/>
        <a:srcRect/>
        <a:stretch>
          <a:fillRect/>
        </a:stretch>
      </xdr:blipFill>
      <xdr:spPr bwMode="auto">
        <a:xfrm>
          <a:off x="2028825" y="167344725"/>
          <a:ext cx="180975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219075</xdr:colOff>
      <xdr:row>943</xdr:row>
      <xdr:rowOff>28575</xdr:rowOff>
    </xdr:from>
    <xdr:to>
      <xdr:col>2</xdr:col>
      <xdr:colOff>390525</xdr:colOff>
      <xdr:row>943</xdr:row>
      <xdr:rowOff>419100</xdr:rowOff>
    </xdr:to>
    <xdr:pic>
      <xdr:nvPicPr>
        <xdr:cNvPr id="117710" name="Рисунок 186" descr="Lisa 2.0.png">
          <a:extLst>
            <a:ext uri="{FF2B5EF4-FFF2-40B4-BE49-F238E27FC236}">
              <a16:creationId xmlns:a16="http://schemas.microsoft.com/office/drawing/2014/main" xmlns="" id="{00000000-0008-0000-0100-0000CE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 cstate="print"/>
        <a:srcRect/>
        <a:stretch>
          <a:fillRect/>
        </a:stretch>
      </xdr:blipFill>
      <xdr:spPr bwMode="auto">
        <a:xfrm>
          <a:off x="1847850" y="179717700"/>
          <a:ext cx="17145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409575</xdr:colOff>
      <xdr:row>943</xdr:row>
      <xdr:rowOff>28575</xdr:rowOff>
    </xdr:from>
    <xdr:to>
      <xdr:col>2</xdr:col>
      <xdr:colOff>590550</xdr:colOff>
      <xdr:row>943</xdr:row>
      <xdr:rowOff>419100</xdr:rowOff>
    </xdr:to>
    <xdr:pic>
      <xdr:nvPicPr>
        <xdr:cNvPr id="117711" name="Рисунок 187" descr="Lisa 2.2.png">
          <a:extLst>
            <a:ext uri="{FF2B5EF4-FFF2-40B4-BE49-F238E27FC236}">
              <a16:creationId xmlns:a16="http://schemas.microsoft.com/office/drawing/2014/main" xmlns="" id="{00000000-0008-0000-0100-0000CF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 cstate="print"/>
        <a:srcRect/>
        <a:stretch>
          <a:fillRect/>
        </a:stretch>
      </xdr:blipFill>
      <xdr:spPr bwMode="auto">
        <a:xfrm>
          <a:off x="2038350" y="179717700"/>
          <a:ext cx="180975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200025</xdr:colOff>
      <xdr:row>944</xdr:row>
      <xdr:rowOff>19050</xdr:rowOff>
    </xdr:from>
    <xdr:to>
      <xdr:col>2</xdr:col>
      <xdr:colOff>381000</xdr:colOff>
      <xdr:row>944</xdr:row>
      <xdr:rowOff>409575</xdr:rowOff>
    </xdr:to>
    <xdr:pic>
      <xdr:nvPicPr>
        <xdr:cNvPr id="117712" name="Рисунок 188" descr="Lisa 3.0.png">
          <a:extLst>
            <a:ext uri="{FF2B5EF4-FFF2-40B4-BE49-F238E27FC236}">
              <a16:creationId xmlns:a16="http://schemas.microsoft.com/office/drawing/2014/main" xmlns="" id="{00000000-0008-0000-0100-0000D0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 cstate="print"/>
        <a:srcRect/>
        <a:stretch>
          <a:fillRect/>
        </a:stretch>
      </xdr:blipFill>
      <xdr:spPr bwMode="auto">
        <a:xfrm>
          <a:off x="1828800" y="180146325"/>
          <a:ext cx="180975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419100</xdr:colOff>
      <xdr:row>944</xdr:row>
      <xdr:rowOff>19050</xdr:rowOff>
    </xdr:from>
    <xdr:to>
      <xdr:col>2</xdr:col>
      <xdr:colOff>600075</xdr:colOff>
      <xdr:row>944</xdr:row>
      <xdr:rowOff>409575</xdr:rowOff>
    </xdr:to>
    <xdr:pic>
      <xdr:nvPicPr>
        <xdr:cNvPr id="117713" name="Рисунок 189" descr="Lisa 3.4.png">
          <a:extLst>
            <a:ext uri="{FF2B5EF4-FFF2-40B4-BE49-F238E27FC236}">
              <a16:creationId xmlns:a16="http://schemas.microsoft.com/office/drawing/2014/main" xmlns="" id="{00000000-0008-0000-0100-0000D1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print"/>
        <a:srcRect/>
        <a:stretch>
          <a:fillRect/>
        </a:stretch>
      </xdr:blipFill>
      <xdr:spPr bwMode="auto">
        <a:xfrm>
          <a:off x="2047875" y="180146325"/>
          <a:ext cx="180975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1172</xdr:row>
      <xdr:rowOff>38100</xdr:rowOff>
    </xdr:from>
    <xdr:to>
      <xdr:col>2</xdr:col>
      <xdr:colOff>342900</xdr:colOff>
      <xdr:row>1173</xdr:row>
      <xdr:rowOff>1116</xdr:rowOff>
    </xdr:to>
    <xdr:pic>
      <xdr:nvPicPr>
        <xdr:cNvPr id="117714" name="Рисунок 198" descr="Mira 1.0.png">
          <a:extLst>
            <a:ext uri="{FF2B5EF4-FFF2-40B4-BE49-F238E27FC236}">
              <a16:creationId xmlns:a16="http://schemas.microsoft.com/office/drawing/2014/main" xmlns="" id="{00000000-0008-0000-0100-0000D2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 cstate="print"/>
        <a:srcRect/>
        <a:stretch>
          <a:fillRect/>
        </a:stretch>
      </xdr:blipFill>
      <xdr:spPr bwMode="auto">
        <a:xfrm>
          <a:off x="1790700" y="221970600"/>
          <a:ext cx="180975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409575</xdr:colOff>
      <xdr:row>1172</xdr:row>
      <xdr:rowOff>47625</xdr:rowOff>
    </xdr:from>
    <xdr:to>
      <xdr:col>2</xdr:col>
      <xdr:colOff>581025</xdr:colOff>
      <xdr:row>1173</xdr:row>
      <xdr:rowOff>1116</xdr:rowOff>
    </xdr:to>
    <xdr:pic>
      <xdr:nvPicPr>
        <xdr:cNvPr id="117715" name="Рисунок 199" descr="Mira 1.6.png">
          <a:extLst>
            <a:ext uri="{FF2B5EF4-FFF2-40B4-BE49-F238E27FC236}">
              <a16:creationId xmlns:a16="http://schemas.microsoft.com/office/drawing/2014/main" xmlns="" id="{00000000-0008-0000-0100-0000D3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 cstate="print"/>
        <a:srcRect/>
        <a:stretch>
          <a:fillRect/>
        </a:stretch>
      </xdr:blipFill>
      <xdr:spPr bwMode="auto">
        <a:xfrm>
          <a:off x="2038350" y="221980125"/>
          <a:ext cx="17145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171450</xdr:colOff>
      <xdr:row>1173</xdr:row>
      <xdr:rowOff>38100</xdr:rowOff>
    </xdr:from>
    <xdr:to>
      <xdr:col>2</xdr:col>
      <xdr:colOff>342900</xdr:colOff>
      <xdr:row>1173</xdr:row>
      <xdr:rowOff>419100</xdr:rowOff>
    </xdr:to>
    <xdr:pic>
      <xdr:nvPicPr>
        <xdr:cNvPr id="117716" name="Рисунок 200" descr="Mira 2.1.png">
          <a:extLst>
            <a:ext uri="{FF2B5EF4-FFF2-40B4-BE49-F238E27FC236}">
              <a16:creationId xmlns:a16="http://schemas.microsoft.com/office/drawing/2014/main" xmlns="" id="{00000000-0008-0000-0100-0000D4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 cstate="print"/>
        <a:srcRect/>
        <a:stretch>
          <a:fillRect/>
        </a:stretch>
      </xdr:blipFill>
      <xdr:spPr bwMode="auto">
        <a:xfrm>
          <a:off x="1800225" y="222408750"/>
          <a:ext cx="17145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428625</xdr:colOff>
      <xdr:row>1173</xdr:row>
      <xdr:rowOff>28575</xdr:rowOff>
    </xdr:from>
    <xdr:to>
      <xdr:col>2</xdr:col>
      <xdr:colOff>590550</xdr:colOff>
      <xdr:row>1173</xdr:row>
      <xdr:rowOff>409575</xdr:rowOff>
    </xdr:to>
    <xdr:pic>
      <xdr:nvPicPr>
        <xdr:cNvPr id="117717" name="Рисунок 201" descr="Mira 2.3.png">
          <a:extLst>
            <a:ext uri="{FF2B5EF4-FFF2-40B4-BE49-F238E27FC236}">
              <a16:creationId xmlns:a16="http://schemas.microsoft.com/office/drawing/2014/main" xmlns="" id="{00000000-0008-0000-0100-0000D5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 cstate="print"/>
        <a:srcRect/>
        <a:stretch>
          <a:fillRect/>
        </a:stretch>
      </xdr:blipFill>
      <xdr:spPr bwMode="auto">
        <a:xfrm>
          <a:off x="2057400" y="222399225"/>
          <a:ext cx="161925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180975</xdr:colOff>
      <xdr:row>1322</xdr:row>
      <xdr:rowOff>19050</xdr:rowOff>
    </xdr:from>
    <xdr:to>
      <xdr:col>2</xdr:col>
      <xdr:colOff>352425</xdr:colOff>
      <xdr:row>1322</xdr:row>
      <xdr:rowOff>400050</xdr:rowOff>
    </xdr:to>
    <xdr:pic>
      <xdr:nvPicPr>
        <xdr:cNvPr id="117718" name="Рисунок 206" descr="Linda 1.0.png">
          <a:extLst>
            <a:ext uri="{FF2B5EF4-FFF2-40B4-BE49-F238E27FC236}">
              <a16:creationId xmlns:a16="http://schemas.microsoft.com/office/drawing/2014/main" xmlns="" id="{00000000-0008-0000-0100-0000D6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 cstate="print"/>
        <a:srcRect/>
        <a:stretch>
          <a:fillRect/>
        </a:stretch>
      </xdr:blipFill>
      <xdr:spPr bwMode="auto">
        <a:xfrm>
          <a:off x="1809750" y="249021600"/>
          <a:ext cx="17145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476250</xdr:colOff>
      <xdr:row>1322</xdr:row>
      <xdr:rowOff>28575</xdr:rowOff>
    </xdr:from>
    <xdr:to>
      <xdr:col>2</xdr:col>
      <xdr:colOff>647700</xdr:colOff>
      <xdr:row>1322</xdr:row>
      <xdr:rowOff>419100</xdr:rowOff>
    </xdr:to>
    <xdr:pic>
      <xdr:nvPicPr>
        <xdr:cNvPr id="117719" name="Рисунок 207" descr="Linda 1.5.png">
          <a:extLst>
            <a:ext uri="{FF2B5EF4-FFF2-40B4-BE49-F238E27FC236}">
              <a16:creationId xmlns:a16="http://schemas.microsoft.com/office/drawing/2014/main" xmlns="" id="{00000000-0008-0000-0100-0000D7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 cstate="print"/>
        <a:srcRect/>
        <a:stretch>
          <a:fillRect/>
        </a:stretch>
      </xdr:blipFill>
      <xdr:spPr bwMode="auto">
        <a:xfrm>
          <a:off x="2105025" y="249031125"/>
          <a:ext cx="17145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180975</xdr:colOff>
      <xdr:row>1323</xdr:row>
      <xdr:rowOff>38100</xdr:rowOff>
    </xdr:from>
    <xdr:to>
      <xdr:col>2</xdr:col>
      <xdr:colOff>352425</xdr:colOff>
      <xdr:row>1323</xdr:row>
      <xdr:rowOff>419100</xdr:rowOff>
    </xdr:to>
    <xdr:pic>
      <xdr:nvPicPr>
        <xdr:cNvPr id="117720" name="Рисунок 208" descr="Linda 1.6.png">
          <a:extLst>
            <a:ext uri="{FF2B5EF4-FFF2-40B4-BE49-F238E27FC236}">
              <a16:creationId xmlns:a16="http://schemas.microsoft.com/office/drawing/2014/main" xmlns="" id="{00000000-0008-0000-0100-0000D8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 cstate="print"/>
        <a:srcRect/>
        <a:stretch>
          <a:fillRect/>
        </a:stretch>
      </xdr:blipFill>
      <xdr:spPr bwMode="auto">
        <a:xfrm>
          <a:off x="1809750" y="249478800"/>
          <a:ext cx="17145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476250</xdr:colOff>
      <xdr:row>1323</xdr:row>
      <xdr:rowOff>38100</xdr:rowOff>
    </xdr:from>
    <xdr:to>
      <xdr:col>2</xdr:col>
      <xdr:colOff>647700</xdr:colOff>
      <xdr:row>1323</xdr:row>
      <xdr:rowOff>419100</xdr:rowOff>
    </xdr:to>
    <xdr:pic>
      <xdr:nvPicPr>
        <xdr:cNvPr id="117721" name="Рисунок 209" descr="Linda 1.8.png">
          <a:extLst>
            <a:ext uri="{FF2B5EF4-FFF2-40B4-BE49-F238E27FC236}">
              <a16:creationId xmlns:a16="http://schemas.microsoft.com/office/drawing/2014/main" xmlns="" id="{00000000-0008-0000-0100-0000D9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 cstate="print"/>
        <a:srcRect/>
        <a:stretch>
          <a:fillRect/>
        </a:stretch>
      </xdr:blipFill>
      <xdr:spPr bwMode="auto">
        <a:xfrm>
          <a:off x="2105025" y="249478800"/>
          <a:ext cx="17145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1394</xdr:row>
      <xdr:rowOff>19050</xdr:rowOff>
    </xdr:from>
    <xdr:to>
      <xdr:col>2</xdr:col>
      <xdr:colOff>333375</xdr:colOff>
      <xdr:row>1394</xdr:row>
      <xdr:rowOff>400050</xdr:rowOff>
    </xdr:to>
    <xdr:pic>
      <xdr:nvPicPr>
        <xdr:cNvPr id="117722" name="Рисунок 210" descr="Tiana 1.0.png">
          <a:extLst>
            <a:ext uri="{FF2B5EF4-FFF2-40B4-BE49-F238E27FC236}">
              <a16:creationId xmlns:a16="http://schemas.microsoft.com/office/drawing/2014/main" xmlns="" id="{00000000-0008-0000-0100-0000DA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 cstate="print"/>
        <a:srcRect/>
        <a:stretch>
          <a:fillRect/>
        </a:stretch>
      </xdr:blipFill>
      <xdr:spPr bwMode="auto">
        <a:xfrm>
          <a:off x="1790700" y="261804150"/>
          <a:ext cx="17145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428625</xdr:colOff>
      <xdr:row>1394</xdr:row>
      <xdr:rowOff>28575</xdr:rowOff>
    </xdr:from>
    <xdr:to>
      <xdr:col>2</xdr:col>
      <xdr:colOff>600075</xdr:colOff>
      <xdr:row>1394</xdr:row>
      <xdr:rowOff>409575</xdr:rowOff>
    </xdr:to>
    <xdr:pic>
      <xdr:nvPicPr>
        <xdr:cNvPr id="117723" name="Рисунок 211" descr="Tiana 1.5.png">
          <a:extLst>
            <a:ext uri="{FF2B5EF4-FFF2-40B4-BE49-F238E27FC236}">
              <a16:creationId xmlns:a16="http://schemas.microsoft.com/office/drawing/2014/main" xmlns="" id="{00000000-0008-0000-0100-0000DB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 cstate="print"/>
        <a:srcRect/>
        <a:stretch>
          <a:fillRect/>
        </a:stretch>
      </xdr:blipFill>
      <xdr:spPr bwMode="auto">
        <a:xfrm>
          <a:off x="2057400" y="261813675"/>
          <a:ext cx="17145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1395</xdr:row>
      <xdr:rowOff>28575</xdr:rowOff>
    </xdr:from>
    <xdr:to>
      <xdr:col>2</xdr:col>
      <xdr:colOff>333375</xdr:colOff>
      <xdr:row>1395</xdr:row>
      <xdr:rowOff>409575</xdr:rowOff>
    </xdr:to>
    <xdr:pic>
      <xdr:nvPicPr>
        <xdr:cNvPr id="117724" name="Рисунок 212" descr="Tiana 1.6.png">
          <a:extLst>
            <a:ext uri="{FF2B5EF4-FFF2-40B4-BE49-F238E27FC236}">
              <a16:creationId xmlns:a16="http://schemas.microsoft.com/office/drawing/2014/main" xmlns="" id="{00000000-0008-0000-0100-0000DC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 cstate="print"/>
        <a:srcRect/>
        <a:stretch>
          <a:fillRect/>
        </a:stretch>
      </xdr:blipFill>
      <xdr:spPr bwMode="auto">
        <a:xfrm>
          <a:off x="1790700" y="262251825"/>
          <a:ext cx="17145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428625</xdr:colOff>
      <xdr:row>1395</xdr:row>
      <xdr:rowOff>38100</xdr:rowOff>
    </xdr:from>
    <xdr:to>
      <xdr:col>2</xdr:col>
      <xdr:colOff>600075</xdr:colOff>
      <xdr:row>1395</xdr:row>
      <xdr:rowOff>419100</xdr:rowOff>
    </xdr:to>
    <xdr:pic>
      <xdr:nvPicPr>
        <xdr:cNvPr id="117725" name="Рисунок 213" descr="Tiana 1.9.png">
          <a:extLst>
            <a:ext uri="{FF2B5EF4-FFF2-40B4-BE49-F238E27FC236}">
              <a16:creationId xmlns:a16="http://schemas.microsoft.com/office/drawing/2014/main" xmlns="" id="{00000000-0008-0000-0100-0000DD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 cstate="print"/>
        <a:srcRect/>
        <a:stretch>
          <a:fillRect/>
        </a:stretch>
      </xdr:blipFill>
      <xdr:spPr bwMode="auto">
        <a:xfrm>
          <a:off x="2057400" y="262261350"/>
          <a:ext cx="17145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200025</xdr:colOff>
      <xdr:row>1467</xdr:row>
      <xdr:rowOff>28575</xdr:rowOff>
    </xdr:from>
    <xdr:to>
      <xdr:col>2</xdr:col>
      <xdr:colOff>371475</xdr:colOff>
      <xdr:row>1467</xdr:row>
      <xdr:rowOff>409575</xdr:rowOff>
    </xdr:to>
    <xdr:pic>
      <xdr:nvPicPr>
        <xdr:cNvPr id="117726" name="Рисунок 220" descr="Eva 2.0.png">
          <a:extLst>
            <a:ext uri="{FF2B5EF4-FFF2-40B4-BE49-F238E27FC236}">
              <a16:creationId xmlns:a16="http://schemas.microsoft.com/office/drawing/2014/main" xmlns="" id="{00000000-0008-0000-0100-0000DE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 cstate="print"/>
        <a:srcRect/>
        <a:stretch>
          <a:fillRect/>
        </a:stretch>
      </xdr:blipFill>
      <xdr:spPr bwMode="auto">
        <a:xfrm>
          <a:off x="1828800" y="274586700"/>
          <a:ext cx="17145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447675</xdr:colOff>
      <xdr:row>1467</xdr:row>
      <xdr:rowOff>28575</xdr:rowOff>
    </xdr:from>
    <xdr:to>
      <xdr:col>2</xdr:col>
      <xdr:colOff>619125</xdr:colOff>
      <xdr:row>1467</xdr:row>
      <xdr:rowOff>419100</xdr:rowOff>
    </xdr:to>
    <xdr:pic>
      <xdr:nvPicPr>
        <xdr:cNvPr id="117727" name="Рисунок 221" descr="Eva 2.2.png">
          <a:extLst>
            <a:ext uri="{FF2B5EF4-FFF2-40B4-BE49-F238E27FC236}">
              <a16:creationId xmlns:a16="http://schemas.microsoft.com/office/drawing/2014/main" xmlns="" id="{00000000-0008-0000-0100-0000DF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 cstate="print"/>
        <a:srcRect/>
        <a:stretch>
          <a:fillRect/>
        </a:stretch>
      </xdr:blipFill>
      <xdr:spPr bwMode="auto">
        <a:xfrm>
          <a:off x="2076450" y="274586700"/>
          <a:ext cx="17145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200025</xdr:colOff>
      <xdr:row>1468</xdr:row>
      <xdr:rowOff>38100</xdr:rowOff>
    </xdr:from>
    <xdr:to>
      <xdr:col>2</xdr:col>
      <xdr:colOff>371475</xdr:colOff>
      <xdr:row>1468</xdr:row>
      <xdr:rowOff>419100</xdr:rowOff>
    </xdr:to>
    <xdr:pic>
      <xdr:nvPicPr>
        <xdr:cNvPr id="117728" name="Рисунок 222" descr="Eva 4.0.png">
          <a:extLst>
            <a:ext uri="{FF2B5EF4-FFF2-40B4-BE49-F238E27FC236}">
              <a16:creationId xmlns:a16="http://schemas.microsoft.com/office/drawing/2014/main" xmlns="" id="{00000000-0008-0000-0100-0000E0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 cstate="print"/>
        <a:srcRect/>
        <a:stretch>
          <a:fillRect/>
        </a:stretch>
      </xdr:blipFill>
      <xdr:spPr bwMode="auto">
        <a:xfrm>
          <a:off x="1828800" y="275034375"/>
          <a:ext cx="17145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447675</xdr:colOff>
      <xdr:row>1468</xdr:row>
      <xdr:rowOff>28575</xdr:rowOff>
    </xdr:from>
    <xdr:to>
      <xdr:col>2</xdr:col>
      <xdr:colOff>619125</xdr:colOff>
      <xdr:row>1468</xdr:row>
      <xdr:rowOff>409575</xdr:rowOff>
    </xdr:to>
    <xdr:pic>
      <xdr:nvPicPr>
        <xdr:cNvPr id="117729" name="Рисунок 223" descr="Eva 4.4.png">
          <a:extLst>
            <a:ext uri="{FF2B5EF4-FFF2-40B4-BE49-F238E27FC236}">
              <a16:creationId xmlns:a16="http://schemas.microsoft.com/office/drawing/2014/main" xmlns="" id="{00000000-0008-0000-0100-0000E1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 cstate="print"/>
        <a:srcRect/>
        <a:stretch>
          <a:fillRect/>
        </a:stretch>
      </xdr:blipFill>
      <xdr:spPr bwMode="auto">
        <a:xfrm>
          <a:off x="2076450" y="275024850"/>
          <a:ext cx="17145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200025</xdr:colOff>
      <xdr:row>1469</xdr:row>
      <xdr:rowOff>28575</xdr:rowOff>
    </xdr:from>
    <xdr:to>
      <xdr:col>2</xdr:col>
      <xdr:colOff>371475</xdr:colOff>
      <xdr:row>1469</xdr:row>
      <xdr:rowOff>409575</xdr:rowOff>
    </xdr:to>
    <xdr:pic>
      <xdr:nvPicPr>
        <xdr:cNvPr id="117730" name="Рисунок 224" descr="Eva 4.5.png">
          <a:extLst>
            <a:ext uri="{FF2B5EF4-FFF2-40B4-BE49-F238E27FC236}">
              <a16:creationId xmlns:a16="http://schemas.microsoft.com/office/drawing/2014/main" xmlns="" id="{00000000-0008-0000-0100-0000E2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 cstate="print"/>
        <a:srcRect/>
        <a:stretch>
          <a:fillRect/>
        </a:stretch>
      </xdr:blipFill>
      <xdr:spPr bwMode="auto">
        <a:xfrm>
          <a:off x="1828800" y="275463000"/>
          <a:ext cx="17145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447675</xdr:colOff>
      <xdr:row>1469</xdr:row>
      <xdr:rowOff>28575</xdr:rowOff>
    </xdr:from>
    <xdr:to>
      <xdr:col>2</xdr:col>
      <xdr:colOff>619125</xdr:colOff>
      <xdr:row>1469</xdr:row>
      <xdr:rowOff>409575</xdr:rowOff>
    </xdr:to>
    <xdr:pic>
      <xdr:nvPicPr>
        <xdr:cNvPr id="117731" name="Рисунок 225" descr="Eva 4.6.png">
          <a:extLst>
            <a:ext uri="{FF2B5EF4-FFF2-40B4-BE49-F238E27FC236}">
              <a16:creationId xmlns:a16="http://schemas.microsoft.com/office/drawing/2014/main" xmlns="" id="{00000000-0008-0000-0100-0000E3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 cstate="print"/>
        <a:srcRect/>
        <a:stretch>
          <a:fillRect/>
        </a:stretch>
      </xdr:blipFill>
      <xdr:spPr bwMode="auto">
        <a:xfrm>
          <a:off x="2076450" y="275463000"/>
          <a:ext cx="17145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209550</xdr:colOff>
      <xdr:row>1689</xdr:row>
      <xdr:rowOff>38100</xdr:rowOff>
    </xdr:from>
    <xdr:to>
      <xdr:col>2</xdr:col>
      <xdr:colOff>371475</xdr:colOff>
      <xdr:row>1689</xdr:row>
      <xdr:rowOff>419100</xdr:rowOff>
    </xdr:to>
    <xdr:pic>
      <xdr:nvPicPr>
        <xdr:cNvPr id="117732" name="Picture 546" descr="Lada-Nova_3">
          <a:extLst>
            <a:ext uri="{FF2B5EF4-FFF2-40B4-BE49-F238E27FC236}">
              <a16:creationId xmlns:a16="http://schemas.microsoft.com/office/drawing/2014/main" xmlns="" id="{00000000-0008-0000-0100-0000E4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8" cstate="print"/>
        <a:srcRect/>
        <a:stretch>
          <a:fillRect/>
        </a:stretch>
      </xdr:blipFill>
      <xdr:spPr bwMode="auto">
        <a:xfrm>
          <a:off x="1838325" y="314725050"/>
          <a:ext cx="161925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419100</xdr:colOff>
      <xdr:row>1689</xdr:row>
      <xdr:rowOff>38100</xdr:rowOff>
    </xdr:from>
    <xdr:to>
      <xdr:col>2</xdr:col>
      <xdr:colOff>581025</xdr:colOff>
      <xdr:row>1689</xdr:row>
      <xdr:rowOff>419100</xdr:rowOff>
    </xdr:to>
    <xdr:pic>
      <xdr:nvPicPr>
        <xdr:cNvPr id="117733" name="Picture 547" descr="Lada-Nova_3">
          <a:extLst>
            <a:ext uri="{FF2B5EF4-FFF2-40B4-BE49-F238E27FC236}">
              <a16:creationId xmlns:a16="http://schemas.microsoft.com/office/drawing/2014/main" xmlns="" id="{00000000-0008-0000-0100-0000E5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9" cstate="print"/>
        <a:srcRect/>
        <a:stretch>
          <a:fillRect/>
        </a:stretch>
      </xdr:blipFill>
      <xdr:spPr bwMode="auto">
        <a:xfrm>
          <a:off x="2047875" y="314725050"/>
          <a:ext cx="161925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304800</xdr:colOff>
      <xdr:row>1691</xdr:row>
      <xdr:rowOff>47625</xdr:rowOff>
    </xdr:from>
    <xdr:to>
      <xdr:col>2</xdr:col>
      <xdr:colOff>466725</xdr:colOff>
      <xdr:row>1691</xdr:row>
      <xdr:rowOff>400050</xdr:rowOff>
    </xdr:to>
    <xdr:pic>
      <xdr:nvPicPr>
        <xdr:cNvPr id="117734" name="Picture 553">
          <a:extLst>
            <a:ext uri="{FF2B5EF4-FFF2-40B4-BE49-F238E27FC236}">
              <a16:creationId xmlns:a16="http://schemas.microsoft.com/office/drawing/2014/main" xmlns="" id="{00000000-0008-0000-0100-0000E6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0" cstate="print"/>
        <a:srcRect/>
        <a:stretch>
          <a:fillRect/>
        </a:stretch>
      </xdr:blipFill>
      <xdr:spPr bwMode="auto">
        <a:xfrm>
          <a:off x="1933575" y="315610875"/>
          <a:ext cx="161925" cy="3524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304800</xdr:colOff>
      <xdr:row>1692</xdr:row>
      <xdr:rowOff>47625</xdr:rowOff>
    </xdr:from>
    <xdr:to>
      <xdr:col>2</xdr:col>
      <xdr:colOff>466725</xdr:colOff>
      <xdr:row>1692</xdr:row>
      <xdr:rowOff>409575</xdr:rowOff>
    </xdr:to>
    <xdr:pic>
      <xdr:nvPicPr>
        <xdr:cNvPr id="117735" name="Picture 555">
          <a:extLst>
            <a:ext uri="{FF2B5EF4-FFF2-40B4-BE49-F238E27FC236}">
              <a16:creationId xmlns:a16="http://schemas.microsoft.com/office/drawing/2014/main" xmlns="" id="{00000000-0008-0000-0100-0000E7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1" cstate="print"/>
        <a:srcRect/>
        <a:stretch>
          <a:fillRect/>
        </a:stretch>
      </xdr:blipFill>
      <xdr:spPr bwMode="auto">
        <a:xfrm>
          <a:off x="1933575" y="316049025"/>
          <a:ext cx="161925" cy="3619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323850</xdr:colOff>
      <xdr:row>1690</xdr:row>
      <xdr:rowOff>38100</xdr:rowOff>
    </xdr:from>
    <xdr:to>
      <xdr:col>2</xdr:col>
      <xdr:colOff>485775</xdr:colOff>
      <xdr:row>1690</xdr:row>
      <xdr:rowOff>390525</xdr:rowOff>
    </xdr:to>
    <xdr:pic>
      <xdr:nvPicPr>
        <xdr:cNvPr id="117736" name="Picture 719" descr="Pollo_3a">
          <a:extLst>
            <a:ext uri="{FF2B5EF4-FFF2-40B4-BE49-F238E27FC236}">
              <a16:creationId xmlns:a16="http://schemas.microsoft.com/office/drawing/2014/main" xmlns="" id="{00000000-0008-0000-0100-0000E8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2" cstate="print"/>
        <a:srcRect/>
        <a:stretch>
          <a:fillRect/>
        </a:stretch>
      </xdr:blipFill>
      <xdr:spPr bwMode="auto">
        <a:xfrm>
          <a:off x="1952625" y="315163200"/>
          <a:ext cx="161925" cy="352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285750</xdr:colOff>
      <xdr:row>2057</xdr:row>
      <xdr:rowOff>19050</xdr:rowOff>
    </xdr:from>
    <xdr:to>
      <xdr:col>2</xdr:col>
      <xdr:colOff>381000</xdr:colOff>
      <xdr:row>2057</xdr:row>
      <xdr:rowOff>419100</xdr:rowOff>
    </xdr:to>
    <xdr:pic>
      <xdr:nvPicPr>
        <xdr:cNvPr id="117737" name="Рисунок 217" descr="L1.0.png">
          <a:extLst>
            <a:ext uri="{FF2B5EF4-FFF2-40B4-BE49-F238E27FC236}">
              <a16:creationId xmlns:a16="http://schemas.microsoft.com/office/drawing/2014/main" xmlns="" id="{00000000-0008-0000-0100-0000E9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 cstate="print"/>
        <a:srcRect/>
        <a:stretch>
          <a:fillRect/>
        </a:stretch>
      </xdr:blipFill>
      <xdr:spPr bwMode="auto">
        <a:xfrm>
          <a:off x="1914525" y="384381375"/>
          <a:ext cx="95250" cy="400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171450</xdr:colOff>
      <xdr:row>2058</xdr:row>
      <xdr:rowOff>9525</xdr:rowOff>
    </xdr:from>
    <xdr:to>
      <xdr:col>2</xdr:col>
      <xdr:colOff>266700</xdr:colOff>
      <xdr:row>2058</xdr:row>
      <xdr:rowOff>409575</xdr:rowOff>
    </xdr:to>
    <xdr:pic>
      <xdr:nvPicPr>
        <xdr:cNvPr id="117738" name="Рисунок 219" descr="L3.0.png">
          <a:extLst>
            <a:ext uri="{FF2B5EF4-FFF2-40B4-BE49-F238E27FC236}">
              <a16:creationId xmlns:a16="http://schemas.microsoft.com/office/drawing/2014/main" xmlns="" id="{00000000-0008-0000-0100-0000EA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 cstate="print"/>
        <a:srcRect/>
        <a:stretch>
          <a:fillRect/>
        </a:stretch>
      </xdr:blipFill>
      <xdr:spPr bwMode="auto">
        <a:xfrm>
          <a:off x="1800225" y="384810000"/>
          <a:ext cx="95250" cy="400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361950</xdr:colOff>
      <xdr:row>2058</xdr:row>
      <xdr:rowOff>19050</xdr:rowOff>
    </xdr:from>
    <xdr:to>
      <xdr:col>2</xdr:col>
      <xdr:colOff>447675</xdr:colOff>
      <xdr:row>2058</xdr:row>
      <xdr:rowOff>409575</xdr:rowOff>
    </xdr:to>
    <xdr:pic>
      <xdr:nvPicPr>
        <xdr:cNvPr id="117739" name="Рисунок 220" descr="L3.1.png">
          <a:extLst>
            <a:ext uri="{FF2B5EF4-FFF2-40B4-BE49-F238E27FC236}">
              <a16:creationId xmlns:a16="http://schemas.microsoft.com/office/drawing/2014/main" xmlns="" id="{00000000-0008-0000-0100-0000EB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 cstate="print"/>
        <a:srcRect/>
        <a:stretch>
          <a:fillRect/>
        </a:stretch>
      </xdr:blipFill>
      <xdr:spPr bwMode="auto">
        <a:xfrm>
          <a:off x="1990725" y="384819525"/>
          <a:ext cx="85725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542925</xdr:colOff>
      <xdr:row>2058</xdr:row>
      <xdr:rowOff>19050</xdr:rowOff>
    </xdr:from>
    <xdr:to>
      <xdr:col>2</xdr:col>
      <xdr:colOff>628650</xdr:colOff>
      <xdr:row>2058</xdr:row>
      <xdr:rowOff>409575</xdr:rowOff>
    </xdr:to>
    <xdr:pic>
      <xdr:nvPicPr>
        <xdr:cNvPr id="117740" name="Рисунок 221" descr="L3.2.png">
          <a:extLst>
            <a:ext uri="{FF2B5EF4-FFF2-40B4-BE49-F238E27FC236}">
              <a16:creationId xmlns:a16="http://schemas.microsoft.com/office/drawing/2014/main" xmlns="" id="{00000000-0008-0000-0100-0000EC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 cstate="print"/>
        <a:srcRect/>
        <a:stretch>
          <a:fillRect/>
        </a:stretch>
      </xdr:blipFill>
      <xdr:spPr bwMode="auto">
        <a:xfrm>
          <a:off x="2171700" y="384819525"/>
          <a:ext cx="85725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276225</xdr:colOff>
      <xdr:row>2059</xdr:row>
      <xdr:rowOff>28575</xdr:rowOff>
    </xdr:from>
    <xdr:to>
      <xdr:col>2</xdr:col>
      <xdr:colOff>371475</xdr:colOff>
      <xdr:row>2060</xdr:row>
      <xdr:rowOff>9525</xdr:rowOff>
    </xdr:to>
    <xdr:pic>
      <xdr:nvPicPr>
        <xdr:cNvPr id="117741" name="Рисунок 222" descr="L4.0.png">
          <a:extLst>
            <a:ext uri="{FF2B5EF4-FFF2-40B4-BE49-F238E27FC236}">
              <a16:creationId xmlns:a16="http://schemas.microsoft.com/office/drawing/2014/main" xmlns="" id="{00000000-0008-0000-0100-0000ED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 cstate="print"/>
        <a:srcRect/>
        <a:stretch>
          <a:fillRect/>
        </a:stretch>
      </xdr:blipFill>
      <xdr:spPr bwMode="auto">
        <a:xfrm>
          <a:off x="1905000" y="385267200"/>
          <a:ext cx="9525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447675</xdr:colOff>
      <xdr:row>2059</xdr:row>
      <xdr:rowOff>19050</xdr:rowOff>
    </xdr:from>
    <xdr:to>
      <xdr:col>2</xdr:col>
      <xdr:colOff>542925</xdr:colOff>
      <xdr:row>2059</xdr:row>
      <xdr:rowOff>419100</xdr:rowOff>
    </xdr:to>
    <xdr:pic>
      <xdr:nvPicPr>
        <xdr:cNvPr id="117742" name="Рисунок 223" descr="L4.1.png">
          <a:extLst>
            <a:ext uri="{FF2B5EF4-FFF2-40B4-BE49-F238E27FC236}">
              <a16:creationId xmlns:a16="http://schemas.microsoft.com/office/drawing/2014/main" xmlns="" id="{00000000-0008-0000-0100-0000EE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 cstate="print"/>
        <a:srcRect/>
        <a:stretch>
          <a:fillRect/>
        </a:stretch>
      </xdr:blipFill>
      <xdr:spPr bwMode="auto">
        <a:xfrm>
          <a:off x="2076450" y="385257675"/>
          <a:ext cx="95250" cy="400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276225</xdr:colOff>
      <xdr:row>2060</xdr:row>
      <xdr:rowOff>28575</xdr:rowOff>
    </xdr:from>
    <xdr:to>
      <xdr:col>2</xdr:col>
      <xdr:colOff>361950</xdr:colOff>
      <xdr:row>2060</xdr:row>
      <xdr:rowOff>419100</xdr:rowOff>
    </xdr:to>
    <xdr:pic>
      <xdr:nvPicPr>
        <xdr:cNvPr id="117743" name="Рисунок 224" descr="L5.0.png">
          <a:extLst>
            <a:ext uri="{FF2B5EF4-FFF2-40B4-BE49-F238E27FC236}">
              <a16:creationId xmlns:a16="http://schemas.microsoft.com/office/drawing/2014/main" xmlns="" id="{00000000-0008-0000-0100-0000EF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 cstate="print"/>
        <a:srcRect/>
        <a:stretch>
          <a:fillRect/>
        </a:stretch>
      </xdr:blipFill>
      <xdr:spPr bwMode="auto">
        <a:xfrm>
          <a:off x="1905000" y="385705350"/>
          <a:ext cx="85725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447675</xdr:colOff>
      <xdr:row>2060</xdr:row>
      <xdr:rowOff>9525</xdr:rowOff>
    </xdr:from>
    <xdr:to>
      <xdr:col>2</xdr:col>
      <xdr:colOff>542925</xdr:colOff>
      <xdr:row>2060</xdr:row>
      <xdr:rowOff>409575</xdr:rowOff>
    </xdr:to>
    <xdr:pic>
      <xdr:nvPicPr>
        <xdr:cNvPr id="117744" name="Рисунок 225" descr="L5.1.png">
          <a:extLst>
            <a:ext uri="{FF2B5EF4-FFF2-40B4-BE49-F238E27FC236}">
              <a16:creationId xmlns:a16="http://schemas.microsoft.com/office/drawing/2014/main" xmlns="" id="{00000000-0008-0000-0100-0000F0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 cstate="print"/>
        <a:srcRect/>
        <a:stretch>
          <a:fillRect/>
        </a:stretch>
      </xdr:blipFill>
      <xdr:spPr bwMode="auto">
        <a:xfrm>
          <a:off x="2076450" y="385686300"/>
          <a:ext cx="95250" cy="400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266700</xdr:colOff>
      <xdr:row>2061</xdr:row>
      <xdr:rowOff>19050</xdr:rowOff>
    </xdr:from>
    <xdr:to>
      <xdr:col>2</xdr:col>
      <xdr:colOff>352425</xdr:colOff>
      <xdr:row>2061</xdr:row>
      <xdr:rowOff>419100</xdr:rowOff>
    </xdr:to>
    <xdr:pic>
      <xdr:nvPicPr>
        <xdr:cNvPr id="117745" name="Рисунок 226" descr="L6.0.png">
          <a:extLst>
            <a:ext uri="{FF2B5EF4-FFF2-40B4-BE49-F238E27FC236}">
              <a16:creationId xmlns:a16="http://schemas.microsoft.com/office/drawing/2014/main" xmlns="" id="{00000000-0008-0000-0100-0000F1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 cstate="print"/>
        <a:srcRect/>
        <a:stretch>
          <a:fillRect/>
        </a:stretch>
      </xdr:blipFill>
      <xdr:spPr bwMode="auto">
        <a:xfrm>
          <a:off x="1895475" y="386133975"/>
          <a:ext cx="85725" cy="400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447675</xdr:colOff>
      <xdr:row>2061</xdr:row>
      <xdr:rowOff>28575</xdr:rowOff>
    </xdr:from>
    <xdr:to>
      <xdr:col>2</xdr:col>
      <xdr:colOff>533400</xdr:colOff>
      <xdr:row>2061</xdr:row>
      <xdr:rowOff>419100</xdr:rowOff>
    </xdr:to>
    <xdr:pic>
      <xdr:nvPicPr>
        <xdr:cNvPr id="117746" name="Рисунок 227" descr="L6.1.png">
          <a:extLst>
            <a:ext uri="{FF2B5EF4-FFF2-40B4-BE49-F238E27FC236}">
              <a16:creationId xmlns:a16="http://schemas.microsoft.com/office/drawing/2014/main" xmlns="" id="{00000000-0008-0000-0100-0000F2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 cstate="print"/>
        <a:srcRect/>
        <a:stretch>
          <a:fillRect/>
        </a:stretch>
      </xdr:blipFill>
      <xdr:spPr bwMode="auto">
        <a:xfrm>
          <a:off x="2076450" y="386143500"/>
          <a:ext cx="85725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438150</xdr:colOff>
      <xdr:row>2057</xdr:row>
      <xdr:rowOff>28575</xdr:rowOff>
    </xdr:from>
    <xdr:to>
      <xdr:col>2</xdr:col>
      <xdr:colOff>533400</xdr:colOff>
      <xdr:row>2057</xdr:row>
      <xdr:rowOff>419100</xdr:rowOff>
    </xdr:to>
    <xdr:pic>
      <xdr:nvPicPr>
        <xdr:cNvPr id="117747" name="Рисунок 228" descr="L1.1.png">
          <a:extLst>
            <a:ext uri="{FF2B5EF4-FFF2-40B4-BE49-F238E27FC236}">
              <a16:creationId xmlns:a16="http://schemas.microsoft.com/office/drawing/2014/main" xmlns="" id="{00000000-0008-0000-0100-0000F3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 cstate="print"/>
        <a:srcRect/>
        <a:stretch>
          <a:fillRect/>
        </a:stretch>
      </xdr:blipFill>
      <xdr:spPr bwMode="auto">
        <a:xfrm>
          <a:off x="2066925" y="384390900"/>
          <a:ext cx="9525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190500</xdr:colOff>
      <xdr:row>943</xdr:row>
      <xdr:rowOff>28575</xdr:rowOff>
    </xdr:from>
    <xdr:to>
      <xdr:col>2</xdr:col>
      <xdr:colOff>371475</xdr:colOff>
      <xdr:row>943</xdr:row>
      <xdr:rowOff>419100</xdr:rowOff>
    </xdr:to>
    <xdr:pic>
      <xdr:nvPicPr>
        <xdr:cNvPr id="117748" name="Рисунок 186" descr="Lisa 2.0.png">
          <a:extLst>
            <a:ext uri="{FF2B5EF4-FFF2-40B4-BE49-F238E27FC236}">
              <a16:creationId xmlns:a16="http://schemas.microsoft.com/office/drawing/2014/main" xmlns="" id="{00000000-0008-0000-0100-0000F4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 cstate="print"/>
        <a:srcRect/>
        <a:stretch>
          <a:fillRect/>
        </a:stretch>
      </xdr:blipFill>
      <xdr:spPr bwMode="auto">
        <a:xfrm>
          <a:off x="1819275" y="179717700"/>
          <a:ext cx="180975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171450</xdr:colOff>
      <xdr:row>1541</xdr:row>
      <xdr:rowOff>28575</xdr:rowOff>
    </xdr:from>
    <xdr:to>
      <xdr:col>2</xdr:col>
      <xdr:colOff>342900</xdr:colOff>
      <xdr:row>1541</xdr:row>
      <xdr:rowOff>419100</xdr:rowOff>
    </xdr:to>
    <xdr:pic>
      <xdr:nvPicPr>
        <xdr:cNvPr id="117749" name="Рисунок 231" descr="Lada Trend 5.0.jpg">
          <a:extLst>
            <a:ext uri="{FF2B5EF4-FFF2-40B4-BE49-F238E27FC236}">
              <a16:creationId xmlns:a16="http://schemas.microsoft.com/office/drawing/2014/main" xmlns="" id="{00000000-0008-0000-0100-0000F5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 cstate="print"/>
        <a:srcRect/>
        <a:stretch>
          <a:fillRect/>
        </a:stretch>
      </xdr:blipFill>
      <xdr:spPr bwMode="auto">
        <a:xfrm>
          <a:off x="1800225" y="287902650"/>
          <a:ext cx="17145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400050</xdr:colOff>
      <xdr:row>1541</xdr:row>
      <xdr:rowOff>28575</xdr:rowOff>
    </xdr:from>
    <xdr:to>
      <xdr:col>2</xdr:col>
      <xdr:colOff>571500</xdr:colOff>
      <xdr:row>1541</xdr:row>
      <xdr:rowOff>419100</xdr:rowOff>
    </xdr:to>
    <xdr:pic>
      <xdr:nvPicPr>
        <xdr:cNvPr id="117750" name="Рисунок 236" descr="Lada Trend 5.5.jpg">
          <a:extLst>
            <a:ext uri="{FF2B5EF4-FFF2-40B4-BE49-F238E27FC236}">
              <a16:creationId xmlns:a16="http://schemas.microsoft.com/office/drawing/2014/main" xmlns="" id="{00000000-0008-0000-0100-0000F6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 cstate="print"/>
        <a:srcRect/>
        <a:stretch>
          <a:fillRect/>
        </a:stretch>
      </xdr:blipFill>
      <xdr:spPr bwMode="auto">
        <a:xfrm>
          <a:off x="2028825" y="287902650"/>
          <a:ext cx="17145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1542</xdr:row>
      <xdr:rowOff>9525</xdr:rowOff>
    </xdr:from>
    <xdr:to>
      <xdr:col>2</xdr:col>
      <xdr:colOff>247650</xdr:colOff>
      <xdr:row>1542</xdr:row>
      <xdr:rowOff>400050</xdr:rowOff>
    </xdr:to>
    <xdr:pic>
      <xdr:nvPicPr>
        <xdr:cNvPr id="117751" name="Рисунок 237" descr="Lada Trend 5A.1.jpg">
          <a:extLst>
            <a:ext uri="{FF2B5EF4-FFF2-40B4-BE49-F238E27FC236}">
              <a16:creationId xmlns:a16="http://schemas.microsoft.com/office/drawing/2014/main" xmlns="" id="{00000000-0008-0000-0100-0000F7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 cstate="print"/>
        <a:srcRect/>
        <a:stretch>
          <a:fillRect/>
        </a:stretch>
      </xdr:blipFill>
      <xdr:spPr bwMode="auto">
        <a:xfrm>
          <a:off x="1695450" y="288321750"/>
          <a:ext cx="180975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276225</xdr:colOff>
      <xdr:row>1542</xdr:row>
      <xdr:rowOff>19050</xdr:rowOff>
    </xdr:from>
    <xdr:to>
      <xdr:col>2</xdr:col>
      <xdr:colOff>457200</xdr:colOff>
      <xdr:row>1542</xdr:row>
      <xdr:rowOff>409575</xdr:rowOff>
    </xdr:to>
    <xdr:pic>
      <xdr:nvPicPr>
        <xdr:cNvPr id="117752" name="Рисунок 238" descr="Lada Trend 5A.2.jpg">
          <a:extLst>
            <a:ext uri="{FF2B5EF4-FFF2-40B4-BE49-F238E27FC236}">
              <a16:creationId xmlns:a16="http://schemas.microsoft.com/office/drawing/2014/main" xmlns="" id="{00000000-0008-0000-0100-0000F8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 cstate="print"/>
        <a:srcRect/>
        <a:stretch>
          <a:fillRect/>
        </a:stretch>
      </xdr:blipFill>
      <xdr:spPr bwMode="auto">
        <a:xfrm>
          <a:off x="1905000" y="288331275"/>
          <a:ext cx="180975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485775</xdr:colOff>
      <xdr:row>1542</xdr:row>
      <xdr:rowOff>19050</xdr:rowOff>
    </xdr:from>
    <xdr:to>
      <xdr:col>2</xdr:col>
      <xdr:colOff>666750</xdr:colOff>
      <xdr:row>1542</xdr:row>
      <xdr:rowOff>419100</xdr:rowOff>
    </xdr:to>
    <xdr:pic>
      <xdr:nvPicPr>
        <xdr:cNvPr id="117753" name="Рисунок 239" descr="Lada Trend 5A.3.jpg">
          <a:extLst>
            <a:ext uri="{FF2B5EF4-FFF2-40B4-BE49-F238E27FC236}">
              <a16:creationId xmlns:a16="http://schemas.microsoft.com/office/drawing/2014/main" xmlns="" id="{00000000-0008-0000-0100-0000F9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 cstate="print"/>
        <a:srcRect/>
        <a:stretch>
          <a:fillRect/>
        </a:stretch>
      </xdr:blipFill>
      <xdr:spPr bwMode="auto">
        <a:xfrm>
          <a:off x="2114550" y="288331275"/>
          <a:ext cx="180975" cy="400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285750</xdr:colOff>
      <xdr:row>1543</xdr:row>
      <xdr:rowOff>28575</xdr:rowOff>
    </xdr:from>
    <xdr:to>
      <xdr:col>2</xdr:col>
      <xdr:colOff>457200</xdr:colOff>
      <xdr:row>1544</xdr:row>
      <xdr:rowOff>9525</xdr:rowOff>
    </xdr:to>
    <xdr:pic>
      <xdr:nvPicPr>
        <xdr:cNvPr id="117754" name="Рисунок 240" descr="Lada Trend 5B.3.jpg">
          <a:extLst>
            <a:ext uri="{FF2B5EF4-FFF2-40B4-BE49-F238E27FC236}">
              <a16:creationId xmlns:a16="http://schemas.microsoft.com/office/drawing/2014/main" xmlns="" id="{00000000-0008-0000-0100-0000FA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 cstate="print"/>
        <a:srcRect/>
        <a:stretch>
          <a:fillRect/>
        </a:stretch>
      </xdr:blipFill>
      <xdr:spPr bwMode="auto">
        <a:xfrm>
          <a:off x="1914525" y="288778950"/>
          <a:ext cx="17145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57150</xdr:colOff>
      <xdr:row>2248</xdr:row>
      <xdr:rowOff>76200</xdr:rowOff>
    </xdr:from>
    <xdr:to>
      <xdr:col>2</xdr:col>
      <xdr:colOff>704850</xdr:colOff>
      <xdr:row>2249</xdr:row>
      <xdr:rowOff>352426</xdr:rowOff>
    </xdr:to>
    <xdr:pic>
      <xdr:nvPicPr>
        <xdr:cNvPr id="117755" name="Рисунок 241" descr="Standard D80 стандартная деревянная коробка1.jpg">
          <a:extLst>
            <a:ext uri="{FF2B5EF4-FFF2-40B4-BE49-F238E27FC236}">
              <a16:creationId xmlns:a16="http://schemas.microsoft.com/office/drawing/2014/main" xmlns="" id="{00000000-0008-0000-0100-0000FB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 cstate="print"/>
        <a:srcRect/>
        <a:stretch>
          <a:fillRect/>
        </a:stretch>
      </xdr:blipFill>
      <xdr:spPr bwMode="auto">
        <a:xfrm>
          <a:off x="1685925" y="419633400"/>
          <a:ext cx="6477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95250</xdr:colOff>
      <xdr:row>2322</xdr:row>
      <xdr:rowOff>85725</xdr:rowOff>
    </xdr:from>
    <xdr:to>
      <xdr:col>2</xdr:col>
      <xdr:colOff>704850</xdr:colOff>
      <xdr:row>2325</xdr:row>
      <xdr:rowOff>47626</xdr:rowOff>
    </xdr:to>
    <xdr:pic>
      <xdr:nvPicPr>
        <xdr:cNvPr id="117756" name="Рисунок 242" descr="58_PAGE1.jpg">
          <a:extLst>
            <a:ext uri="{FF2B5EF4-FFF2-40B4-BE49-F238E27FC236}">
              <a16:creationId xmlns:a16="http://schemas.microsoft.com/office/drawing/2014/main" xmlns="" id="{00000000-0008-0000-0100-0000FC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 cstate="print"/>
        <a:srcRect/>
        <a:stretch>
          <a:fillRect/>
        </a:stretch>
      </xdr:blipFill>
      <xdr:spPr bwMode="auto">
        <a:xfrm>
          <a:off x="1724025" y="434597175"/>
          <a:ext cx="60960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114300</xdr:colOff>
      <xdr:row>2394</xdr:row>
      <xdr:rowOff>66675</xdr:rowOff>
    </xdr:from>
    <xdr:to>
      <xdr:col>2</xdr:col>
      <xdr:colOff>723900</xdr:colOff>
      <xdr:row>2397</xdr:row>
      <xdr:rowOff>76202</xdr:rowOff>
    </xdr:to>
    <xdr:pic>
      <xdr:nvPicPr>
        <xdr:cNvPr id="117757" name="Рисунок 243" descr="60_PAGE1.jpg">
          <a:extLst>
            <a:ext uri="{FF2B5EF4-FFF2-40B4-BE49-F238E27FC236}">
              <a16:creationId xmlns:a16="http://schemas.microsoft.com/office/drawing/2014/main" xmlns="" id="{00000000-0008-0000-0100-0000FD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 cstate="print"/>
        <a:srcRect/>
        <a:stretch>
          <a:fillRect/>
        </a:stretch>
      </xdr:blipFill>
      <xdr:spPr bwMode="auto">
        <a:xfrm>
          <a:off x="1743075" y="447960750"/>
          <a:ext cx="609600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114300</xdr:colOff>
      <xdr:row>2462</xdr:row>
      <xdr:rowOff>114300</xdr:rowOff>
    </xdr:from>
    <xdr:to>
      <xdr:col>2</xdr:col>
      <xdr:colOff>723900</xdr:colOff>
      <xdr:row>2465</xdr:row>
      <xdr:rowOff>76196</xdr:rowOff>
    </xdr:to>
    <xdr:pic>
      <xdr:nvPicPr>
        <xdr:cNvPr id="117758" name="Рисунок 244" descr="62_PAGE1.jpg">
          <a:extLst>
            <a:ext uri="{FF2B5EF4-FFF2-40B4-BE49-F238E27FC236}">
              <a16:creationId xmlns:a16="http://schemas.microsoft.com/office/drawing/2014/main" xmlns="" id="{00000000-0008-0000-0100-0000FE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 cstate="print"/>
        <a:srcRect/>
        <a:stretch>
          <a:fillRect/>
        </a:stretch>
      </xdr:blipFill>
      <xdr:spPr bwMode="auto">
        <a:xfrm>
          <a:off x="1743075" y="459762225"/>
          <a:ext cx="60960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333375</xdr:colOff>
      <xdr:row>368</xdr:row>
      <xdr:rowOff>47625</xdr:rowOff>
    </xdr:from>
    <xdr:to>
      <xdr:col>2</xdr:col>
      <xdr:colOff>504825</xdr:colOff>
      <xdr:row>369</xdr:row>
      <xdr:rowOff>1</xdr:rowOff>
    </xdr:to>
    <xdr:pic>
      <xdr:nvPicPr>
        <xdr:cNvPr id="117759" name="Рисунок 221" descr="B_5.jpg">
          <a:extLst>
            <a:ext uri="{FF2B5EF4-FFF2-40B4-BE49-F238E27FC236}">
              <a16:creationId xmlns:a16="http://schemas.microsoft.com/office/drawing/2014/main" xmlns="" id="{00000000-0008-0000-0100-0000FF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 cstate="print"/>
        <a:srcRect l="27406" t="12793" r="27354" b="6847"/>
        <a:stretch>
          <a:fillRect/>
        </a:stretch>
      </xdr:blipFill>
      <xdr:spPr bwMode="auto">
        <a:xfrm>
          <a:off x="1962150" y="102422325"/>
          <a:ext cx="17145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1323975</xdr:colOff>
      <xdr:row>2741</xdr:row>
      <xdr:rowOff>28575</xdr:rowOff>
    </xdr:from>
    <xdr:to>
      <xdr:col>2</xdr:col>
      <xdr:colOff>695325</xdr:colOff>
      <xdr:row>2741</xdr:row>
      <xdr:rowOff>390525</xdr:rowOff>
    </xdr:to>
    <xdr:pic>
      <xdr:nvPicPr>
        <xdr:cNvPr id="117760" name="Рисунок 212" descr="HANDY  (срібна матова, фото 2).png">
          <a:extLst>
            <a:ext uri="{FF2B5EF4-FFF2-40B4-BE49-F238E27FC236}">
              <a16:creationId xmlns:a16="http://schemas.microsoft.com/office/drawing/2014/main" xmlns="" id="{00000000-0008-0000-0100-000000CC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 cstate="print"/>
        <a:srcRect l="1350" t="26553" b="35219"/>
        <a:stretch>
          <a:fillRect/>
        </a:stretch>
      </xdr:blipFill>
      <xdr:spPr bwMode="auto">
        <a:xfrm>
          <a:off x="1390650" y="498348000"/>
          <a:ext cx="933450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1333500</xdr:colOff>
      <xdr:row>2743</xdr:row>
      <xdr:rowOff>28575</xdr:rowOff>
    </xdr:from>
    <xdr:to>
      <xdr:col>2</xdr:col>
      <xdr:colOff>752475</xdr:colOff>
      <xdr:row>2743</xdr:row>
      <xdr:rowOff>390525</xdr:rowOff>
    </xdr:to>
    <xdr:pic>
      <xdr:nvPicPr>
        <xdr:cNvPr id="117761" name="Рисунок 213" descr="7424.970.jpg">
          <a:extLst>
            <a:ext uri="{FF2B5EF4-FFF2-40B4-BE49-F238E27FC236}">
              <a16:creationId xmlns:a16="http://schemas.microsoft.com/office/drawing/2014/main" xmlns="" id="{00000000-0008-0000-0100-000001CC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 cstate="print"/>
        <a:srcRect l="3374" t="32771" b="31566"/>
        <a:stretch>
          <a:fillRect/>
        </a:stretch>
      </xdr:blipFill>
      <xdr:spPr bwMode="auto">
        <a:xfrm>
          <a:off x="1400175" y="499224300"/>
          <a:ext cx="981075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1371600</xdr:colOff>
      <xdr:row>2739</xdr:row>
      <xdr:rowOff>38100</xdr:rowOff>
    </xdr:from>
    <xdr:to>
      <xdr:col>2</xdr:col>
      <xdr:colOff>704850</xdr:colOff>
      <xdr:row>2740</xdr:row>
      <xdr:rowOff>814</xdr:rowOff>
    </xdr:to>
    <xdr:pic>
      <xdr:nvPicPr>
        <xdr:cNvPr id="117762" name="Рисунок 214" descr="Verona_silver-mat.png">
          <a:extLst>
            <a:ext uri="{FF2B5EF4-FFF2-40B4-BE49-F238E27FC236}">
              <a16:creationId xmlns:a16="http://schemas.microsoft.com/office/drawing/2014/main" xmlns="" id="{00000000-0008-0000-0100-000002CC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 cstate="print"/>
        <a:srcRect/>
        <a:stretch>
          <a:fillRect/>
        </a:stretch>
      </xdr:blipFill>
      <xdr:spPr bwMode="auto">
        <a:xfrm>
          <a:off x="1438275" y="497481225"/>
          <a:ext cx="89535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1343025</xdr:colOff>
      <xdr:row>2742</xdr:row>
      <xdr:rowOff>38100</xdr:rowOff>
    </xdr:from>
    <xdr:to>
      <xdr:col>2</xdr:col>
      <xdr:colOff>752475</xdr:colOff>
      <xdr:row>2743</xdr:row>
      <xdr:rowOff>6</xdr:rowOff>
    </xdr:to>
    <xdr:pic>
      <xdr:nvPicPr>
        <xdr:cNvPr id="117763" name="Рисунок 215" descr="Prius (2) - брашированный мат.хром.jpg">
          <a:extLst>
            <a:ext uri="{FF2B5EF4-FFF2-40B4-BE49-F238E27FC236}">
              <a16:creationId xmlns:a16="http://schemas.microsoft.com/office/drawing/2014/main" xmlns="" id="{00000000-0008-0000-0100-000003CC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 cstate="print"/>
        <a:srcRect t="26994" b="31287"/>
        <a:stretch>
          <a:fillRect/>
        </a:stretch>
      </xdr:blipFill>
      <xdr:spPr bwMode="auto">
        <a:xfrm>
          <a:off x="1409700" y="498795675"/>
          <a:ext cx="971550" cy="400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71718</xdr:colOff>
      <xdr:row>478</xdr:row>
      <xdr:rowOff>7164</xdr:rowOff>
    </xdr:from>
    <xdr:to>
      <xdr:col>2</xdr:col>
      <xdr:colOff>464467</xdr:colOff>
      <xdr:row>479</xdr:row>
      <xdr:rowOff>6093</xdr:rowOff>
    </xdr:to>
    <xdr:pic>
      <xdr:nvPicPr>
        <xdr:cNvPr id="193" name="Рисунок 192" descr="1.0.png">
          <a:extLst>
            <a:ext uri="{FF2B5EF4-FFF2-40B4-BE49-F238E27FC236}">
              <a16:creationId xmlns:a16="http://schemas.microsoft.com/office/drawing/2014/main" xmlns="" id="{00000000-0008-0000-0100-0000C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 cstate="print"/>
        <a:stretch>
          <a:fillRect/>
        </a:stretch>
      </xdr:blipFill>
      <xdr:spPr>
        <a:xfrm flipV="1">
          <a:off x="1748118" y="72444789"/>
          <a:ext cx="392749" cy="441842"/>
        </a:xfrm>
        <a:prstGeom prst="rect">
          <a:avLst/>
        </a:prstGeom>
      </xdr:spPr>
    </xdr:pic>
    <xdr:clientData/>
  </xdr:twoCellAnchor>
  <xdr:twoCellAnchor editAs="oneCell">
    <xdr:from>
      <xdr:col>2</xdr:col>
      <xdr:colOff>347224</xdr:colOff>
      <xdr:row>478</xdr:row>
      <xdr:rowOff>4763</xdr:rowOff>
    </xdr:from>
    <xdr:to>
      <xdr:col>2</xdr:col>
      <xdr:colOff>739973</xdr:colOff>
      <xdr:row>479</xdr:row>
      <xdr:rowOff>3692</xdr:rowOff>
    </xdr:to>
    <xdr:pic>
      <xdr:nvPicPr>
        <xdr:cNvPr id="194" name="Рисунок 193" descr="1.1.png">
          <a:extLst>
            <a:ext uri="{FF2B5EF4-FFF2-40B4-BE49-F238E27FC236}">
              <a16:creationId xmlns:a16="http://schemas.microsoft.com/office/drawing/2014/main" xmlns="" id="{00000000-0008-0000-0100-0000C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 cstate="print"/>
        <a:stretch>
          <a:fillRect/>
        </a:stretch>
      </xdr:blipFill>
      <xdr:spPr>
        <a:xfrm flipV="1">
          <a:off x="2023624" y="72442388"/>
          <a:ext cx="392749" cy="441842"/>
        </a:xfrm>
        <a:prstGeom prst="rect">
          <a:avLst/>
        </a:prstGeom>
      </xdr:spPr>
    </xdr:pic>
    <xdr:clientData/>
  </xdr:twoCellAnchor>
  <xdr:twoCellAnchor editAs="oneCell">
    <xdr:from>
      <xdr:col>2</xdr:col>
      <xdr:colOff>215646</xdr:colOff>
      <xdr:row>479</xdr:row>
      <xdr:rowOff>13855</xdr:rowOff>
    </xdr:from>
    <xdr:to>
      <xdr:col>2</xdr:col>
      <xdr:colOff>588687</xdr:colOff>
      <xdr:row>480</xdr:row>
      <xdr:rowOff>453</xdr:rowOff>
    </xdr:to>
    <xdr:pic>
      <xdr:nvPicPr>
        <xdr:cNvPr id="195" name="Рисунок 194" descr="1a.1.png">
          <a:extLst>
            <a:ext uri="{FF2B5EF4-FFF2-40B4-BE49-F238E27FC236}">
              <a16:creationId xmlns:a16="http://schemas.microsoft.com/office/drawing/2014/main" xmlns="" id="{00000000-0008-0000-0100-0000C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 cstate="print"/>
        <a:stretch>
          <a:fillRect/>
        </a:stretch>
      </xdr:blipFill>
      <xdr:spPr>
        <a:xfrm>
          <a:off x="1892046" y="71714742"/>
          <a:ext cx="373041" cy="424746"/>
        </a:xfrm>
        <a:prstGeom prst="rect">
          <a:avLst/>
        </a:prstGeom>
      </xdr:spPr>
    </xdr:pic>
    <xdr:clientData/>
  </xdr:twoCellAnchor>
  <xdr:twoCellAnchor editAs="oneCell">
    <xdr:from>
      <xdr:col>2</xdr:col>
      <xdr:colOff>84707</xdr:colOff>
      <xdr:row>480</xdr:row>
      <xdr:rowOff>13853</xdr:rowOff>
    </xdr:from>
    <xdr:to>
      <xdr:col>2</xdr:col>
      <xdr:colOff>458409</xdr:colOff>
      <xdr:row>481</xdr:row>
      <xdr:rowOff>1313</xdr:rowOff>
    </xdr:to>
    <xdr:pic>
      <xdr:nvPicPr>
        <xdr:cNvPr id="196" name="Рисунок 195" descr="2.0.png">
          <a:extLst>
            <a:ext uri="{FF2B5EF4-FFF2-40B4-BE49-F238E27FC236}">
              <a16:creationId xmlns:a16="http://schemas.microsoft.com/office/drawing/2014/main" xmlns="" id="{00000000-0008-0000-0100-0000C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 cstate="print"/>
        <a:stretch>
          <a:fillRect/>
        </a:stretch>
      </xdr:blipFill>
      <xdr:spPr>
        <a:xfrm>
          <a:off x="1761107" y="73377135"/>
          <a:ext cx="373702" cy="420415"/>
        </a:xfrm>
        <a:prstGeom prst="rect">
          <a:avLst/>
        </a:prstGeom>
      </xdr:spPr>
    </xdr:pic>
    <xdr:clientData/>
  </xdr:twoCellAnchor>
  <xdr:twoCellAnchor editAs="oneCell">
    <xdr:from>
      <xdr:col>2</xdr:col>
      <xdr:colOff>362712</xdr:colOff>
      <xdr:row>480</xdr:row>
      <xdr:rowOff>18380</xdr:rowOff>
    </xdr:from>
    <xdr:to>
      <xdr:col>2</xdr:col>
      <xdr:colOff>737756</xdr:colOff>
      <xdr:row>481</xdr:row>
      <xdr:rowOff>644</xdr:rowOff>
    </xdr:to>
    <xdr:pic>
      <xdr:nvPicPr>
        <xdr:cNvPr id="197" name="Рисунок 196" descr="2.1.png">
          <a:extLst>
            <a:ext uri="{FF2B5EF4-FFF2-40B4-BE49-F238E27FC236}">
              <a16:creationId xmlns:a16="http://schemas.microsoft.com/office/drawing/2014/main" xmlns="" id="{00000000-0008-0000-0100-0000C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 cstate="print"/>
        <a:stretch>
          <a:fillRect/>
        </a:stretch>
      </xdr:blipFill>
      <xdr:spPr>
        <a:xfrm>
          <a:off x="2039112" y="73381662"/>
          <a:ext cx="375044" cy="420415"/>
        </a:xfrm>
        <a:prstGeom prst="rect">
          <a:avLst/>
        </a:prstGeom>
      </xdr:spPr>
    </xdr:pic>
    <xdr:clientData/>
  </xdr:twoCellAnchor>
  <xdr:twoCellAnchor editAs="oneCell">
    <xdr:from>
      <xdr:col>2</xdr:col>
      <xdr:colOff>221087</xdr:colOff>
      <xdr:row>481</xdr:row>
      <xdr:rowOff>10391</xdr:rowOff>
    </xdr:from>
    <xdr:to>
      <xdr:col>2</xdr:col>
      <xdr:colOff>596205</xdr:colOff>
      <xdr:row>482</xdr:row>
      <xdr:rowOff>1612</xdr:rowOff>
    </xdr:to>
    <xdr:pic>
      <xdr:nvPicPr>
        <xdr:cNvPr id="198" name="Рисунок 197" descr="2a.1.png">
          <a:extLst>
            <a:ext uri="{FF2B5EF4-FFF2-40B4-BE49-F238E27FC236}">
              <a16:creationId xmlns:a16="http://schemas.microsoft.com/office/drawing/2014/main" xmlns="" id="{00000000-0008-0000-0100-0000C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" cstate="print"/>
        <a:stretch>
          <a:fillRect/>
        </a:stretch>
      </xdr:blipFill>
      <xdr:spPr>
        <a:xfrm>
          <a:off x="1897487" y="72599174"/>
          <a:ext cx="375118" cy="419846"/>
        </a:xfrm>
        <a:prstGeom prst="rect">
          <a:avLst/>
        </a:prstGeom>
      </xdr:spPr>
    </xdr:pic>
    <xdr:clientData/>
  </xdr:twoCellAnchor>
  <xdr:twoCellAnchor editAs="oneCell">
    <xdr:from>
      <xdr:col>2</xdr:col>
      <xdr:colOff>88925</xdr:colOff>
      <xdr:row>482</xdr:row>
      <xdr:rowOff>9530</xdr:rowOff>
    </xdr:from>
    <xdr:to>
      <xdr:col>2</xdr:col>
      <xdr:colOff>469079</xdr:colOff>
      <xdr:row>483</xdr:row>
      <xdr:rowOff>1821</xdr:rowOff>
    </xdr:to>
    <xdr:pic>
      <xdr:nvPicPr>
        <xdr:cNvPr id="199" name="Рисунок 198" descr="3.0.png">
          <a:extLst>
            <a:ext uri="{FF2B5EF4-FFF2-40B4-BE49-F238E27FC236}">
              <a16:creationId xmlns:a16="http://schemas.microsoft.com/office/drawing/2014/main" xmlns="" id="{00000000-0008-0000-0100-0000C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 cstate="print"/>
        <a:stretch>
          <a:fillRect/>
        </a:stretch>
      </xdr:blipFill>
      <xdr:spPr>
        <a:xfrm>
          <a:off x="1765325" y="73785998"/>
          <a:ext cx="380154" cy="434623"/>
        </a:xfrm>
        <a:prstGeom prst="rect">
          <a:avLst/>
        </a:prstGeom>
      </xdr:spPr>
    </xdr:pic>
    <xdr:clientData/>
  </xdr:twoCellAnchor>
  <xdr:twoCellAnchor editAs="oneCell">
    <xdr:from>
      <xdr:col>2</xdr:col>
      <xdr:colOff>385492</xdr:colOff>
      <xdr:row>482</xdr:row>
      <xdr:rowOff>11152</xdr:rowOff>
    </xdr:from>
    <xdr:to>
      <xdr:col>2</xdr:col>
      <xdr:colOff>762740</xdr:colOff>
      <xdr:row>483</xdr:row>
      <xdr:rowOff>3717</xdr:rowOff>
    </xdr:to>
    <xdr:pic>
      <xdr:nvPicPr>
        <xdr:cNvPr id="200" name="Рисунок 199" descr="3.1.png">
          <a:extLst>
            <a:ext uri="{FF2B5EF4-FFF2-40B4-BE49-F238E27FC236}">
              <a16:creationId xmlns:a16="http://schemas.microsoft.com/office/drawing/2014/main" xmlns="" id="{00000000-0008-0000-0100-0000C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" cstate="print"/>
        <a:stretch>
          <a:fillRect/>
        </a:stretch>
      </xdr:blipFill>
      <xdr:spPr>
        <a:xfrm>
          <a:off x="2061892" y="73787620"/>
          <a:ext cx="377248" cy="434897"/>
        </a:xfrm>
        <a:prstGeom prst="rect">
          <a:avLst/>
        </a:prstGeom>
      </xdr:spPr>
    </xdr:pic>
    <xdr:clientData/>
  </xdr:twoCellAnchor>
  <xdr:twoCellAnchor editAs="oneCell">
    <xdr:from>
      <xdr:col>2</xdr:col>
      <xdr:colOff>188260</xdr:colOff>
      <xdr:row>2498</xdr:row>
      <xdr:rowOff>58899</xdr:rowOff>
    </xdr:from>
    <xdr:to>
      <xdr:col>2</xdr:col>
      <xdr:colOff>683045</xdr:colOff>
      <xdr:row>2505</xdr:row>
      <xdr:rowOff>17928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BF192C64-5D10-47B0-88B5-817BA08D8A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864660" y="439186052"/>
          <a:ext cx="494785" cy="1142371"/>
        </a:xfrm>
        <a:prstGeom prst="rect">
          <a:avLst/>
        </a:prstGeom>
      </xdr:spPr>
    </xdr:pic>
    <xdr:clientData/>
  </xdr:twoCellAnchor>
  <xdr:oneCellAnchor>
    <xdr:from>
      <xdr:col>2</xdr:col>
      <xdr:colOff>28575</xdr:colOff>
      <xdr:row>2470</xdr:row>
      <xdr:rowOff>66675</xdr:rowOff>
    </xdr:from>
    <xdr:ext cx="742950" cy="314325"/>
    <xdr:pic>
      <xdr:nvPicPr>
        <xdr:cNvPr id="202" name="Picture 637" descr="asdfadsfadsf">
          <a:extLst>
            <a:ext uri="{FF2B5EF4-FFF2-40B4-BE49-F238E27FC236}">
              <a16:creationId xmlns:a16="http://schemas.microsoft.com/office/drawing/2014/main" xmlns="" id="{33AAA832-92DF-43A1-89CF-BB1BE80A16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" cstate="print"/>
        <a:srcRect/>
        <a:stretch>
          <a:fillRect/>
        </a:stretch>
      </xdr:blipFill>
      <xdr:spPr bwMode="auto">
        <a:xfrm>
          <a:off x="1704975" y="435484361"/>
          <a:ext cx="742950" cy="314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2</xdr:col>
      <xdr:colOff>207370</xdr:colOff>
      <xdr:row>528</xdr:row>
      <xdr:rowOff>5027</xdr:rowOff>
    </xdr:from>
    <xdr:to>
      <xdr:col>2</xdr:col>
      <xdr:colOff>391173</xdr:colOff>
      <xdr:row>528</xdr:row>
      <xdr:rowOff>432183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xmlns="" id="{AB28D7B7-522D-4E01-A084-407096641CD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31373" t="5883" r="31512" b="6583"/>
        <a:stretch/>
      </xdr:blipFill>
      <xdr:spPr>
        <a:xfrm flipH="1">
          <a:off x="1883770" y="84030181"/>
          <a:ext cx="183803" cy="427156"/>
        </a:xfrm>
        <a:prstGeom prst="rect">
          <a:avLst/>
        </a:prstGeom>
      </xdr:spPr>
    </xdr:pic>
    <xdr:clientData/>
  </xdr:twoCellAnchor>
  <xdr:twoCellAnchor editAs="oneCell">
    <xdr:from>
      <xdr:col>2</xdr:col>
      <xdr:colOff>502486</xdr:colOff>
      <xdr:row>528</xdr:row>
      <xdr:rowOff>5864</xdr:rowOff>
    </xdr:from>
    <xdr:to>
      <xdr:col>2</xdr:col>
      <xdr:colOff>679940</xdr:colOff>
      <xdr:row>528</xdr:row>
      <xdr:rowOff>432327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xmlns="" id="{AA318D17-CACF-4D56-AA34-AD9CDC1B49E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31263" t="6053" r="31202" b="6552"/>
        <a:stretch/>
      </xdr:blipFill>
      <xdr:spPr>
        <a:xfrm flipH="1">
          <a:off x="2178886" y="84031018"/>
          <a:ext cx="177454" cy="426463"/>
        </a:xfrm>
        <a:prstGeom prst="rect">
          <a:avLst/>
        </a:prstGeom>
      </xdr:spPr>
    </xdr:pic>
    <xdr:clientData/>
  </xdr:twoCellAnchor>
  <xdr:twoCellAnchor editAs="oneCell">
    <xdr:from>
      <xdr:col>2</xdr:col>
      <xdr:colOff>498340</xdr:colOff>
      <xdr:row>529</xdr:row>
      <xdr:rowOff>25172</xdr:rowOff>
    </xdr:from>
    <xdr:to>
      <xdr:col>2</xdr:col>
      <xdr:colOff>674581</xdr:colOff>
      <xdr:row>530</xdr:row>
      <xdr:rowOff>5863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xmlns="" id="{5FE9DAF0-5CBF-492B-938F-D64DE2C7360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31488" t="6114" r="31833" b="6459"/>
        <a:stretch/>
      </xdr:blipFill>
      <xdr:spPr>
        <a:xfrm flipH="1">
          <a:off x="2174740" y="84489941"/>
          <a:ext cx="176241" cy="420307"/>
        </a:xfrm>
        <a:prstGeom prst="rect">
          <a:avLst/>
        </a:prstGeom>
      </xdr:spPr>
    </xdr:pic>
    <xdr:clientData/>
  </xdr:twoCellAnchor>
  <xdr:twoCellAnchor editAs="oneCell">
    <xdr:from>
      <xdr:col>2</xdr:col>
      <xdr:colOff>197330</xdr:colOff>
      <xdr:row>529</xdr:row>
      <xdr:rowOff>16206</xdr:rowOff>
    </xdr:from>
    <xdr:to>
      <xdr:col>2</xdr:col>
      <xdr:colOff>375234</xdr:colOff>
      <xdr:row>530</xdr:row>
      <xdr:rowOff>592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xmlns="" id="{126E13AD-7DA6-4234-B222-9D993D2EF74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31519" t="5913" r="31457" b="6428"/>
        <a:stretch/>
      </xdr:blipFill>
      <xdr:spPr>
        <a:xfrm flipH="1">
          <a:off x="1873730" y="84480975"/>
          <a:ext cx="177904" cy="421415"/>
        </a:xfrm>
        <a:prstGeom prst="rect">
          <a:avLst/>
        </a:prstGeom>
      </xdr:spPr>
    </xdr:pic>
    <xdr:clientData/>
  </xdr:twoCellAnchor>
  <xdr:twoCellAnchor editAs="oneCell">
    <xdr:from>
      <xdr:col>2</xdr:col>
      <xdr:colOff>345831</xdr:colOff>
      <xdr:row>530</xdr:row>
      <xdr:rowOff>11723</xdr:rowOff>
    </xdr:from>
    <xdr:to>
      <xdr:col>2</xdr:col>
      <xdr:colOff>527389</xdr:colOff>
      <xdr:row>531</xdr:row>
      <xdr:rowOff>2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xmlns="" id="{A84F5AD6-277C-4BE0-B292-F9162AF551A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31402" t="6168" r="31402" b="6168"/>
        <a:stretch/>
      </xdr:blipFill>
      <xdr:spPr>
        <a:xfrm>
          <a:off x="2022231" y="84916108"/>
          <a:ext cx="181558" cy="427892"/>
        </a:xfrm>
        <a:prstGeom prst="rect">
          <a:avLst/>
        </a:prstGeom>
      </xdr:spPr>
    </xdr:pic>
    <xdr:clientData/>
  </xdr:twoCellAnchor>
  <xdr:twoCellAnchor editAs="oneCell">
    <xdr:from>
      <xdr:col>2</xdr:col>
      <xdr:colOff>166470</xdr:colOff>
      <xdr:row>531</xdr:row>
      <xdr:rowOff>7619</xdr:rowOff>
    </xdr:from>
    <xdr:to>
      <xdr:col>2</xdr:col>
      <xdr:colOff>350969</xdr:colOff>
      <xdr:row>532</xdr:row>
      <xdr:rowOff>3549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xmlns="" id="{518FEFB0-04E1-4AFC-A793-A1B8E76E481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31274" t="6018" r="31325" b="5995"/>
        <a:stretch/>
      </xdr:blipFill>
      <xdr:spPr>
        <a:xfrm>
          <a:off x="1842870" y="85351619"/>
          <a:ext cx="184499" cy="431996"/>
        </a:xfrm>
        <a:prstGeom prst="rect">
          <a:avLst/>
        </a:prstGeom>
      </xdr:spPr>
    </xdr:pic>
    <xdr:clientData/>
  </xdr:twoCellAnchor>
  <xdr:twoCellAnchor editAs="oneCell">
    <xdr:from>
      <xdr:col>2</xdr:col>
      <xdr:colOff>508195</xdr:colOff>
      <xdr:row>531</xdr:row>
      <xdr:rowOff>7619</xdr:rowOff>
    </xdr:from>
    <xdr:to>
      <xdr:col>2</xdr:col>
      <xdr:colOff>688850</xdr:colOff>
      <xdr:row>532</xdr:row>
      <xdr:rowOff>3549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xmlns="" id="{5E6E32D8-41B7-4697-98D9-802857BA2D5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31786" t="5507" r="31592" b="6658"/>
        <a:stretch/>
      </xdr:blipFill>
      <xdr:spPr>
        <a:xfrm>
          <a:off x="2184595" y="85351619"/>
          <a:ext cx="180655" cy="431996"/>
        </a:xfrm>
        <a:prstGeom prst="rect">
          <a:avLst/>
        </a:prstGeom>
      </xdr:spPr>
    </xdr:pic>
    <xdr:clientData/>
  </xdr:twoCellAnchor>
  <xdr:twoCellAnchor editAs="oneCell">
    <xdr:from>
      <xdr:col>2</xdr:col>
      <xdr:colOff>91109</xdr:colOff>
      <xdr:row>417</xdr:row>
      <xdr:rowOff>24846</xdr:rowOff>
    </xdr:from>
    <xdr:to>
      <xdr:col>2</xdr:col>
      <xdr:colOff>873814</xdr:colOff>
      <xdr:row>417</xdr:row>
      <xdr:rowOff>666746</xdr:rowOff>
    </xdr:to>
    <xdr:pic>
      <xdr:nvPicPr>
        <xdr:cNvPr id="205" name="Рисунок 204" descr="torec-chernyj-250x250.jpg"/>
        <xdr:cNvPicPr>
          <a:picLocks noChangeAspect="1"/>
        </xdr:cNvPicPr>
      </xdr:nvPicPr>
      <xdr:blipFill>
        <a:blip xmlns:r="http://schemas.openxmlformats.org/officeDocument/2006/relationships" r:embed="rId196" cstate="print"/>
        <a:srcRect t="17990"/>
        <a:stretch>
          <a:fillRect/>
        </a:stretch>
      </xdr:blipFill>
      <xdr:spPr>
        <a:xfrm>
          <a:off x="1722783" y="78154694"/>
          <a:ext cx="782705" cy="641900"/>
        </a:xfrm>
        <a:prstGeom prst="rect">
          <a:avLst/>
        </a:prstGeom>
      </xdr:spPr>
    </xdr:pic>
    <xdr:clientData/>
  </xdr:twoCellAnchor>
  <xdr:twoCellAnchor editAs="oneCell">
    <xdr:from>
      <xdr:col>2</xdr:col>
      <xdr:colOff>108587</xdr:colOff>
      <xdr:row>416</xdr:row>
      <xdr:rowOff>8283</xdr:rowOff>
    </xdr:from>
    <xdr:to>
      <xdr:col>2</xdr:col>
      <xdr:colOff>891292</xdr:colOff>
      <xdr:row>417</xdr:row>
      <xdr:rowOff>911</xdr:rowOff>
    </xdr:to>
    <xdr:pic>
      <xdr:nvPicPr>
        <xdr:cNvPr id="206" name="Рисунок 205" descr="torec-seryj-250x250.jpg"/>
        <xdr:cNvPicPr>
          <a:picLocks noChangeAspect="1"/>
        </xdr:cNvPicPr>
      </xdr:nvPicPr>
      <xdr:blipFill>
        <a:blip xmlns:r="http://schemas.openxmlformats.org/officeDocument/2006/relationships" r:embed="rId197" cstate="print"/>
        <a:srcRect t="15756"/>
        <a:stretch>
          <a:fillRect/>
        </a:stretch>
      </xdr:blipFill>
      <xdr:spPr>
        <a:xfrm>
          <a:off x="1740261" y="77467240"/>
          <a:ext cx="782705" cy="65937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1</xdr:row>
      <xdr:rowOff>0</xdr:rowOff>
    </xdr:from>
    <xdr:to>
      <xdr:col>2</xdr:col>
      <xdr:colOff>352425</xdr:colOff>
      <xdr:row>3</xdr:row>
      <xdr:rowOff>104775</xdr:rowOff>
    </xdr:to>
    <xdr:pic>
      <xdr:nvPicPr>
        <xdr:cNvPr id="3744" name="Picture 383" descr="123">
          <a:extLst>
            <a:ext uri="{FF2B5EF4-FFF2-40B4-BE49-F238E27FC236}">
              <a16:creationId xmlns:a16="http://schemas.microsoft.com/office/drawing/2014/main" xmlns="" id="{00000000-0008-0000-0200-0000A0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t="6827"/>
        <a:stretch>
          <a:fillRect/>
        </a:stretch>
      </xdr:blipFill>
      <xdr:spPr bwMode="auto">
        <a:xfrm>
          <a:off x="85725" y="161925"/>
          <a:ext cx="1514475" cy="428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Лист1">
    <tabColor indexed="11"/>
  </sheetPr>
  <dimension ref="A1:I56"/>
  <sheetViews>
    <sheetView showGridLines="0" workbookViewId="0">
      <selection activeCell="K18" sqref="K18"/>
    </sheetView>
  </sheetViews>
  <sheetFormatPr defaultColWidth="9.140625" defaultRowHeight="11.25"/>
  <cols>
    <col min="1" max="1" width="2.5703125" style="71" customWidth="1"/>
    <col min="2" max="2" width="5.140625" style="71" customWidth="1"/>
    <col min="3" max="3" width="41.28515625" style="71" bestFit="1" customWidth="1"/>
    <col min="4" max="4" width="9.140625" style="71"/>
    <col min="5" max="5" width="10.28515625" style="71" customWidth="1"/>
    <col min="6" max="8" width="9.140625" style="71"/>
    <col min="9" max="9" width="0" style="71" hidden="1" customWidth="1"/>
    <col min="10" max="16384" width="9.140625" style="71"/>
  </cols>
  <sheetData>
    <row r="1" spans="2:9" ht="5.0999999999999996" customHeight="1"/>
    <row r="2" spans="2:9">
      <c r="B2" s="512" t="str">
        <f>IF($E$4="ENG","VERSION: 60.00.25","ВЕРСІЯ: 60.00.25")</f>
        <v>ВЕРСІЯ: 60.00.25</v>
      </c>
      <c r="C2" s="512"/>
      <c r="D2" s="82" t="str">
        <f>IF($E$4="ENG","valid from: 28 July2025","діє з: 28 липня 2025 р.")</f>
        <v>діє з: 28 липня 2025 р.</v>
      </c>
      <c r="I2" s="203" t="s">
        <v>66</v>
      </c>
    </row>
    <row r="3" spans="2:9">
      <c r="I3" s="203" t="s">
        <v>6</v>
      </c>
    </row>
    <row r="4" spans="2:9">
      <c r="D4" s="202" t="str">
        <f>IF(E4="ENG","choose language:","оберіть мову:")</f>
        <v>оберіть мову:</v>
      </c>
      <c r="E4" s="205" t="s">
        <v>66</v>
      </c>
    </row>
    <row r="6" spans="2:9" ht="5.0999999999999996" customHeight="1"/>
    <row r="7" spans="2:9" ht="12.75">
      <c r="B7" s="72" t="str">
        <f>IF($E$4="ENG","INTERIOR DOOR LEAFS","ДВЕРІ МІЖКІМНАТНІ ЛАМІНОВАНІ")</f>
        <v>ДВЕРІ МІЖКІМНАТНІ ЛАМІНОВАНІ</v>
      </c>
    </row>
    <row r="8" spans="2:9">
      <c r="C8" s="73" t="str">
        <f>IF($E$4="ENG","Door leafs: STANDARD","Полотна каркасно-щитові: СТАНДАРТ")</f>
        <v>Полотна каркасно-щитові: СТАНДАРТ</v>
      </c>
      <c r="D8" s="74"/>
      <c r="E8" s="75"/>
    </row>
    <row r="9" spans="2:9">
      <c r="C9" s="76" t="str">
        <f>IF($E$4="ENG","Door leafs: KUPAVA","Полотна каркасно-щитові: КУПАВА")</f>
        <v>Полотна каркасно-щитові: КУПАВА</v>
      </c>
      <c r="D9" s="77"/>
      <c r="E9" s="78"/>
    </row>
    <row r="10" spans="2:9">
      <c r="C10" s="76" t="str">
        <f>IF($E$4="ENG","Door leafs: GEOMETRY","Полотна каркасно-щитові: ГЕОМЕТРІЯ")</f>
        <v>Полотна каркасно-щитові: ГЕОМЕТРІЯ</v>
      </c>
      <c r="D10" s="77"/>
      <c r="E10" s="78"/>
    </row>
    <row r="11" spans="2:9">
      <c r="C11" s="76" t="str">
        <f>IF($E$4="ENG","Door leafs: IDEA","Полотна каркасно-щитові: ІДЕЯ")</f>
        <v>Полотна каркасно-щитові: ІДЕЯ</v>
      </c>
      <c r="D11" s="110"/>
      <c r="E11" s="78"/>
    </row>
    <row r="12" spans="2:9">
      <c r="C12" s="76" t="str">
        <f>IF($E$4="ENG","Door leafs: IDEA-LOFT","Полотна каркасно-щитові: ІДЕЯ-ЛОФТ")</f>
        <v>Полотна каркасно-щитові: ІДЕЯ-ЛОФТ</v>
      </c>
      <c r="D12" s="110"/>
      <c r="E12" s="321"/>
    </row>
    <row r="13" spans="2:9">
      <c r="C13" s="76" t="str">
        <f>IF($E$4="ENG","Door leafs: IDEA-ALUM","Полотна каркасно-щитові: ІДЕЯ-АЛЮМ")</f>
        <v>Полотна каркасно-щитові: ІДЕЯ-АЛЮМ</v>
      </c>
      <c r="D13" s="110"/>
      <c r="E13" s="321"/>
    </row>
    <row r="14" spans="2:9">
      <c r="C14" s="76" t="str">
        <f>IF($E$4="ENG","Wooden Door leafs:Classic","Полотна збірні: КЛАСІК")</f>
        <v>Полотна збірні: КЛАСІК</v>
      </c>
      <c r="D14" s="110"/>
      <c r="E14" s="321"/>
    </row>
    <row r="15" spans="2:9">
      <c r="C15" s="76" t="str">
        <f>IF($E$4="ENG","Wooden Door leafs:Provence","Полотна збірні: ПРОВАНС")</f>
        <v>Полотна збірні: ПРОВАНС</v>
      </c>
      <c r="D15" s="110"/>
      <c r="E15" s="321"/>
    </row>
    <row r="16" spans="2:9">
      <c r="C16" s="76" t="str">
        <f>IF($E$4="ENG","Wooden Door leafs: LADA A","Полотна збірні: ЛАДА A")</f>
        <v>Полотна збірні: ЛАДА A</v>
      </c>
      <c r="D16" s="110"/>
      <c r="E16" s="321"/>
    </row>
    <row r="17" spans="1:9">
      <c r="C17" s="76" t="str">
        <f>IF($E$4="ENG","Wooden Door leafs: LADA B","Полотна збірні: ЛАДА B")</f>
        <v>Полотна збірні: ЛАДА B</v>
      </c>
      <c r="D17" s="110"/>
      <c r="E17" s="321"/>
    </row>
    <row r="18" spans="1:9">
      <c r="C18" s="76" t="str">
        <f>IF($E$4="ENG","Wooden Door leafs: LADA C","Полотна збірні: ЛАДА C")</f>
        <v>Полотна збірні: ЛАДА C</v>
      </c>
      <c r="D18" s="110"/>
      <c r="E18" s="321"/>
    </row>
    <row r="19" spans="1:9">
      <c r="C19" s="76" t="str">
        <f>IF($E$4="ENG","Wooden Door leafs: LADA D","Полотна збірні: ЛАДА D")</f>
        <v>Полотна збірні: ЛАДА D</v>
      </c>
      <c r="D19" s="110"/>
      <c r="E19" s="321"/>
    </row>
    <row r="20" spans="1:9">
      <c r="C20" s="76" t="str">
        <f>IF($E$4="ENG","Wooden Door leafs: NIKA","Полотна збірні: НІКА")</f>
        <v>Полотна збірні: НІКА</v>
      </c>
      <c r="D20" s="110"/>
      <c r="E20" s="321"/>
    </row>
    <row r="21" spans="1:9">
      <c r="C21" s="76" t="str">
        <f>IF($E$4="ENG","Wooden Door leafs: LISA","Полотна збірні: ЛІСА")</f>
        <v>Полотна збірні: ЛІСА</v>
      </c>
      <c r="D21" s="110"/>
      <c r="E21" s="321"/>
    </row>
    <row r="22" spans="1:9">
      <c r="C22" s="76" t="str">
        <f>IF($E$4="ENG","Wooden Door leafs: LADA-CONCEPT","Полотна збірні: ЛАДА-КОНЦЕПТ")</f>
        <v>Полотна збірні: ЛАДА-КОНЦЕПТ</v>
      </c>
      <c r="D22" s="110"/>
      <c r="E22" s="78"/>
    </row>
    <row r="23" spans="1:9">
      <c r="A23" s="79"/>
      <c r="B23" s="79"/>
      <c r="C23" s="76" t="str">
        <f>IF($E$4="ENG","Wooden Door leafs: LADA-NOVA","Полотна збірні: ЛАДА-НОВА")</f>
        <v>Полотна збірні: ЛАДА-НОВА</v>
      </c>
      <c r="D23" s="110"/>
      <c r="E23" s="78"/>
    </row>
    <row r="24" spans="1:9">
      <c r="C24" s="76" t="str">
        <f>IF($E$4="ENG","Wooden Door leafs: MIRA","Полотна збірні: МІРА")</f>
        <v>Полотна збірні: МІРА</v>
      </c>
      <c r="D24" s="110"/>
      <c r="E24" s="321"/>
    </row>
    <row r="25" spans="1:9">
      <c r="B25" s="112"/>
      <c r="C25" s="76" t="str">
        <f>IF($E$4="ENG","Wooden Door leafs: LADA-LOFT","Полотна збірні: ЛАДА-ЛОФТ")</f>
        <v>Полотна збірні: ЛАДА-ЛОФТ</v>
      </c>
      <c r="D25" s="110"/>
      <c r="E25" s="78"/>
    </row>
    <row r="26" spans="1:9">
      <c r="C26" s="76" t="str">
        <f>IF($E$4="ENG","Door Wooden Door leafs: LINDA","Полотна збірні: ЛІНДА")</f>
        <v>Полотна збірні: ЛІНДА</v>
      </c>
      <c r="D26" s="110"/>
      <c r="E26" s="321"/>
    </row>
    <row r="27" spans="1:9">
      <c r="C27" s="76" t="str">
        <f>IF($E$4="ENG","Wooden Door leafs: TIANA","Полотна збірні: ТІАНА")</f>
        <v>Полотна збірні: ТІАНА</v>
      </c>
      <c r="D27" s="110"/>
      <c r="E27" s="321"/>
    </row>
    <row r="28" spans="1:9">
      <c r="C28" s="76" t="str">
        <f>IF($E$4="ENG","Wooden Door leafs: EVA","Полотна збірні: ЄВА")</f>
        <v>Полотна збірні: ЄВА</v>
      </c>
      <c r="D28" s="110"/>
      <c r="E28" s="321"/>
    </row>
    <row r="29" spans="1:9">
      <c r="C29" s="76" t="str">
        <f>IF($E$4="ENG","Wooden Door leafs: TREND","Полотна збірні: ТРЕНД")</f>
        <v>Полотна збірні: ТРЕНД</v>
      </c>
      <c r="D29" s="110"/>
      <c r="E29" s="78"/>
    </row>
    <row r="30" spans="1:9">
      <c r="C30" s="76" t="str">
        <f>IF($E$4="ENG","Wooden Door leafs: MODERN","Полотна збірні: МОДЕРН")</f>
        <v>Полотна збірні: МОДЕРН</v>
      </c>
      <c r="D30" s="110"/>
      <c r="E30" s="78"/>
      <c r="I30" s="80"/>
    </row>
    <row r="31" spans="1:9">
      <c r="C31" s="76" t="str">
        <f>IF($E$4="ENG","Wooden Door leafs: POLLO","Полотна збірні: ПОЛО")</f>
        <v>Полотна збірні: ПОЛО</v>
      </c>
      <c r="D31" s="110"/>
      <c r="E31" s="78"/>
    </row>
    <row r="32" spans="1:9">
      <c r="C32" s="76" t="str">
        <f>IF($E$4="ENG","Glass Door leafs: LINEYA","Полотна скляні: ЛІНЕЯ")</f>
        <v>Полотна скляні: ЛІНЕЯ</v>
      </c>
      <c r="D32" s="77"/>
      <c r="E32" s="78"/>
    </row>
    <row r="33" spans="2:7">
      <c r="C33" s="76" t="str">
        <f>IF($E$4="ENG","Glass Door leafs: LINE","Полотна скляні: ЛАЙН")</f>
        <v>Полотна скляні: ЛАЙН</v>
      </c>
      <c r="D33" s="110"/>
      <c r="E33" s="78"/>
    </row>
    <row r="34" spans="2:7">
      <c r="C34" s="76" t="str">
        <f>IF($E$4="ENG","Glass Door leafs: ELEGANT","Полотна скляні: ЕЛЕГАНТ")</f>
        <v>Полотна скляні: ЕЛЕГАНТ</v>
      </c>
      <c r="D34" s="110"/>
      <c r="E34" s="78"/>
    </row>
    <row r="35" spans="2:7">
      <c r="C35" s="76" t="str">
        <f>IF($E$4="ENG","Glass Door leafs: GLASSFORD","Полотна скляні: ГЛАСФОРД")</f>
        <v>Полотна скляні: ГЛАСФОРД</v>
      </c>
      <c r="D35" s="77"/>
      <c r="E35" s="78"/>
      <c r="G35" s="204"/>
    </row>
    <row r="36" spans="2:7">
      <c r="C36" s="76" t="str">
        <f>IF($E$4="ENG","Side Panel LADA","Полотна: ДОБОР LADA")</f>
        <v>Полотна: ДОБОР LADA</v>
      </c>
      <c r="D36" s="77"/>
      <c r="E36" s="321"/>
    </row>
    <row r="37" spans="2:7">
      <c r="C37" s="76" t="str">
        <f>IF($E$4="ENG","Side Panels","Полотна: ДОБОРИ")</f>
        <v>Полотна: ДОБОРИ</v>
      </c>
      <c r="D37" s="77"/>
      <c r="E37" s="78"/>
    </row>
    <row r="39" spans="2:7" ht="12.75">
      <c r="B39" s="72" t="str">
        <f>IF($E$4="ENG","DOOR SLIDING SYSTEMS","РОЗСУВНІ СИСТЕМИ")</f>
        <v>РОЗСУВНІ СИСТЕМИ</v>
      </c>
      <c r="G39" s="204"/>
    </row>
    <row r="40" spans="2:7">
      <c r="C40" s="73" t="str">
        <f>IF($E$4="ENG","Sliding System Verto-SLIDE","Розсувна система Verto-SLIDE")</f>
        <v>Розсувна система Verto-SLIDE</v>
      </c>
      <c r="D40" s="111"/>
      <c r="E40" s="75"/>
    </row>
    <row r="42" spans="2:7" ht="12.75">
      <c r="B42" s="72" t="str">
        <f>IF($E$4="ENG","DOOR FRAMES, TRANSOMS AND PLINTHS","ДВЕРНІ КОРОБКИ, ФРАМУГИ ТА ПЛІНТУСИ")</f>
        <v>ДВЕРНІ КОРОБКИ, ФРАМУГИ ТА ПЛІНТУСИ</v>
      </c>
    </row>
    <row r="43" spans="2:7">
      <c r="C43" s="88" t="str">
        <f>IF($E$4="ENG","Door Frame: STANDART","Дверна коробка STANDARD")</f>
        <v>Дверна коробка STANDARD</v>
      </c>
      <c r="D43" s="111"/>
      <c r="E43" s="75"/>
    </row>
    <row r="44" spans="2:7" hidden="1">
      <c r="C44" s="73" t="str">
        <f>IF($E$4="ENG","Door Frame: STANDART","Дверна коробка STANDARD - Алюм")</f>
        <v>Дверна коробка STANDARD - Алюм</v>
      </c>
      <c r="D44" s="111"/>
      <c r="E44" s="75"/>
    </row>
    <row r="45" spans="2:7">
      <c r="C45" s="76" t="str">
        <f>IF($E$4="ENG","Door Frame: Verto-FIT","Дверна коробка Verto-FIT")</f>
        <v>Дверна коробка Verto-FIT</v>
      </c>
      <c r="D45" s="111"/>
      <c r="E45" s="78"/>
    </row>
    <row r="46" spans="2:7">
      <c r="C46" s="76" t="str">
        <f>IF($E$4="ENG","Door Frame: Verto-FIT Plus","Дверна коробка Verto-FIT Plus")</f>
        <v>Дверна коробка Verto-FIT Plus</v>
      </c>
      <c r="D46" s="111"/>
      <c r="E46" s="78"/>
    </row>
    <row r="47" spans="2:7">
      <c r="C47" s="76" t="str">
        <f>IF($E$4="ENG","Door Frame: Verto-FIT Comfort","Дверна коробка Verto-FIT Comfort")</f>
        <v>Дверна коробка Verto-FIT Comfort</v>
      </c>
      <c r="D47" s="111"/>
      <c r="E47" s="78"/>
      <c r="G47" s="204"/>
    </row>
    <row r="48" spans="2:7">
      <c r="C48" s="76" t="str">
        <f>IF($E$4="ENG","Door Frame: Verto-FIT Comfort Inside","Дверна коробка Verto-FIT Comfort Inside")</f>
        <v>Дверна коробка Verto-FIT Comfort Inside</v>
      </c>
      <c r="D48" s="111"/>
      <c r="E48" s="78"/>
      <c r="G48" s="204"/>
    </row>
    <row r="49" spans="2:5">
      <c r="C49" s="76" t="str">
        <f>IF($E$4="ENG","Plinths","Плінтуси")</f>
        <v>Плінтуси</v>
      </c>
      <c r="D49" s="111"/>
      <c r="E49" s="78"/>
    </row>
    <row r="50" spans="2:5">
      <c r="C50" s="76" t="str">
        <f>IF($E$4="ENG","Transoms","Фрамуги")</f>
        <v>Фрамуги</v>
      </c>
      <c r="D50" s="111"/>
      <c r="E50" s="78"/>
    </row>
    <row r="52" spans="2:5" ht="12.75">
      <c r="B52" s="72" t="str">
        <f>IF($E$4="ENG","OTHER DOOR ACCESSORIES","ІНШІ АКСЕСУАРИ")</f>
        <v>ІНШІ АКСЕСУАРИ</v>
      </c>
    </row>
    <row r="53" spans="2:5" ht="12.75">
      <c r="B53" s="72"/>
      <c r="C53" s="182" t="str">
        <f>IF($E$4="ENG","Door handles","Дверні Ручки")</f>
        <v>Дверні Ручки</v>
      </c>
      <c r="D53" s="74"/>
      <c r="E53" s="75"/>
    </row>
    <row r="54" spans="2:5">
      <c r="B54" s="112"/>
      <c r="C54" s="88" t="str">
        <f>IF($E$4="ENG","Other door accessories","Інші Аксесуари")</f>
        <v>Інші Аксесуари</v>
      </c>
      <c r="D54" s="74"/>
      <c r="E54" s="75"/>
    </row>
    <row r="55" spans="2:5">
      <c r="C55" s="81"/>
    </row>
    <row r="56" spans="2:5">
      <c r="C56" s="81"/>
    </row>
  </sheetData>
  <sheetProtection password="D276" sheet="1" objects="1" scenarios="1"/>
  <mergeCells count="1">
    <mergeCell ref="B2:C2"/>
  </mergeCells>
  <phoneticPr fontId="5" type="noConversion"/>
  <dataValidations count="1">
    <dataValidation type="list" allowBlank="1" showInputMessage="1" showErrorMessage="1" sqref="E4">
      <formula1>$I$2:$I$3</formula1>
    </dataValidation>
  </dataValidations>
  <hyperlinks>
    <hyperlink ref="C8" location="Door_Standard" display="Полотна гладкие: СТАНДАРТ"/>
    <hyperlink ref="C9" location="Door_Kupava" display="Полотна гладкие: КУПАВА"/>
    <hyperlink ref="C10" location="Door_Geometry" display="Полотна гладкие: ГЕОМЕТРИЯ"/>
    <hyperlink ref="C11" location="Door_Idea" display="Полотна гладкие: ИДЕЯ"/>
    <hyperlink ref="C16" location="Door_LadaA" display="Door_LadaA"/>
    <hyperlink ref="C22" location="Door_LadaK" display="Полотна сборные: ЛАДА-КОНЦЕПТ"/>
    <hyperlink ref="C32" location="Door_Lineya" display="Полотна стеклянные: ЛИНЕЯ"/>
    <hyperlink ref="C33" location="Door_Line" display="Полотна стеклянные: ЛАЙН"/>
    <hyperlink ref="C34" location="Door_Elegant" display="Полотна стеклянные: ЭЛЕГАНТ"/>
    <hyperlink ref="C35" location="Door_Glasford" display="Полотна стеклянные: ГЛАСФОРД"/>
    <hyperlink ref="C43" location="Frame_Stand" display="Дверная коробка STANDART"/>
    <hyperlink ref="C45" location="Frame_VFit" display="Дверная коробка Verto-FIT"/>
    <hyperlink ref="C50" location="Framugi" display="Фрамуги"/>
    <hyperlink ref="C54" location="Furniture" display="Фурнитура"/>
    <hyperlink ref="C36" location="Door_Dobor_Lada" display="Door_Dobor_Lada"/>
    <hyperlink ref="C40" location="Verto_Slide" display="Раздвижная система Verto-SLIDE"/>
    <hyperlink ref="C53" location="DoorHandles" display="Дверные Ручки и Комплектующие"/>
    <hyperlink ref="C46" location="Frame_VFitPlus" display="Frame_VFitPlus"/>
    <hyperlink ref="C47" location="Frame_VFitComfort" display="Frame_VFitComfort"/>
    <hyperlink ref="C23" location="Door_LadaN" display="Полотна сборные: ЛАДА-НОВА"/>
    <hyperlink ref="C25" location="Door_LadaL" display="Door_LadaL"/>
    <hyperlink ref="C29" location="Door_Trend" display="Door_Trend"/>
    <hyperlink ref="C30" location="Door_Modern" display="Door_Modern"/>
    <hyperlink ref="C49" location="Plinths" display="Plinths"/>
    <hyperlink ref="C17:C19" location="Door_Lada" display="Полотна сборные: ЛАДА"/>
    <hyperlink ref="C20" location="Door_Nika" display="Door_Nika"/>
    <hyperlink ref="C21" location="Door_Lisa" display="Door_Lisa"/>
    <hyperlink ref="C24" location="Door_Mira" display="Door_Mira"/>
    <hyperlink ref="C31" location="Door_Pollo" display="Door_Pollo"/>
    <hyperlink ref="C26" location="Door_Linda" display="Door_Linda"/>
    <hyperlink ref="C27" location="Door_Tiana" display="Door_Tiana"/>
    <hyperlink ref="C28" location="Door_Eva" display="Door_Eva"/>
    <hyperlink ref="C17" location="Door_LadaB" display="Door_LadaB"/>
    <hyperlink ref="C18" location="Door_LadaC" display="Door_LadaC"/>
    <hyperlink ref="C19" location="Door_LadaD" display="Door_LadaD"/>
    <hyperlink ref="C37" location="Door_Dobor" display="Полотна: ДОБОРЫ"/>
    <hyperlink ref="C12" location="Door_IdeaLoft" display="Door_IdeaLoft"/>
    <hyperlink ref="C14" location="Полотна_збірні__КЛАСІК" display="Полотна_збірні__КЛАСІК"/>
    <hyperlink ref="C48" location="Inside" display="Inside"/>
    <hyperlink ref="C15" location="Products!Прованс" display="Products!Прованс"/>
    <hyperlink ref="C13" location="ІДЕЯ_АЛЮМ" display="ІДЕЯ_АЛЮМ"/>
    <hyperlink ref="C44" location="Дверна_коробка_STANDARD___Алюм" display="Дверна_коробка_STANDARD___Алюм"/>
  </hyperlinks>
  <pageMargins left="0.37" right="0.41" top="0.49" bottom="0.49" header="0.5" footer="0.5"/>
  <pageSetup paperSize="9" scale="120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 codeName="Лист2">
    <tabColor indexed="13"/>
  </sheetPr>
  <dimension ref="A1:BF2807"/>
  <sheetViews>
    <sheetView showGridLines="0" tabSelected="1" zoomScaleNormal="100" workbookViewId="0">
      <selection activeCell="C40" sqref="C40"/>
    </sheetView>
  </sheetViews>
  <sheetFormatPr defaultColWidth="9.140625" defaultRowHeight="12.75"/>
  <cols>
    <col min="1" max="1" width="1" style="1" customWidth="1"/>
    <col min="2" max="2" width="23.42578125" style="1" customWidth="1"/>
    <col min="3" max="3" width="14" style="246" customWidth="1"/>
    <col min="4" max="4" width="6.7109375" style="1" hidden="1" customWidth="1"/>
    <col min="5" max="5" width="15.5703125" style="1" customWidth="1"/>
    <col min="6" max="6" width="6.7109375" style="1" hidden="1" customWidth="1"/>
    <col min="7" max="7" width="15.5703125" style="1" customWidth="1"/>
    <col min="8" max="8" width="6.7109375" style="1" hidden="1" customWidth="1"/>
    <col min="9" max="9" width="15.5703125" style="1" customWidth="1"/>
    <col min="10" max="10" width="6.7109375" style="1" hidden="1" customWidth="1"/>
    <col min="11" max="11" width="15.5703125" style="1" customWidth="1"/>
    <col min="12" max="12" width="6.7109375" style="1" hidden="1" customWidth="1"/>
    <col min="13" max="13" width="15.5703125" style="1" customWidth="1"/>
    <col min="14" max="14" width="6.7109375" style="1" hidden="1" customWidth="1"/>
    <col min="15" max="15" width="15.5703125" style="1" customWidth="1"/>
    <col min="16" max="16" width="6.7109375" style="1" hidden="1" customWidth="1"/>
    <col min="17" max="17" width="15.5703125" style="1" customWidth="1"/>
    <col min="18" max="18" width="6.7109375" style="1" hidden="1" customWidth="1"/>
    <col min="19" max="19" width="15.5703125" style="1" customWidth="1"/>
    <col min="20" max="20" width="6.7109375" style="1" hidden="1" customWidth="1"/>
    <col min="21" max="21" width="15.5703125" style="1" customWidth="1"/>
    <col min="22" max="22" width="6.7109375" style="1" hidden="1" customWidth="1"/>
    <col min="23" max="23" width="15.5703125" style="1" customWidth="1"/>
    <col min="24" max="25" width="10.7109375" style="1" customWidth="1"/>
    <col min="26" max="28" width="10.7109375" style="1" hidden="1" customWidth="1"/>
    <col min="29" max="39" width="9.140625" style="1" hidden="1" customWidth="1"/>
    <col min="40" max="40" width="9.28515625" style="30" hidden="1" customWidth="1"/>
    <col min="41" max="46" width="9.140625" style="30" hidden="1" customWidth="1"/>
    <col min="47" max="48" width="9.140625" style="1" hidden="1" customWidth="1"/>
    <col min="49" max="73" width="9.140625" style="1" customWidth="1"/>
    <col min="74" max="16384" width="9.140625" style="1"/>
  </cols>
  <sheetData>
    <row r="1" spans="1:46" ht="12.75" customHeight="1">
      <c r="B1" s="113" t="str">
        <f>TITLE!B2</f>
        <v>ВЕРСІЯ: 60.00.25</v>
      </c>
      <c r="C1" s="245" t="str">
        <f>TITLE!E4</f>
        <v>UA</v>
      </c>
      <c r="E1" s="559" t="str">
        <f>IF($C$1="ENG","51400, Pavlograd town, 9 Teroshkina Str, tel. (0563) 20 93 80","51400, м. Павлоград, вул. Терьошкіна, 9, тел. (0563) 20 93 80")</f>
        <v>51400, м. Павлоград, вул. Терьошкіна, 9, тел. (0563) 20 93 80</v>
      </c>
      <c r="F1" s="559"/>
      <c r="G1" s="559"/>
      <c r="H1" s="559"/>
      <c r="I1" s="559"/>
      <c r="J1" s="559"/>
      <c r="K1" s="559"/>
      <c r="N1" s="91"/>
      <c r="O1" s="91"/>
      <c r="R1" s="91"/>
      <c r="S1" s="91"/>
      <c r="V1" s="89"/>
      <c r="W1" s="90"/>
      <c r="AC1" s="286"/>
    </row>
    <row r="2" spans="1:46">
      <c r="E2" s="560" t="str">
        <f>IF($C$1="ENG","e-mail: info@verto-doors.com, web-site: www.verto-doors.com","e-mail: info@verto-doors.com, web-site: www.verto-doors.com")</f>
        <v>e-mail: info@verto-doors.com, web-site: www.verto-doors.com</v>
      </c>
      <c r="F2" s="560"/>
      <c r="G2" s="560"/>
      <c r="H2" s="560"/>
      <c r="I2" s="560"/>
      <c r="J2" s="560"/>
      <c r="K2" s="560"/>
      <c r="U2" s="207" t="str">
        <f>IF($C$1="ENG","discount","знижка")</f>
        <v>знижка</v>
      </c>
      <c r="W2" s="70">
        <v>0</v>
      </c>
      <c r="AC2" s="287">
        <v>0.2</v>
      </c>
    </row>
    <row r="3" spans="1:46" ht="5.0999999999999996" customHeight="1">
      <c r="E3" s="8"/>
      <c r="H3" s="2"/>
      <c r="J3" s="3"/>
      <c r="K3" s="4"/>
      <c r="V3" s="89"/>
      <c r="AC3" s="288">
        <v>0</v>
      </c>
    </row>
    <row r="4" spans="1:46" ht="12.75" customHeight="1">
      <c r="E4" s="561" t="str">
        <f>IF($C$1="ENG","RETAIL PRICES FOR VERTO PRODUCTS","РОЗДРІБНІ ЦІНИ НА ПРОДУКЦІЮ ТМ VERTO")</f>
        <v>РОЗДРІБНІ ЦІНИ НА ПРОДУКЦІЮ ТМ VERTO</v>
      </c>
      <c r="F4" s="561"/>
      <c r="G4" s="561"/>
      <c r="H4" s="561"/>
      <c r="I4" s="561"/>
      <c r="U4" s="207" t="str">
        <f>IF($C$1="ENG","exchange rate (for 1 UAH)","курс валют (за 1 грн.)")</f>
        <v>курс валют (за 1 грн.)</v>
      </c>
      <c r="W4" s="208">
        <v>1</v>
      </c>
      <c r="AC4" s="286"/>
    </row>
    <row r="5" spans="1:46">
      <c r="C5" s="245"/>
      <c r="D5" s="5"/>
      <c r="E5" s="206" t="str">
        <f>TITLE!D2</f>
        <v>діє з: 28 липня 2025 р.</v>
      </c>
      <c r="F5" s="5"/>
      <c r="G5" s="5"/>
      <c r="U5" s="209" t="str">
        <f>IF($C$1="ENG","VAT","ПДВ")</f>
        <v>ПДВ</v>
      </c>
      <c r="V5" s="210"/>
      <c r="W5" s="211">
        <v>0.2</v>
      </c>
      <c r="AC5" s="286"/>
    </row>
    <row r="6" spans="1:46" ht="5.0999999999999996" customHeight="1">
      <c r="C6" s="245"/>
      <c r="D6" s="5"/>
      <c r="E6" s="5"/>
      <c r="F6" s="5"/>
      <c r="G6" s="5"/>
      <c r="AC6" s="286"/>
    </row>
    <row r="7" spans="1:46" ht="12.75" customHeight="1">
      <c r="B7" s="557" t="str">
        <f>IF($C$1="ENG","TO MAIN PAGE","НА ГОЛОВНУ")</f>
        <v>НА ГОЛОВНУ</v>
      </c>
      <c r="C7" s="558"/>
      <c r="D7" s="534" t="str">
        <f>IF($C$1="ENG","Price","Ціна")</f>
        <v>Ціна</v>
      </c>
      <c r="E7" s="535"/>
      <c r="F7" s="534" t="str">
        <f>IF($C$1="ENG","Price","Ціна")</f>
        <v>Ціна</v>
      </c>
      <c r="G7" s="535"/>
      <c r="H7" s="534" t="str">
        <f>IF($C$1="ENG","Price","Ціна")</f>
        <v>Ціна</v>
      </c>
      <c r="I7" s="535"/>
      <c r="J7" s="534" t="str">
        <f>IF($C$1="ENG","Price","Ціна")</f>
        <v>Ціна</v>
      </c>
      <c r="K7" s="535"/>
      <c r="L7" s="534" t="str">
        <f>IF($C$1="ENG","Price","Ціна")</f>
        <v>Ціна</v>
      </c>
      <c r="M7" s="535"/>
      <c r="N7" s="534" t="str">
        <f>IF($C$1="ENG","Price","Ціна")</f>
        <v>Ціна</v>
      </c>
      <c r="O7" s="535"/>
      <c r="P7" s="534" t="str">
        <f>IF($C$1="ENG","Price","Ціна")</f>
        <v>Ціна</v>
      </c>
      <c r="Q7" s="535"/>
      <c r="R7" s="534" t="str">
        <f>IF($C$1="ENG","Price","Ціна")</f>
        <v>Ціна</v>
      </c>
      <c r="S7" s="535"/>
      <c r="T7" s="534" t="str">
        <f>IF($C$1="ENG","Price","Ціна")</f>
        <v>Ціна</v>
      </c>
      <c r="U7" s="535"/>
      <c r="V7" s="534" t="str">
        <f>IF($C$1="ENG","Price","Ціна")</f>
        <v>Ціна</v>
      </c>
      <c r="W7" s="535"/>
      <c r="AC7" s="286" t="s">
        <v>57</v>
      </c>
      <c r="AD7" s="286" t="s">
        <v>58</v>
      </c>
      <c r="AE7" s="286" t="s">
        <v>59</v>
      </c>
      <c r="AF7" s="286" t="s">
        <v>60</v>
      </c>
      <c r="AG7" s="286" t="s">
        <v>61</v>
      </c>
      <c r="AH7" s="286" t="s">
        <v>62</v>
      </c>
      <c r="AI7" s="286" t="s">
        <v>63</v>
      </c>
      <c r="AJ7" s="286" t="s">
        <v>64</v>
      </c>
      <c r="AK7" s="286" t="s">
        <v>68</v>
      </c>
      <c r="AL7" s="286" t="s">
        <v>69</v>
      </c>
    </row>
    <row r="8" spans="1:46">
      <c r="B8" s="555" t="str">
        <f>IF($C$1="ENG","Products","Асортимент")</f>
        <v>Асортимент</v>
      </c>
      <c r="C8" s="556"/>
      <c r="D8" s="6" t="s">
        <v>65</v>
      </c>
      <c r="E8" s="7" t="str">
        <f>IF($C$1="ENG",IF($W$5=0.2,"with VAT","no VAT"),IF($W$5=0.2,"з ПДВ","без ПДВ"))</f>
        <v>з ПДВ</v>
      </c>
      <c r="F8" s="6" t="s">
        <v>65</v>
      </c>
      <c r="G8" s="7" t="str">
        <f>IF($C$1="ENG",IF($W$5=0.2,"with VAT","no VAT"),IF($W$5=0.2,"з ПДВ","без ПДВ"))</f>
        <v>з ПДВ</v>
      </c>
      <c r="H8" s="6" t="s">
        <v>65</v>
      </c>
      <c r="I8" s="7" t="str">
        <f>IF($C$1="ENG",IF($W$5=0.2,"with VAT","no VAT"),IF($W$5=0.2,"з ПДВ","без ПДВ"))</f>
        <v>з ПДВ</v>
      </c>
      <c r="J8" s="6" t="s">
        <v>65</v>
      </c>
      <c r="K8" s="7" t="str">
        <f>IF($C$1="ENG",IF($W$5=0.2,"with VAT","no VAT"),IF($W$5=0.2,"з ПДВ","без ПДВ"))</f>
        <v>з ПДВ</v>
      </c>
      <c r="L8" s="6" t="s">
        <v>65</v>
      </c>
      <c r="M8" s="7" t="str">
        <f>IF($C$1="ENG",IF($W$5=0.2,"with VAT","no VAT"),IF($W$5=0.2,"з ПДВ","без ПДВ"))</f>
        <v>з ПДВ</v>
      </c>
      <c r="N8" s="6" t="s">
        <v>65</v>
      </c>
      <c r="O8" s="7" t="str">
        <f>IF($C$1="ENG",IF($W$5=0.2,"with VAT","no VAT"),IF($W$5=0.2,"з ПДВ","без ПДВ"))</f>
        <v>з ПДВ</v>
      </c>
      <c r="P8" s="6" t="s">
        <v>65</v>
      </c>
      <c r="Q8" s="7" t="str">
        <f>IF($C$1="ENG",IF($W$5=0.2,"with VAT","no VAT"),IF($W$5=0.2,"з ПДВ","без ПДВ"))</f>
        <v>з ПДВ</v>
      </c>
      <c r="R8" s="6" t="s">
        <v>65</v>
      </c>
      <c r="S8" s="7" t="str">
        <f>IF($C$1="ENG",IF($W$5=0.2,"with VAT","no VAT"),IF($W$5=0.2,"з ПДВ","без ПДВ"))</f>
        <v>з ПДВ</v>
      </c>
      <c r="T8" s="6" t="s">
        <v>65</v>
      </c>
      <c r="U8" s="7" t="str">
        <f>IF($C$1="ENG",IF($W$5=0.2,"with VAT","no VAT"),IF($W$5=0.2,"з ПДВ","без ПДВ"))</f>
        <v>з ПДВ</v>
      </c>
      <c r="V8" s="6" t="s">
        <v>65</v>
      </c>
      <c r="W8" s="7" t="str">
        <f>IF($C$1="ENG",IF($W$5=0.2,"with VAT","no VAT"),IF($W$5=0.2,"з ПДВ","без ПДВ"))</f>
        <v>з ПДВ</v>
      </c>
      <c r="AC8" s="286"/>
      <c r="AD8" s="286"/>
      <c r="AE8" s="286"/>
      <c r="AF8" s="286"/>
      <c r="AG8" s="286"/>
      <c r="AH8" s="286"/>
      <c r="AI8" s="286"/>
      <c r="AJ8" s="286"/>
      <c r="AK8" s="286"/>
      <c r="AL8" s="286"/>
    </row>
    <row r="10" spans="1:46" s="8" customFormat="1">
      <c r="B10" s="518" t="str">
        <f>TITLE!$C$8</f>
        <v>Полотна каркасно-щитові: СТАНДАРТ</v>
      </c>
      <c r="C10" s="518"/>
      <c r="D10" s="542"/>
      <c r="E10" s="542"/>
      <c r="F10" s="118"/>
      <c r="G10" s="118"/>
      <c r="H10" s="118"/>
      <c r="I10" s="121"/>
      <c r="J10" s="121"/>
      <c r="K10" s="121"/>
      <c r="L10" s="121"/>
      <c r="M10" s="121"/>
      <c r="N10" s="121"/>
      <c r="O10" s="121"/>
      <c r="P10" s="121"/>
      <c r="Q10" s="121"/>
      <c r="R10" s="121"/>
      <c r="S10" s="121"/>
      <c r="T10" s="121"/>
      <c r="U10" s="121"/>
      <c r="V10" s="121"/>
      <c r="W10" s="121"/>
      <c r="AN10" s="280"/>
      <c r="AO10" s="280"/>
      <c r="AP10" s="280"/>
      <c r="AQ10" s="280"/>
      <c r="AR10" s="280"/>
      <c r="AS10" s="280"/>
      <c r="AT10" s="280"/>
    </row>
    <row r="11" spans="1:46" s="8" customFormat="1" ht="5.0999999999999996" customHeight="1">
      <c r="B11" s="117"/>
      <c r="C11" s="419"/>
      <c r="D11" s="10"/>
      <c r="E11" s="10"/>
      <c r="F11" s="10"/>
      <c r="G11" s="10"/>
      <c r="H11" s="10"/>
      <c r="AN11" s="280"/>
      <c r="AO11" s="280"/>
      <c r="AP11" s="280"/>
      <c r="AQ11" s="280"/>
      <c r="AR11" s="280"/>
      <c r="AS11" s="280"/>
      <c r="AT11" s="280"/>
    </row>
    <row r="12" spans="1:46" s="8" customFormat="1" ht="14.25" customHeight="1">
      <c r="B12" s="536" t="str">
        <f>IF($C$1="ENG","model","модель")</f>
        <v>модель</v>
      </c>
      <c r="C12" s="122" t="str">
        <f>IF($C$1="ENG","cover:","покриття:")</f>
        <v>покриття:</v>
      </c>
      <c r="D12" s="522" t="str">
        <f>IF($C$1="ENG","SIMPL / V-CELL","SIMPL / V-CELL")</f>
        <v>SIMPL / V-CELL</v>
      </c>
      <c r="E12" s="524"/>
      <c r="F12" s="522" t="str">
        <f>IF($C$1="ENG","UNI-MAT","UNI-MAT")</f>
        <v>UNI-MAT</v>
      </c>
      <c r="G12" s="524"/>
      <c r="H12" s="46"/>
      <c r="I12" s="46"/>
      <c r="J12" s="46"/>
      <c r="K12" s="46"/>
      <c r="AN12" s="280"/>
      <c r="AO12" s="280"/>
      <c r="AP12" s="280"/>
      <c r="AQ12" s="280"/>
      <c r="AR12" s="280"/>
      <c r="AS12" s="280"/>
      <c r="AT12" s="280"/>
    </row>
    <row r="13" spans="1:46" ht="12.75" customHeight="1">
      <c r="A13" s="8"/>
      <c r="B13" s="537"/>
      <c r="C13" s="123" t="str">
        <f>IF($C$1="ENG","filling:","заповнення:")</f>
        <v>заповнення:</v>
      </c>
      <c r="D13" s="527" t="str">
        <f>IF($C$1="ENG","honeycomb core ","сотове заповнення")</f>
        <v>сотове заповнення</v>
      </c>
      <c r="E13" s="528"/>
      <c r="F13" s="527" t="str">
        <f>IF($C$1="ENG","honeycomb core ","сотове заповнення")</f>
        <v>сотове заповнення</v>
      </c>
      <c r="G13" s="528"/>
      <c r="H13" s="47"/>
      <c r="I13" s="47"/>
      <c r="J13" s="47"/>
      <c r="K13" s="131"/>
      <c r="L13" s="11"/>
      <c r="M13" s="11"/>
      <c r="P13" s="11"/>
      <c r="Q13" s="11"/>
    </row>
    <row r="14" spans="1:46" ht="12.75" customHeight="1">
      <c r="A14" s="8"/>
      <c r="B14" s="538"/>
      <c r="C14" s="124" t="str">
        <f>IF($C$1="ENG","glazing:","скління:")</f>
        <v>скління:</v>
      </c>
      <c r="D14" s="513" t="s">
        <v>76</v>
      </c>
      <c r="E14" s="516"/>
      <c r="F14" s="513" t="s">
        <v>76</v>
      </c>
      <c r="G14" s="516"/>
      <c r="H14" s="47"/>
      <c r="I14" s="47"/>
      <c r="J14" s="47"/>
      <c r="K14" s="395"/>
      <c r="L14" s="396"/>
      <c r="M14" s="396"/>
      <c r="N14" s="395"/>
      <c r="O14" s="396"/>
      <c r="P14" s="396"/>
      <c r="Q14" s="395"/>
      <c r="AC14" s="335" t="str">
        <f>D12</f>
        <v>SIMPL / V-CELL</v>
      </c>
      <c r="AD14" s="335" t="str">
        <f>F12</f>
        <v>UNI-MAT</v>
      </c>
    </row>
    <row r="15" spans="1:46" ht="35.1" customHeight="1">
      <c r="A15" s="8"/>
      <c r="B15" s="13" t="s">
        <v>0</v>
      </c>
      <c r="C15" s="14"/>
      <c r="D15" s="101">
        <f>IF(AC15="","",(1-$W$2)*(AC15/1.2))</f>
        <v>4708.3333333333339</v>
      </c>
      <c r="E15" s="64">
        <f>IF($W$5=0.2,D15*1.2,D15)/$W$4</f>
        <v>5650.0000000000009</v>
      </c>
      <c r="F15" s="101">
        <f t="shared" ref="F15:F20" si="0">IF(AD15="","",(1-$W$2)*(AD15/1.2))</f>
        <v>5333.3333333333339</v>
      </c>
      <c r="G15" s="64">
        <f>IF($W$5=0.2,F15*1.2,F15)/$W$4</f>
        <v>6400.0000000000009</v>
      </c>
      <c r="H15" s="28"/>
      <c r="I15" s="59"/>
      <c r="J15" s="28"/>
      <c r="K15" s="59"/>
      <c r="L15" s="11"/>
      <c r="M15" s="83"/>
      <c r="O15" s="20"/>
      <c r="P15" s="11"/>
      <c r="Q15" s="83"/>
      <c r="S15" s="20"/>
      <c r="U15" s="20"/>
      <c r="W15" s="20"/>
      <c r="AC15" s="332">
        <f>5310+340</f>
        <v>5650</v>
      </c>
      <c r="AD15" s="332">
        <f>6060+340</f>
        <v>6400</v>
      </c>
      <c r="AE15" s="289"/>
      <c r="AF15" s="289"/>
      <c r="AG15" s="397">
        <f>AE15/AC15-1</f>
        <v>-1</v>
      </c>
      <c r="AH15" s="397">
        <f>AF15/AD15-1</f>
        <v>-1</v>
      </c>
      <c r="AI15" s="289"/>
      <c r="AJ15" s="289"/>
      <c r="AK15" s="289"/>
      <c r="AL15" s="289"/>
    </row>
    <row r="16" spans="1:46" ht="35.1" customHeight="1">
      <c r="A16" s="8"/>
      <c r="B16" s="16" t="s">
        <v>2</v>
      </c>
      <c r="C16" s="17"/>
      <c r="D16" s="102">
        <f t="shared" ref="D16:D20" si="1">IF(AC16="","",(1-$W$2)*(AC16/1.2))</f>
        <v>4966.666666666667</v>
      </c>
      <c r="E16" s="66">
        <f t="shared" ref="E16:E20" si="2">IF($W$5=0.2,D16*1.2,D16)/$W$4</f>
        <v>5960</v>
      </c>
      <c r="F16" s="102">
        <f t="shared" si="0"/>
        <v>5650</v>
      </c>
      <c r="G16" s="66">
        <f t="shared" ref="G16:G20" si="3">IF($W$5=0.2,F16*1.2,F16)/$W$4</f>
        <v>6780</v>
      </c>
      <c r="H16" s="28"/>
      <c r="I16" s="59"/>
      <c r="J16" s="28"/>
      <c r="K16" s="59"/>
      <c r="L16" s="19"/>
      <c r="M16" s="83"/>
      <c r="O16" s="20"/>
      <c r="P16" s="19"/>
      <c r="Q16" s="83"/>
      <c r="S16" s="20"/>
      <c r="U16" s="20"/>
      <c r="W16" s="20"/>
      <c r="AC16" s="332">
        <f>5620+340</f>
        <v>5960</v>
      </c>
      <c r="AD16" s="332">
        <f>6440+340</f>
        <v>6780</v>
      </c>
      <c r="AE16" s="289"/>
      <c r="AF16" s="289"/>
      <c r="AG16" s="397">
        <f t="shared" ref="AG16:AH20" si="4">AE16/AC16-1</f>
        <v>-1</v>
      </c>
      <c r="AH16" s="397">
        <f t="shared" si="4"/>
        <v>-1</v>
      </c>
      <c r="AI16" s="289"/>
      <c r="AJ16" s="289"/>
      <c r="AK16" s="289"/>
      <c r="AL16" s="289"/>
    </row>
    <row r="17" spans="1:38" ht="35.1" customHeight="1">
      <c r="A17" s="8"/>
      <c r="B17" s="16" t="s">
        <v>1</v>
      </c>
      <c r="C17" s="17"/>
      <c r="D17" s="102">
        <f t="shared" si="1"/>
        <v>4775</v>
      </c>
      <c r="E17" s="66">
        <f t="shared" si="2"/>
        <v>5730</v>
      </c>
      <c r="F17" s="102">
        <f t="shared" si="0"/>
        <v>5400</v>
      </c>
      <c r="G17" s="66">
        <f t="shared" si="3"/>
        <v>6480</v>
      </c>
      <c r="H17" s="28"/>
      <c r="I17" s="59"/>
      <c r="J17" s="28"/>
      <c r="K17" s="59"/>
      <c r="L17" s="11"/>
      <c r="M17" s="83"/>
      <c r="N17" s="21"/>
      <c r="O17" s="20"/>
      <c r="P17" s="11"/>
      <c r="Q17" s="83"/>
      <c r="R17" s="21"/>
      <c r="S17" s="20"/>
      <c r="U17" s="20"/>
      <c r="W17" s="20"/>
      <c r="AC17" s="332">
        <f>5310+420</f>
        <v>5730</v>
      </c>
      <c r="AD17" s="332">
        <f>6060+420</f>
        <v>6480</v>
      </c>
      <c r="AE17" s="289"/>
      <c r="AF17" s="289"/>
      <c r="AG17" s="397">
        <f t="shared" si="4"/>
        <v>-1</v>
      </c>
      <c r="AH17" s="397">
        <f t="shared" si="4"/>
        <v>-1</v>
      </c>
      <c r="AI17" s="289"/>
      <c r="AJ17" s="289"/>
      <c r="AK17" s="289"/>
      <c r="AL17" s="289"/>
    </row>
    <row r="18" spans="1:38" ht="35.1" customHeight="1">
      <c r="A18" s="8"/>
      <c r="B18" s="16" t="s">
        <v>3</v>
      </c>
      <c r="C18" s="17"/>
      <c r="D18" s="102">
        <f t="shared" si="1"/>
        <v>5033.3333333333339</v>
      </c>
      <c r="E18" s="66">
        <f t="shared" si="2"/>
        <v>6040.0000000000009</v>
      </c>
      <c r="F18" s="102">
        <f t="shared" si="0"/>
        <v>5716.666666666667</v>
      </c>
      <c r="G18" s="66">
        <f t="shared" si="3"/>
        <v>6860</v>
      </c>
      <c r="H18" s="28"/>
      <c r="I18" s="59"/>
      <c r="J18" s="28"/>
      <c r="K18" s="59"/>
      <c r="L18" s="19"/>
      <c r="M18" s="83"/>
      <c r="N18" s="21"/>
      <c r="O18" s="20"/>
      <c r="P18" s="19"/>
      <c r="Q18" s="83"/>
      <c r="R18" s="21"/>
      <c r="S18" s="20"/>
      <c r="U18" s="20"/>
      <c r="W18" s="20"/>
      <c r="AC18" s="332">
        <f>5620+420</f>
        <v>6040</v>
      </c>
      <c r="AD18" s="332">
        <f>6440+420</f>
        <v>6860</v>
      </c>
      <c r="AE18" s="289"/>
      <c r="AF18" s="289"/>
      <c r="AG18" s="397">
        <f t="shared" si="4"/>
        <v>-1</v>
      </c>
      <c r="AH18" s="397">
        <f t="shared" si="4"/>
        <v>-1</v>
      </c>
      <c r="AI18" s="289"/>
      <c r="AJ18" s="289"/>
      <c r="AK18" s="289"/>
      <c r="AL18" s="289"/>
    </row>
    <row r="19" spans="1:38" ht="35.1" customHeight="1">
      <c r="A19" s="8"/>
      <c r="B19" s="16" t="s">
        <v>17</v>
      </c>
      <c r="C19" s="17"/>
      <c r="D19" s="102">
        <f t="shared" si="1"/>
        <v>4508.3333333333339</v>
      </c>
      <c r="E19" s="66">
        <f t="shared" si="2"/>
        <v>5410.0000000000009</v>
      </c>
      <c r="F19" s="102">
        <f t="shared" si="0"/>
        <v>5116.666666666667</v>
      </c>
      <c r="G19" s="66">
        <f t="shared" si="3"/>
        <v>6140</v>
      </c>
      <c r="H19" s="28"/>
      <c r="I19" s="59"/>
      <c r="J19" s="28"/>
      <c r="K19" s="59"/>
      <c r="L19" s="11"/>
      <c r="M19" s="83"/>
      <c r="N19" s="21"/>
      <c r="O19" s="20"/>
      <c r="P19" s="11"/>
      <c r="Q19" s="83"/>
      <c r="R19" s="21"/>
      <c r="S19" s="20"/>
      <c r="U19" s="20"/>
      <c r="W19" s="20"/>
      <c r="AC19" s="332">
        <f>4990+420</f>
        <v>5410</v>
      </c>
      <c r="AD19" s="332">
        <f>5720+420</f>
        <v>6140</v>
      </c>
      <c r="AE19" s="289"/>
      <c r="AF19" s="289"/>
      <c r="AG19" s="397">
        <f t="shared" si="4"/>
        <v>-1</v>
      </c>
      <c r="AH19" s="397">
        <f t="shared" si="4"/>
        <v>-1</v>
      </c>
      <c r="AI19" s="289"/>
      <c r="AJ19" s="289"/>
      <c r="AK19" s="289"/>
      <c r="AL19" s="289"/>
    </row>
    <row r="20" spans="1:38" ht="35.1" customHeight="1">
      <c r="A20" s="8"/>
      <c r="B20" s="23" t="s">
        <v>18</v>
      </c>
      <c r="C20" s="24"/>
      <c r="D20" s="103">
        <f t="shared" si="1"/>
        <v>4508.3333333333339</v>
      </c>
      <c r="E20" s="69">
        <f t="shared" si="2"/>
        <v>5410.0000000000009</v>
      </c>
      <c r="F20" s="103">
        <f t="shared" si="0"/>
        <v>5116.666666666667</v>
      </c>
      <c r="G20" s="69">
        <f t="shared" si="3"/>
        <v>6140</v>
      </c>
      <c r="H20" s="28"/>
      <c r="I20" s="59"/>
      <c r="J20" s="28"/>
      <c r="K20" s="59"/>
      <c r="L20" s="19"/>
      <c r="M20" s="83"/>
      <c r="N20" s="21"/>
      <c r="O20" s="20"/>
      <c r="P20" s="19"/>
      <c r="Q20" s="83"/>
      <c r="R20" s="21"/>
      <c r="S20" s="20"/>
      <c r="U20" s="20"/>
      <c r="W20" s="20"/>
      <c r="AC20" s="332">
        <f>4990+420</f>
        <v>5410</v>
      </c>
      <c r="AD20" s="332">
        <f>5720+420</f>
        <v>6140</v>
      </c>
      <c r="AE20" s="289"/>
      <c r="AF20" s="289"/>
      <c r="AG20" s="397">
        <f t="shared" si="4"/>
        <v>-1</v>
      </c>
      <c r="AH20" s="397">
        <f t="shared" si="4"/>
        <v>-1</v>
      </c>
      <c r="AI20" s="289"/>
      <c r="AJ20" s="289"/>
      <c r="AK20" s="289"/>
      <c r="AL20" s="289"/>
    </row>
    <row r="21" spans="1:38">
      <c r="C21" s="245"/>
      <c r="D21" s="26"/>
      <c r="E21" s="26"/>
      <c r="F21" s="325"/>
      <c r="G21" s="325"/>
      <c r="H21" s="10"/>
      <c r="I21" s="48"/>
      <c r="J21" s="48"/>
      <c r="K21" s="48"/>
    </row>
    <row r="22" spans="1:38">
      <c r="B22" s="212" t="str">
        <f>IF($C$1="ENG","For additonal charge:","Послуги за додаткову плату:")</f>
        <v>Послуги за додаткову плату:</v>
      </c>
      <c r="C22" s="420"/>
      <c r="D22" s="213"/>
      <c r="E22" s="214"/>
      <c r="F22" s="26"/>
      <c r="G22" s="26"/>
      <c r="H22" s="10"/>
      <c r="I22" s="48"/>
      <c r="J22" s="48"/>
      <c r="K22" s="48"/>
    </row>
    <row r="23" spans="1:38" ht="5.0999999999999996" customHeight="1">
      <c r="B23" s="27"/>
      <c r="C23" s="245"/>
      <c r="D23" s="39"/>
      <c r="E23" s="26"/>
      <c r="F23" s="26"/>
      <c r="G23" s="26"/>
      <c r="H23" s="10"/>
      <c r="I23" s="8"/>
    </row>
    <row r="24" spans="1:38">
      <c r="B24" s="539" t="str">
        <f>IF($C$1="ENG","Ventilation sleeves (1 row)","вентиляційні віддушини (1ряд)")</f>
        <v>вентиляційні віддушини (1ряд)</v>
      </c>
      <c r="C24" s="540"/>
      <c r="D24" s="132">
        <f t="shared" ref="D24:D37" si="5">IF(AC24="","",(1-$W$2)*(AC24/1.2))</f>
        <v>208.33333333333334</v>
      </c>
      <c r="E24" s="64">
        <f t="shared" ref="E24:E27" si="6">IF($W$5=0.2,D24*1.2,D24)/$W$4</f>
        <v>250</v>
      </c>
      <c r="F24" s="26"/>
      <c r="G24" s="26"/>
      <c r="I24" s="59"/>
      <c r="J24" s="28"/>
      <c r="AC24" s="298">
        <v>250</v>
      </c>
      <c r="AD24" s="289">
        <v>250</v>
      </c>
      <c r="AE24" s="289">
        <f>AD24/AC24-1</f>
        <v>0</v>
      </c>
      <c r="AF24" s="289"/>
      <c r="AG24" s="289"/>
      <c r="AH24" s="289"/>
      <c r="AI24" s="289"/>
      <c r="AJ24" s="289"/>
      <c r="AK24" s="289"/>
      <c r="AL24" s="289"/>
    </row>
    <row r="25" spans="1:38">
      <c r="B25" s="539" t="str">
        <f>IF($C$1="ENG","Ventilation cut","вентиляційний підріз")</f>
        <v>вентиляційний підріз</v>
      </c>
      <c r="C25" s="540"/>
      <c r="D25" s="133">
        <f>IF(AC25="","",(1-$W$2)*(AC25/1.2))</f>
        <v>141.66666666666669</v>
      </c>
      <c r="E25" s="66">
        <f t="shared" si="6"/>
        <v>170.00000000000003</v>
      </c>
      <c r="F25" s="26"/>
      <c r="G25" s="26"/>
      <c r="I25" s="59"/>
      <c r="J25" s="28"/>
      <c r="AC25" s="298">
        <v>170</v>
      </c>
      <c r="AD25" s="289">
        <v>170</v>
      </c>
      <c r="AE25" s="289">
        <f t="shared" ref="AE25:AE37" si="7">AD25/AC25-1</f>
        <v>0</v>
      </c>
      <c r="AF25" s="289"/>
      <c r="AG25" s="289"/>
      <c r="AH25" s="289"/>
      <c r="AI25" s="289"/>
      <c r="AJ25" s="289"/>
      <c r="AK25" s="289"/>
      <c r="AL25" s="289"/>
    </row>
    <row r="26" spans="1:38">
      <c r="B26" s="539" t="str">
        <f>IF($C$1="ENG","third door hindge","третя завіса")</f>
        <v>третя завіса</v>
      </c>
      <c r="C26" s="540"/>
      <c r="D26" s="133">
        <f t="shared" si="5"/>
        <v>66.666666666666671</v>
      </c>
      <c r="E26" s="66">
        <f t="shared" si="6"/>
        <v>80</v>
      </c>
      <c r="F26" s="26"/>
      <c r="G26" s="26"/>
      <c r="I26" s="59"/>
      <c r="J26" s="28"/>
      <c r="AC26" s="298">
        <v>80</v>
      </c>
      <c r="AD26" s="289">
        <v>80</v>
      </c>
      <c r="AE26" s="289">
        <f t="shared" si="7"/>
        <v>0</v>
      </c>
      <c r="AF26" s="289"/>
      <c r="AG26" s="289"/>
      <c r="AH26" s="289"/>
      <c r="AI26" s="289"/>
      <c r="AJ26" s="289"/>
      <c r="AK26" s="289"/>
      <c r="AL26" s="289"/>
    </row>
    <row r="27" spans="1:38">
      <c r="B27" s="532" t="str">
        <f>IF($C$1="ENG","glazing Graphite / Bronze","скло Графіт / Бронза")</f>
        <v>скло Графіт / Бронза</v>
      </c>
      <c r="C27" s="533"/>
      <c r="D27" s="133">
        <f>IF(AC27="","",(1-$W$2)*(AC27/1.2))</f>
        <v>458.33333333333337</v>
      </c>
      <c r="E27" s="66">
        <f t="shared" si="6"/>
        <v>550</v>
      </c>
      <c r="F27" s="141"/>
      <c r="G27" s="141"/>
      <c r="AC27" s="298">
        <v>550</v>
      </c>
      <c r="AD27" s="289">
        <v>550</v>
      </c>
      <c r="AE27" s="289">
        <f t="shared" si="7"/>
        <v>0</v>
      </c>
      <c r="AF27" s="289"/>
      <c r="AG27" s="289"/>
      <c r="AH27" s="289"/>
      <c r="AI27" s="289"/>
      <c r="AJ27" s="289"/>
      <c r="AK27" s="289"/>
      <c r="AL27" s="289"/>
    </row>
    <row r="28" spans="1:38">
      <c r="B28" s="532" t="str">
        <f>IF($C$1="ENG","door lock Soft","замок Soft")</f>
        <v>замок Soft</v>
      </c>
      <c r="C28" s="533"/>
      <c r="D28" s="274">
        <f t="shared" si="5"/>
        <v>458.33333333333337</v>
      </c>
      <c r="E28" s="66">
        <f t="shared" ref="E28:E35" si="8">IF($W$5=0.2,D28*1.2,D28)/$W$4</f>
        <v>550</v>
      </c>
      <c r="F28" s="26"/>
      <c r="G28" s="26"/>
      <c r="H28" s="43"/>
      <c r="I28" s="280"/>
      <c r="J28" s="8"/>
      <c r="K28" s="280"/>
      <c r="L28" s="8"/>
      <c r="M28" s="280"/>
      <c r="P28" s="8"/>
      <c r="Q28" s="280"/>
      <c r="U28" s="293"/>
      <c r="AC28" s="298">
        <v>550</v>
      </c>
      <c r="AD28" s="289">
        <v>550</v>
      </c>
      <c r="AE28" s="289">
        <f t="shared" si="7"/>
        <v>0</v>
      </c>
      <c r="AF28" s="289"/>
      <c r="AG28" s="289"/>
      <c r="AH28" s="289"/>
      <c r="AI28" s="289"/>
      <c r="AJ28" s="289"/>
      <c r="AK28" s="289"/>
      <c r="AL28" s="289"/>
    </row>
    <row r="29" spans="1:38">
      <c r="B29" s="532" t="str">
        <f>IF($C$1="ENG","door lock Soft black","замок Soft чорн.")</f>
        <v>замок Soft чорн.</v>
      </c>
      <c r="C29" s="533"/>
      <c r="D29" s="274">
        <f t="shared" si="5"/>
        <v>566.66666666666674</v>
      </c>
      <c r="E29" s="66">
        <f t="shared" ref="E29" si="9">IF($W$5=0.2,D29*1.2,D29)/$W$4</f>
        <v>680.00000000000011</v>
      </c>
      <c r="F29" s="26"/>
      <c r="G29" s="26"/>
      <c r="H29" s="43"/>
      <c r="I29" s="280"/>
      <c r="J29" s="8"/>
      <c r="K29" s="280"/>
      <c r="L29" s="8"/>
      <c r="M29" s="280"/>
      <c r="P29" s="8"/>
      <c r="Q29" s="280"/>
      <c r="U29" s="293"/>
      <c r="AC29" s="298">
        <v>680</v>
      </c>
      <c r="AD29" s="289"/>
      <c r="AE29" s="289"/>
      <c r="AF29" s="289"/>
      <c r="AG29" s="289"/>
      <c r="AH29" s="289"/>
      <c r="AI29" s="289"/>
      <c r="AJ29" s="289"/>
      <c r="AK29" s="289"/>
      <c r="AL29" s="289"/>
    </row>
    <row r="30" spans="1:38">
      <c r="B30" s="532" t="str">
        <f>IF($C$1="ENG","door lock Magnet","замок Magnet")</f>
        <v>замок Magnet</v>
      </c>
      <c r="C30" s="533"/>
      <c r="D30" s="274">
        <f t="shared" si="5"/>
        <v>666.66666666666674</v>
      </c>
      <c r="E30" s="66">
        <f t="shared" si="8"/>
        <v>800.00000000000011</v>
      </c>
      <c r="F30" s="26"/>
      <c r="G30" s="26"/>
      <c r="H30" s="43"/>
      <c r="I30" s="280"/>
      <c r="J30" s="8"/>
      <c r="K30" s="280"/>
      <c r="L30" s="8"/>
      <c r="M30" s="280"/>
      <c r="P30" s="8"/>
      <c r="Q30" s="280"/>
      <c r="U30" s="293"/>
      <c r="AC30" s="298">
        <v>800</v>
      </c>
      <c r="AD30" s="289">
        <v>800</v>
      </c>
      <c r="AE30" s="289">
        <f t="shared" si="7"/>
        <v>0</v>
      </c>
      <c r="AF30" s="289"/>
      <c r="AG30" s="289"/>
      <c r="AH30" s="289"/>
      <c r="AI30" s="289"/>
      <c r="AJ30" s="289"/>
      <c r="AK30" s="289"/>
      <c r="AL30" s="289"/>
    </row>
    <row r="31" spans="1:38">
      <c r="B31" s="532" t="str">
        <f>IF($C$1="ENG","door lock Magnet black","замок Magnet чорн.")</f>
        <v>замок Magnet чорн.</v>
      </c>
      <c r="C31" s="533"/>
      <c r="D31" s="274">
        <f t="shared" ref="D31" si="10">IF(AC31="","",(1-$W$2)*(AC31/1.2))</f>
        <v>833.33333333333337</v>
      </c>
      <c r="E31" s="66">
        <f t="shared" si="8"/>
        <v>1000</v>
      </c>
      <c r="F31" s="26"/>
      <c r="G31" s="26"/>
      <c r="H31" s="43"/>
      <c r="I31" s="280"/>
      <c r="J31" s="8"/>
      <c r="K31" s="280"/>
      <c r="L31" s="8"/>
      <c r="M31" s="280"/>
      <c r="P31" s="8"/>
      <c r="Q31" s="280"/>
      <c r="U31" s="293"/>
      <c r="AC31" s="298">
        <v>1000</v>
      </c>
      <c r="AD31" s="289">
        <v>800</v>
      </c>
      <c r="AE31" s="289">
        <f t="shared" ref="AE31" si="11">AD31/AC31-1</f>
        <v>-0.19999999999999996</v>
      </c>
      <c r="AF31" s="289"/>
      <c r="AG31" s="289"/>
      <c r="AH31" s="289"/>
      <c r="AI31" s="289"/>
      <c r="AJ31" s="289"/>
      <c r="AK31" s="289"/>
      <c r="AL31" s="289"/>
    </row>
    <row r="32" spans="1:38">
      <c r="B32" s="532" t="str">
        <f>IF($C$1="ENG","door handle-lock (for sliding doors)","ручка-замок (для дверей купе)")</f>
        <v>ручка-замок (для дверей купе)</v>
      </c>
      <c r="C32" s="533"/>
      <c r="D32" s="133">
        <f t="shared" si="5"/>
        <v>466.66666666666669</v>
      </c>
      <c r="E32" s="66">
        <f t="shared" si="8"/>
        <v>560</v>
      </c>
      <c r="F32" s="26"/>
      <c r="G32" s="26"/>
      <c r="I32" s="30"/>
      <c r="K32" s="30"/>
      <c r="AC32" s="298">
        <v>560</v>
      </c>
      <c r="AD32" s="289">
        <v>560</v>
      </c>
      <c r="AE32" s="289">
        <f t="shared" si="7"/>
        <v>0</v>
      </c>
      <c r="AF32" s="289"/>
      <c r="AG32" s="289"/>
      <c r="AH32" s="289"/>
      <c r="AI32" s="289"/>
      <c r="AJ32" s="289"/>
      <c r="AK32" s="289"/>
      <c r="AL32" s="289"/>
    </row>
    <row r="33" spans="2:38">
      <c r="B33" s="532" t="str">
        <f>IF($C$1="ENG","cylinder incert","циліндр несиметричний")</f>
        <v>циліндр несиметричний</v>
      </c>
      <c r="C33" s="533"/>
      <c r="D33" s="133">
        <f t="shared" si="5"/>
        <v>325</v>
      </c>
      <c r="E33" s="66">
        <f t="shared" si="8"/>
        <v>390</v>
      </c>
      <c r="F33" s="26"/>
      <c r="G33" s="26"/>
      <c r="I33" s="59"/>
      <c r="J33" s="28"/>
      <c r="AC33" s="298">
        <v>390</v>
      </c>
      <c r="AD33" s="289">
        <v>390</v>
      </c>
      <c r="AE33" s="289">
        <f t="shared" si="7"/>
        <v>0</v>
      </c>
      <c r="AF33" s="289"/>
      <c r="AG33" s="289"/>
      <c r="AH33" s="289"/>
      <c r="AI33" s="289"/>
      <c r="AJ33" s="289"/>
      <c r="AK33" s="289"/>
      <c r="AL33" s="289"/>
    </row>
    <row r="34" spans="2:38">
      <c r="B34" s="532" t="str">
        <f>IF($C$1="ENG","door hindge Prestige (1 unit)","завіса Prestige (1 шт)")</f>
        <v>завіса Prestige (1 шт)</v>
      </c>
      <c r="C34" s="533"/>
      <c r="D34" s="135">
        <f t="shared" si="5"/>
        <v>216.66666666666669</v>
      </c>
      <c r="E34" s="66">
        <f t="shared" si="8"/>
        <v>260</v>
      </c>
      <c r="F34" s="26"/>
      <c r="G34" s="26"/>
      <c r="I34" s="59"/>
      <c r="J34" s="28"/>
      <c r="AC34" s="298">
        <v>260</v>
      </c>
      <c r="AD34" s="289">
        <v>260</v>
      </c>
      <c r="AE34" s="289">
        <f t="shared" si="7"/>
        <v>0</v>
      </c>
      <c r="AF34" s="289"/>
      <c r="AG34" s="289"/>
      <c r="AH34" s="289"/>
      <c r="AI34" s="289"/>
      <c r="AJ34" s="289"/>
      <c r="AK34" s="289"/>
      <c r="AL34" s="289"/>
    </row>
    <row r="35" spans="2:38">
      <c r="B35" s="532" t="str">
        <f>IF($C$1="ENG","door hinge caps (1 set)","накладка на завіси (1 к-т)")</f>
        <v>накладка на завіси (1 к-т)</v>
      </c>
      <c r="C35" s="533"/>
      <c r="D35" s="135">
        <f t="shared" si="5"/>
        <v>66.666666666666671</v>
      </c>
      <c r="E35" s="66">
        <f t="shared" si="8"/>
        <v>80</v>
      </c>
      <c r="F35" s="26"/>
      <c r="G35" s="26"/>
      <c r="H35" s="26"/>
      <c r="I35" s="59"/>
      <c r="J35" s="28"/>
      <c r="AC35" s="298">
        <v>80</v>
      </c>
      <c r="AD35" s="289">
        <v>80</v>
      </c>
      <c r="AE35" s="289">
        <f t="shared" si="7"/>
        <v>0</v>
      </c>
      <c r="AF35" s="289"/>
      <c r="AG35" s="289"/>
      <c r="AH35" s="289"/>
      <c r="AI35" s="289"/>
      <c r="AJ35" s="289"/>
      <c r="AK35" s="289"/>
      <c r="AL35" s="289"/>
    </row>
    <row r="36" spans="2:38">
      <c r="B36" s="532" t="str">
        <f>IF($C$1="ENG","door handle","дверна ручка")</f>
        <v>дверна ручка</v>
      </c>
      <c r="C36" s="533"/>
      <c r="D36" s="133">
        <f t="shared" si="5"/>
        <v>0</v>
      </c>
      <c r="E36" s="136" t="str">
        <f>IF($C$1="ENG","see Handles Price","див. Таблицю Ручки")</f>
        <v>див. Таблицю Ручки</v>
      </c>
      <c r="F36" s="141"/>
      <c r="G36" s="26"/>
      <c r="AC36" s="298">
        <v>0</v>
      </c>
      <c r="AD36" s="289">
        <f t="shared" ref="AD36" si="12">AC36/100*13+AC36</f>
        <v>0</v>
      </c>
      <c r="AE36" s="289" t="e">
        <f t="shared" si="7"/>
        <v>#DIV/0!</v>
      </c>
      <c r="AF36" s="289"/>
      <c r="AG36" s="289"/>
      <c r="AH36" s="289"/>
      <c r="AI36" s="289"/>
      <c r="AJ36" s="289"/>
      <c r="AK36" s="289"/>
      <c r="AL36" s="289"/>
    </row>
    <row r="37" spans="2:38">
      <c r="B37" s="532" t="str">
        <f>IF($C$1="ENG","perforated chipboard","ДСП трубчасте")</f>
        <v>ДСП трубчасте</v>
      </c>
      <c r="C37" s="533"/>
      <c r="D37" s="134">
        <f t="shared" si="5"/>
        <v>1083.3333333333335</v>
      </c>
      <c r="E37" s="69">
        <f>IF($W$5=0.2,D37*1.2,D37)/$W$4</f>
        <v>1300.0000000000002</v>
      </c>
      <c r="F37" s="26"/>
      <c r="G37" s="26"/>
      <c r="I37" s="59"/>
      <c r="J37" s="28"/>
      <c r="AC37" s="298">
        <v>1300</v>
      </c>
      <c r="AD37" s="289">
        <v>1300</v>
      </c>
      <c r="AE37" s="289">
        <f t="shared" si="7"/>
        <v>0</v>
      </c>
      <c r="AF37" s="289"/>
      <c r="AG37" s="289"/>
      <c r="AH37" s="289"/>
      <c r="AI37" s="289"/>
      <c r="AJ37" s="289"/>
      <c r="AK37" s="289"/>
      <c r="AL37" s="289"/>
    </row>
    <row r="38" spans="2:38" ht="14.25" customHeight="1">
      <c r="C38" s="245"/>
      <c r="D38" s="26"/>
      <c r="E38" s="26"/>
      <c r="F38" s="26"/>
      <c r="G38" s="26"/>
      <c r="H38" s="10"/>
      <c r="I38" s="8"/>
      <c r="S38" s="525" t="str">
        <f>IF($C$1="ENG",CONCATENATE("down to: ",B88),CONCATENATE("вниз до: ",B88))</f>
        <v>вниз до: Полотна каркасно-щитові: КУПАВА</v>
      </c>
      <c r="T38" s="526"/>
      <c r="U38" s="526"/>
      <c r="V38" s="526"/>
      <c r="W38" s="526"/>
    </row>
    <row r="39" spans="2:38" ht="14.25" customHeight="1">
      <c r="C39" s="245"/>
      <c r="D39" s="26"/>
      <c r="E39" s="26"/>
      <c r="F39" s="26"/>
      <c r="G39" s="26"/>
      <c r="H39" s="10"/>
      <c r="I39" s="8"/>
    </row>
    <row r="40" spans="2:38" ht="14.25" customHeight="1">
      <c r="C40" s="245"/>
      <c r="D40" s="26"/>
      <c r="E40" s="26"/>
      <c r="F40" s="26"/>
      <c r="G40" s="26"/>
      <c r="H40" s="10"/>
      <c r="I40" s="8"/>
    </row>
    <row r="41" spans="2:38" ht="14.25" customHeight="1">
      <c r="C41" s="245"/>
      <c r="D41" s="26"/>
      <c r="E41" s="26"/>
      <c r="F41" s="26"/>
      <c r="G41" s="26"/>
      <c r="H41" s="10"/>
      <c r="I41" s="8"/>
    </row>
    <row r="42" spans="2:38" ht="14.25" customHeight="1">
      <c r="C42" s="245"/>
      <c r="D42" s="26"/>
      <c r="E42" s="26"/>
      <c r="F42" s="26"/>
      <c r="G42" s="26"/>
      <c r="H42" s="10"/>
      <c r="I42" s="8"/>
    </row>
    <row r="43" spans="2:38" ht="14.25" customHeight="1">
      <c r="C43" s="245"/>
      <c r="D43" s="26"/>
      <c r="E43" s="26"/>
      <c r="F43" s="26"/>
      <c r="G43" s="26"/>
      <c r="H43" s="10"/>
      <c r="I43" s="8"/>
    </row>
    <row r="44" spans="2:38" ht="14.25" customHeight="1">
      <c r="C44" s="245"/>
      <c r="D44" s="26"/>
      <c r="E44" s="26"/>
      <c r="F44" s="26"/>
      <c r="G44" s="26"/>
      <c r="H44" s="10"/>
      <c r="I44" s="8"/>
    </row>
    <row r="45" spans="2:38" ht="14.25" customHeight="1">
      <c r="C45" s="245"/>
      <c r="D45" s="26"/>
      <c r="E45" s="26"/>
      <c r="F45" s="26"/>
      <c r="G45" s="26"/>
      <c r="H45" s="10"/>
      <c r="I45" s="8"/>
    </row>
    <row r="46" spans="2:38" ht="14.25" customHeight="1">
      <c r="C46" s="245"/>
      <c r="D46" s="26"/>
      <c r="E46" s="26"/>
      <c r="F46" s="26"/>
      <c r="G46" s="26"/>
      <c r="H46" s="10"/>
      <c r="I46" s="8"/>
    </row>
    <row r="47" spans="2:38" ht="14.25" customHeight="1">
      <c r="C47" s="245"/>
      <c r="D47" s="26"/>
      <c r="E47" s="26"/>
      <c r="F47" s="26"/>
      <c r="G47" s="26"/>
      <c r="H47" s="10"/>
      <c r="I47" s="8"/>
    </row>
    <row r="48" spans="2:38" ht="14.25" customHeight="1">
      <c r="C48" s="245"/>
      <c r="D48" s="26"/>
      <c r="E48" s="26"/>
      <c r="F48" s="26"/>
      <c r="G48" s="26"/>
      <c r="H48" s="10"/>
      <c r="I48" s="8"/>
    </row>
    <row r="49" spans="3:9" ht="14.25" customHeight="1">
      <c r="C49" s="245"/>
      <c r="D49" s="26"/>
      <c r="E49" s="26"/>
      <c r="F49" s="26"/>
      <c r="G49" s="26"/>
      <c r="H49" s="10"/>
      <c r="I49" s="8"/>
    </row>
    <row r="50" spans="3:9" ht="14.25" customHeight="1">
      <c r="C50" s="245"/>
      <c r="D50" s="26"/>
      <c r="E50" s="26"/>
      <c r="F50" s="26"/>
      <c r="G50" s="26"/>
      <c r="H50" s="10"/>
      <c r="I50" s="8"/>
    </row>
    <row r="51" spans="3:9" ht="14.25" customHeight="1">
      <c r="C51" s="245"/>
      <c r="D51" s="26"/>
      <c r="E51" s="26"/>
      <c r="F51" s="26"/>
      <c r="G51" s="26"/>
      <c r="H51" s="10"/>
      <c r="I51" s="8"/>
    </row>
    <row r="52" spans="3:9" ht="14.25" customHeight="1">
      <c r="C52" s="245"/>
      <c r="D52" s="26"/>
      <c r="E52" s="26"/>
      <c r="F52" s="26"/>
      <c r="G52" s="26"/>
      <c r="H52" s="10"/>
      <c r="I52" s="8"/>
    </row>
    <row r="53" spans="3:9" ht="14.25" customHeight="1">
      <c r="C53" s="245"/>
      <c r="D53" s="26"/>
      <c r="E53" s="26"/>
      <c r="F53" s="26"/>
      <c r="G53" s="26"/>
      <c r="H53" s="10"/>
      <c r="I53" s="8"/>
    </row>
    <row r="54" spans="3:9" ht="14.25" customHeight="1">
      <c r="C54" s="245"/>
      <c r="D54" s="26"/>
      <c r="E54" s="26"/>
      <c r="F54" s="26"/>
      <c r="G54" s="26"/>
      <c r="H54" s="10"/>
      <c r="I54" s="8"/>
    </row>
    <row r="55" spans="3:9" ht="14.25" customHeight="1">
      <c r="C55" s="245"/>
      <c r="D55" s="26"/>
      <c r="E55" s="26"/>
      <c r="F55" s="26"/>
      <c r="G55" s="26"/>
      <c r="H55" s="10"/>
      <c r="I55" s="8"/>
    </row>
    <row r="56" spans="3:9" ht="14.25" customHeight="1">
      <c r="C56" s="245"/>
      <c r="D56" s="26"/>
      <c r="E56" s="26"/>
      <c r="F56" s="26"/>
      <c r="G56" s="26"/>
      <c r="H56" s="10"/>
      <c r="I56" s="8"/>
    </row>
    <row r="57" spans="3:9" ht="14.25" customHeight="1">
      <c r="C57" s="245"/>
      <c r="D57" s="26"/>
      <c r="E57" s="26"/>
      <c r="F57" s="26"/>
      <c r="G57" s="26"/>
      <c r="H57" s="10"/>
      <c r="I57" s="8"/>
    </row>
    <row r="58" spans="3:9" ht="14.25" customHeight="1">
      <c r="C58" s="245"/>
      <c r="D58" s="26"/>
      <c r="E58" s="26"/>
      <c r="F58" s="26"/>
      <c r="G58" s="26"/>
      <c r="H58" s="10"/>
      <c r="I58" s="8"/>
    </row>
    <row r="59" spans="3:9" ht="14.25" customHeight="1">
      <c r="C59" s="245"/>
      <c r="D59" s="26"/>
      <c r="E59" s="26"/>
      <c r="F59" s="26"/>
      <c r="G59" s="26"/>
      <c r="H59" s="10"/>
      <c r="I59" s="8"/>
    </row>
    <row r="60" spans="3:9" ht="14.25" customHeight="1">
      <c r="C60" s="245"/>
      <c r="D60" s="26"/>
      <c r="E60" s="26"/>
      <c r="F60" s="26"/>
      <c r="G60" s="26"/>
      <c r="H60" s="10"/>
      <c r="I60" s="8"/>
    </row>
    <row r="61" spans="3:9" ht="14.25" customHeight="1">
      <c r="C61" s="245"/>
      <c r="D61" s="26"/>
      <c r="E61" s="26"/>
      <c r="F61" s="26"/>
      <c r="G61" s="26"/>
      <c r="H61" s="10"/>
      <c r="I61" s="8"/>
    </row>
    <row r="62" spans="3:9" ht="14.25" customHeight="1">
      <c r="C62" s="245"/>
      <c r="D62" s="26"/>
      <c r="E62" s="26"/>
      <c r="F62" s="26"/>
      <c r="G62" s="26"/>
      <c r="H62" s="10"/>
      <c r="I62" s="8"/>
    </row>
    <row r="63" spans="3:9" ht="14.25" customHeight="1">
      <c r="C63" s="245"/>
      <c r="D63" s="26"/>
      <c r="E63" s="26"/>
      <c r="F63" s="26"/>
      <c r="G63" s="26"/>
      <c r="H63" s="10"/>
      <c r="I63" s="8"/>
    </row>
    <row r="64" spans="3:9" ht="14.25" customHeight="1">
      <c r="C64" s="245"/>
      <c r="D64" s="26"/>
      <c r="E64" s="26"/>
      <c r="F64" s="26"/>
      <c r="G64" s="26"/>
      <c r="H64" s="10"/>
      <c r="I64" s="8"/>
    </row>
    <row r="65" spans="3:9" ht="14.25" customHeight="1">
      <c r="C65" s="245"/>
      <c r="D65" s="26"/>
      <c r="E65" s="26"/>
      <c r="F65" s="26"/>
      <c r="G65" s="26"/>
      <c r="H65" s="10"/>
      <c r="I65" s="8"/>
    </row>
    <row r="66" spans="3:9" ht="14.25" customHeight="1">
      <c r="C66" s="245"/>
      <c r="D66" s="26"/>
      <c r="E66" s="26"/>
      <c r="F66" s="26"/>
      <c r="G66" s="26"/>
      <c r="H66" s="10"/>
      <c r="I66" s="8"/>
    </row>
    <row r="67" spans="3:9" ht="14.25" customHeight="1">
      <c r="C67" s="245"/>
      <c r="D67" s="26"/>
      <c r="E67" s="26"/>
      <c r="F67" s="26"/>
      <c r="G67" s="26"/>
      <c r="H67" s="10"/>
      <c r="I67" s="8"/>
    </row>
    <row r="68" spans="3:9" ht="14.25" customHeight="1">
      <c r="C68" s="245"/>
      <c r="D68" s="26"/>
      <c r="E68" s="26"/>
      <c r="F68" s="26"/>
      <c r="G68" s="26"/>
      <c r="H68" s="10"/>
      <c r="I68" s="8"/>
    </row>
    <row r="69" spans="3:9" ht="14.25" customHeight="1">
      <c r="C69" s="245"/>
      <c r="D69" s="26"/>
      <c r="E69" s="26"/>
      <c r="F69" s="26"/>
      <c r="G69" s="26"/>
      <c r="H69" s="10"/>
      <c r="I69" s="8"/>
    </row>
    <row r="70" spans="3:9" ht="14.25" customHeight="1">
      <c r="C70" s="245"/>
      <c r="D70" s="26"/>
      <c r="E70" s="26"/>
      <c r="F70" s="26"/>
      <c r="G70" s="26"/>
      <c r="H70" s="10"/>
      <c r="I70" s="8"/>
    </row>
    <row r="71" spans="3:9" ht="14.25" customHeight="1">
      <c r="C71" s="245"/>
      <c r="D71" s="26"/>
      <c r="E71" s="26"/>
      <c r="F71" s="26"/>
      <c r="G71" s="26"/>
      <c r="H71" s="10"/>
      <c r="I71" s="8"/>
    </row>
    <row r="72" spans="3:9" ht="14.25" customHeight="1">
      <c r="C72" s="245"/>
      <c r="D72" s="26"/>
      <c r="E72" s="26"/>
      <c r="F72" s="26"/>
      <c r="G72" s="26"/>
      <c r="H72" s="10"/>
      <c r="I72" s="8"/>
    </row>
    <row r="73" spans="3:9" ht="14.25" customHeight="1">
      <c r="C73" s="245"/>
      <c r="D73" s="26"/>
      <c r="E73" s="26"/>
      <c r="F73" s="26"/>
      <c r="G73" s="26"/>
      <c r="H73" s="10"/>
      <c r="I73" s="8"/>
    </row>
    <row r="74" spans="3:9" ht="14.25" customHeight="1">
      <c r="C74" s="245"/>
      <c r="D74" s="26"/>
      <c r="E74" s="26"/>
      <c r="F74" s="26"/>
      <c r="G74" s="26"/>
      <c r="H74" s="10"/>
      <c r="I74" s="8"/>
    </row>
    <row r="75" spans="3:9" ht="14.25" customHeight="1">
      <c r="C75" s="245"/>
      <c r="D75" s="26"/>
      <c r="E75" s="26"/>
      <c r="F75" s="26"/>
      <c r="G75" s="26"/>
      <c r="H75" s="10"/>
      <c r="I75" s="8"/>
    </row>
    <row r="76" spans="3:9" ht="14.25" customHeight="1">
      <c r="C76" s="245"/>
      <c r="D76" s="26"/>
      <c r="E76" s="26"/>
      <c r="F76" s="26"/>
      <c r="G76" s="26"/>
      <c r="H76" s="10"/>
      <c r="I76" s="8"/>
    </row>
    <row r="77" spans="3:9" ht="14.25" customHeight="1">
      <c r="C77" s="245"/>
      <c r="D77" s="26"/>
      <c r="E77" s="26"/>
      <c r="F77" s="26"/>
      <c r="G77" s="26"/>
      <c r="H77" s="10"/>
      <c r="I77" s="8"/>
    </row>
    <row r="78" spans="3:9" ht="14.25" customHeight="1">
      <c r="C78" s="245"/>
      <c r="D78" s="26"/>
      <c r="E78" s="26"/>
      <c r="F78" s="26"/>
      <c r="G78" s="26"/>
      <c r="H78" s="10"/>
      <c r="I78" s="8"/>
    </row>
    <row r="79" spans="3:9" ht="14.25" customHeight="1">
      <c r="C79" s="245"/>
      <c r="D79" s="26"/>
      <c r="E79" s="26"/>
      <c r="F79" s="26"/>
      <c r="G79" s="26"/>
      <c r="H79" s="10"/>
      <c r="I79" s="8"/>
    </row>
    <row r="80" spans="3:9" ht="14.25" customHeight="1">
      <c r="C80" s="245"/>
      <c r="D80" s="26"/>
      <c r="E80" s="26"/>
      <c r="F80" s="26"/>
      <c r="G80" s="26"/>
      <c r="H80" s="10"/>
      <c r="I80" s="8"/>
    </row>
    <row r="81" spans="1:46" ht="14.25" customHeight="1">
      <c r="C81" s="245"/>
      <c r="D81" s="26"/>
      <c r="E81" s="26"/>
      <c r="F81" s="26"/>
      <c r="G81" s="26"/>
      <c r="H81" s="10"/>
      <c r="I81" s="8"/>
    </row>
    <row r="82" spans="1:46" ht="14.25" customHeight="1">
      <c r="C82" s="245"/>
      <c r="D82" s="26"/>
      <c r="E82" s="26"/>
      <c r="F82" s="26"/>
      <c r="G82" s="26"/>
      <c r="H82" s="10"/>
      <c r="I82" s="8"/>
    </row>
    <row r="83" spans="1:46" ht="14.25" customHeight="1">
      <c r="C83" s="245"/>
      <c r="D83" s="26"/>
      <c r="E83" s="26"/>
      <c r="F83" s="26"/>
      <c r="G83" s="26"/>
      <c r="H83" s="10"/>
      <c r="I83" s="8"/>
    </row>
    <row r="84" spans="1:46" ht="14.25" customHeight="1">
      <c r="C84" s="245"/>
      <c r="D84" s="26"/>
      <c r="E84" s="26"/>
      <c r="F84" s="26"/>
      <c r="G84" s="26"/>
      <c r="H84" s="10"/>
      <c r="I84" s="8"/>
    </row>
    <row r="85" spans="1:46" ht="14.25" customHeight="1">
      <c r="C85" s="245"/>
      <c r="D85" s="26"/>
      <c r="E85" s="26"/>
      <c r="F85" s="26"/>
      <c r="G85" s="26"/>
      <c r="H85" s="10"/>
      <c r="I85" s="8"/>
    </row>
    <row r="86" spans="1:46" ht="14.25" customHeight="1">
      <c r="C86" s="245"/>
      <c r="D86" s="26"/>
      <c r="E86" s="26"/>
      <c r="F86" s="26"/>
      <c r="G86" s="26"/>
      <c r="H86" s="10"/>
      <c r="I86" s="8"/>
    </row>
    <row r="87" spans="1:46" ht="14.25" customHeight="1">
      <c r="C87" s="245"/>
      <c r="D87" s="26"/>
      <c r="E87" s="26"/>
      <c r="F87" s="26"/>
      <c r="G87" s="26"/>
      <c r="H87" s="10"/>
      <c r="I87" s="8"/>
    </row>
    <row r="88" spans="1:46" s="8" customFormat="1">
      <c r="B88" s="518" t="str">
        <f>TITLE!$C$9</f>
        <v>Полотна каркасно-щитові: КУПАВА</v>
      </c>
      <c r="C88" s="518"/>
      <c r="D88" s="118"/>
      <c r="E88" s="118"/>
      <c r="F88" s="118"/>
      <c r="G88" s="118"/>
      <c r="H88" s="118"/>
      <c r="I88" s="121"/>
      <c r="J88" s="121"/>
      <c r="K88" s="121"/>
      <c r="L88" s="121"/>
      <c r="M88" s="121"/>
      <c r="N88" s="121"/>
      <c r="O88" s="121"/>
      <c r="P88" s="121"/>
      <c r="Q88" s="121"/>
      <c r="R88" s="121"/>
      <c r="S88" s="529" t="str">
        <f>IF($C$1="ENG",CONCATENATE("up to: ",B10),CONCATENATE("вгору до: ",B10))</f>
        <v>вгору до: Полотна каркасно-щитові: СТАНДАРТ</v>
      </c>
      <c r="T88" s="550"/>
      <c r="U88" s="550"/>
      <c r="V88" s="550"/>
      <c r="W88" s="550"/>
      <c r="AN88" s="280"/>
      <c r="AO88" s="280"/>
      <c r="AP88" s="280"/>
      <c r="AQ88" s="280"/>
      <c r="AR88" s="280"/>
      <c r="AS88" s="280"/>
      <c r="AT88" s="280"/>
    </row>
    <row r="89" spans="1:46" s="8" customFormat="1" ht="5.0999999999999996" customHeight="1">
      <c r="B89" s="117"/>
      <c r="C89" s="419"/>
      <c r="D89" s="9"/>
      <c r="E89" s="9"/>
      <c r="F89" s="10"/>
      <c r="G89" s="10"/>
      <c r="H89" s="10"/>
      <c r="T89" s="115"/>
      <c r="U89" s="115"/>
      <c r="V89" s="115"/>
      <c r="W89" s="115"/>
      <c r="AN89" s="280"/>
      <c r="AO89" s="280"/>
      <c r="AP89" s="280"/>
      <c r="AQ89" s="280"/>
      <c r="AR89" s="280"/>
      <c r="AS89" s="280"/>
      <c r="AT89" s="280"/>
    </row>
    <row r="90" spans="1:46" s="8" customFormat="1" ht="12.75" customHeight="1">
      <c r="B90" s="536" t="str">
        <f>IF($C$1="ENG","model","модель")</f>
        <v>модель</v>
      </c>
      <c r="C90" s="122" t="str">
        <f>IF($C$1="ENG","cover:","покриття:")</f>
        <v>покриття:</v>
      </c>
      <c r="D90" s="522" t="str">
        <f>IF($C$1="ENG","SIMPL / V-CELL","SIMPL / V-CELL")</f>
        <v>SIMPL / V-CELL</v>
      </c>
      <c r="E90" s="524"/>
      <c r="F90" s="522" t="str">
        <f>IF($C$1="ENG","UNI-MAT","UNI-MAT")</f>
        <v>UNI-MAT</v>
      </c>
      <c r="G90" s="524"/>
      <c r="H90" s="46"/>
      <c r="I90" s="46"/>
      <c r="J90" s="46"/>
      <c r="K90" s="46"/>
      <c r="T90" s="115"/>
      <c r="U90" s="115"/>
      <c r="V90" s="115"/>
      <c r="W90" s="115"/>
      <c r="AN90" s="280"/>
      <c r="AO90" s="280"/>
      <c r="AP90" s="280"/>
      <c r="AQ90" s="280"/>
      <c r="AR90" s="280"/>
      <c r="AS90" s="280"/>
      <c r="AT90" s="280"/>
    </row>
    <row r="91" spans="1:46" ht="12.75" customHeight="1">
      <c r="A91" s="8"/>
      <c r="B91" s="537"/>
      <c r="C91" s="123" t="str">
        <f>IF($C$1="ENG","filling:","заповнення:")</f>
        <v>заповнення:</v>
      </c>
      <c r="D91" s="527" t="str">
        <f>IF($C$1="ENG","honeycomb core ","сотове заповнення")</f>
        <v>сотове заповнення</v>
      </c>
      <c r="E91" s="528"/>
      <c r="F91" s="527" t="str">
        <f>IF($C$1="ENG","honeycomb core ","сотове заповнення")</f>
        <v>сотове заповнення</v>
      </c>
      <c r="G91" s="528"/>
      <c r="H91" s="46"/>
      <c r="I91" s="46"/>
      <c r="J91" s="46"/>
      <c r="K91" s="46"/>
      <c r="L91" s="11"/>
      <c r="M91" s="11"/>
      <c r="P91" s="11"/>
      <c r="Q91" s="11"/>
    </row>
    <row r="92" spans="1:46" ht="12.75" customHeight="1">
      <c r="A92" s="8"/>
      <c r="B92" s="538"/>
      <c r="C92" s="124" t="str">
        <f>IF($C$1="ENG","glazing:","скління:")</f>
        <v>скління:</v>
      </c>
      <c r="D92" s="513" t="str">
        <f>IF($C$1="ENG","Satin","Сатин")</f>
        <v>Сатин</v>
      </c>
      <c r="E92" s="516"/>
      <c r="F92" s="513" t="str">
        <f>IF($C$1="ENG","Satin","Сатин")</f>
        <v>Сатин</v>
      </c>
      <c r="G92" s="516"/>
      <c r="H92" s="47"/>
      <c r="I92" s="47"/>
      <c r="J92" s="47"/>
      <c r="K92" s="131"/>
      <c r="L92" s="11"/>
      <c r="M92" s="11"/>
      <c r="P92" s="11"/>
      <c r="Q92" s="11"/>
      <c r="AC92" s="1" t="str">
        <f>D90</f>
        <v>SIMPL / V-CELL</v>
      </c>
      <c r="AD92" s="1" t="str">
        <f>F90</f>
        <v>UNI-MAT</v>
      </c>
    </row>
    <row r="93" spans="1:46" ht="35.1" customHeight="1">
      <c r="A93" s="8"/>
      <c r="B93" s="16" t="s">
        <v>17</v>
      </c>
      <c r="C93" s="17"/>
      <c r="D93" s="18">
        <f>IF(AC93="","",(1-$W$2)*(AC93/1.2))</f>
        <v>3258.3333333333335</v>
      </c>
      <c r="E93" s="66">
        <f>IF($W$5=0.2,D93*1.2,D93)/$W$4</f>
        <v>3910</v>
      </c>
      <c r="F93" s="18">
        <f>IF(AD93="","",(1-$W$2)*(AD93/1.2))</f>
        <v>3708.3333333333335</v>
      </c>
      <c r="G93" s="66">
        <f>IF($W$5=0.2,F93*1.2,F93)/$W$4</f>
        <v>4450</v>
      </c>
      <c r="H93" s="28"/>
      <c r="I93" s="59"/>
      <c r="J93" s="28"/>
      <c r="K93" s="59"/>
      <c r="L93" s="104"/>
      <c r="M93" s="59"/>
      <c r="N93" s="104"/>
      <c r="O93" s="59"/>
      <c r="P93" s="104"/>
      <c r="Q93" s="59"/>
      <c r="R93" s="104"/>
      <c r="S93" s="59"/>
      <c r="T93" s="104"/>
      <c r="U93" s="20"/>
      <c r="V93" s="104"/>
      <c r="W93" s="20"/>
      <c r="AC93" s="332">
        <f>3570+340</f>
        <v>3910</v>
      </c>
      <c r="AD93" s="332">
        <f>4110+340</f>
        <v>4450</v>
      </c>
      <c r="AE93" s="289">
        <v>3570</v>
      </c>
      <c r="AF93" s="289">
        <v>4110</v>
      </c>
      <c r="AG93" s="289">
        <f>AE93/AC93-1</f>
        <v>-8.6956521739130488E-2</v>
      </c>
      <c r="AH93" s="289">
        <f>AF93/AD93-1</f>
        <v>-7.6404494382022459E-2</v>
      </c>
      <c r="AI93" s="289"/>
      <c r="AJ93" s="289"/>
      <c r="AK93" s="289"/>
      <c r="AL93" s="289"/>
    </row>
    <row r="94" spans="1:46" ht="35.1" customHeight="1">
      <c r="A94" s="8"/>
      <c r="B94" s="23" t="s">
        <v>20</v>
      </c>
      <c r="C94" s="24"/>
      <c r="D94" s="25">
        <f>IF(AC94="","",(1-$W$2)*(AC94/1.2))</f>
        <v>3666.666666666667</v>
      </c>
      <c r="E94" s="69">
        <f>IF($W$5=0.2,D94*1.2,D94)/$W$4</f>
        <v>4400</v>
      </c>
      <c r="F94" s="25">
        <f>IF(AD94="","",(1-$W$2)*(AD94/1.2))</f>
        <v>4166.666666666667</v>
      </c>
      <c r="G94" s="69">
        <f>IF($W$5=0.2,F94*1.2,F94)/$W$4</f>
        <v>5000</v>
      </c>
      <c r="H94" s="28"/>
      <c r="I94" s="59"/>
      <c r="J94" s="28"/>
      <c r="K94" s="59"/>
      <c r="L94" s="104"/>
      <c r="M94" s="59"/>
      <c r="N94" s="104"/>
      <c r="O94" s="59"/>
      <c r="P94" s="104"/>
      <c r="Q94" s="59"/>
      <c r="R94" s="104"/>
      <c r="S94" s="59"/>
      <c r="T94" s="104"/>
      <c r="U94" s="20"/>
      <c r="V94" s="104"/>
      <c r="W94" s="20"/>
      <c r="AC94" s="332">
        <f>4060+340</f>
        <v>4400</v>
      </c>
      <c r="AD94" s="332">
        <f>4660+340</f>
        <v>5000</v>
      </c>
      <c r="AE94" s="289">
        <v>4060</v>
      </c>
      <c r="AF94" s="289">
        <v>4660</v>
      </c>
      <c r="AG94" s="289">
        <f>AE94/AC94-1</f>
        <v>-7.7272727272727271E-2</v>
      </c>
      <c r="AH94" s="289">
        <f>AF94/AD94-1</f>
        <v>-6.7999999999999949E-2</v>
      </c>
      <c r="AI94" s="289"/>
      <c r="AJ94" s="289"/>
      <c r="AK94" s="289"/>
      <c r="AL94" s="289"/>
    </row>
    <row r="95" spans="1:46">
      <c r="C95" s="245"/>
      <c r="D95" s="26"/>
      <c r="E95" s="26"/>
      <c r="F95" s="26"/>
      <c r="G95" s="26"/>
      <c r="H95" s="60"/>
      <c r="I95" s="48"/>
      <c r="J95" s="48"/>
      <c r="K95" s="48"/>
    </row>
    <row r="96" spans="1:46">
      <c r="B96" s="212" t="str">
        <f>IF($C$1="ENG","For additonal charge:","Послуги за додаткову плату:")</f>
        <v>Послуги за додаткову плату:</v>
      </c>
      <c r="C96" s="420"/>
      <c r="D96" s="213"/>
      <c r="E96" s="214"/>
      <c r="F96" s="26"/>
      <c r="G96" s="26"/>
      <c r="H96" s="60"/>
      <c r="I96" s="48"/>
      <c r="J96" s="48"/>
      <c r="K96" s="48"/>
    </row>
    <row r="97" spans="2:38" ht="5.0999999999999996" customHeight="1">
      <c r="B97" s="27"/>
      <c r="C97" s="245"/>
      <c r="D97" s="127"/>
      <c r="E97" s="26"/>
      <c r="F97" s="26"/>
      <c r="G97" s="26"/>
      <c r="H97" s="5"/>
    </row>
    <row r="98" spans="2:38">
      <c r="B98" s="539" t="str">
        <f>IF($C$1="ENG","Ventilation cut","вентиляційний підріз")</f>
        <v>вентиляційний підріз</v>
      </c>
      <c r="C98" s="540"/>
      <c r="D98" s="404">
        <f>IF(AC98="","",(1-$W$2)*(AC98/1.2))</f>
        <v>141.66666666666669</v>
      </c>
      <c r="E98" s="92">
        <f>IF($W$5=0.2,D98*1.2,D98)/$W$4</f>
        <v>170.00000000000003</v>
      </c>
      <c r="F98" s="26"/>
      <c r="G98" s="26"/>
      <c r="I98" s="59"/>
      <c r="J98" s="28"/>
      <c r="AC98" s="298">
        <v>170</v>
      </c>
      <c r="AD98" s="289">
        <v>170</v>
      </c>
      <c r="AE98" s="289">
        <f>AD98/AC98-1</f>
        <v>0</v>
      </c>
      <c r="AF98" s="289"/>
      <c r="AG98" s="289"/>
      <c r="AH98" s="289"/>
      <c r="AI98" s="289"/>
      <c r="AJ98" s="289"/>
      <c r="AK98" s="289"/>
      <c r="AL98" s="289"/>
    </row>
    <row r="99" spans="2:38">
      <c r="B99" s="532" t="str">
        <f>IF($C$1="ENG","third door hindge","третя завіса")</f>
        <v>третя завіса</v>
      </c>
      <c r="C99" s="533"/>
      <c r="D99" s="405">
        <f t="shared" ref="D99:D110" si="13">IF(AC99="","",(1-$W$2)*(AC99/1.2))</f>
        <v>66.666666666666671</v>
      </c>
      <c r="E99" s="93">
        <f>IF($W$5=0.2,D99*1.2,D99)/$W$4</f>
        <v>80</v>
      </c>
      <c r="F99" s="26"/>
      <c r="G99" s="26"/>
      <c r="H99" s="5"/>
      <c r="I99" s="389"/>
      <c r="AC99" s="298">
        <v>80</v>
      </c>
      <c r="AD99" s="289">
        <v>80</v>
      </c>
      <c r="AE99" s="289">
        <f t="shared" ref="AE99:AE110" si="14">AD99/AC99-1</f>
        <v>0</v>
      </c>
      <c r="AF99" s="289"/>
      <c r="AG99" s="289"/>
      <c r="AH99" s="289"/>
      <c r="AI99" s="289"/>
      <c r="AJ99" s="289"/>
      <c r="AK99" s="289"/>
      <c r="AL99" s="289"/>
    </row>
    <row r="100" spans="2:38">
      <c r="B100" s="532" t="str">
        <f>IF($C$1="ENG","glazing Graphite / Bronze","скло Графіт / Бронза")</f>
        <v>скло Графіт / Бронза</v>
      </c>
      <c r="C100" s="533"/>
      <c r="D100" s="404">
        <f>IF(AC100="","",(1-$W$2)*(AC100/1.2))</f>
        <v>458.33333333333337</v>
      </c>
      <c r="E100" s="93">
        <f t="shared" ref="E100:E108" si="15">IF($W$5=0.2,D100*1.2,D100)/$W$4</f>
        <v>550</v>
      </c>
      <c r="F100" s="141"/>
      <c r="G100" s="141"/>
      <c r="AC100" s="298">
        <v>550</v>
      </c>
      <c r="AD100" s="289">
        <v>550</v>
      </c>
      <c r="AE100" s="289">
        <f t="shared" si="14"/>
        <v>0</v>
      </c>
      <c r="AF100" s="289"/>
      <c r="AG100" s="289"/>
      <c r="AH100" s="289"/>
      <c r="AI100" s="289"/>
      <c r="AJ100" s="289"/>
      <c r="AK100" s="289"/>
      <c r="AL100" s="289"/>
    </row>
    <row r="101" spans="2:38">
      <c r="B101" s="532" t="str">
        <f>IF($C$1="ENG","door lock Soft","замок Soft")</f>
        <v>замок Soft</v>
      </c>
      <c r="C101" s="533"/>
      <c r="D101" s="406">
        <f t="shared" si="13"/>
        <v>458.33333333333337</v>
      </c>
      <c r="E101" s="93">
        <f t="shared" si="15"/>
        <v>550</v>
      </c>
      <c r="F101" s="26"/>
      <c r="G101" s="26"/>
      <c r="H101" s="5"/>
      <c r="AC101" s="298">
        <v>550</v>
      </c>
      <c r="AD101" s="289">
        <v>550</v>
      </c>
      <c r="AE101" s="289">
        <f t="shared" si="14"/>
        <v>0</v>
      </c>
      <c r="AF101" s="289"/>
      <c r="AG101" s="289"/>
      <c r="AH101" s="289"/>
      <c r="AI101" s="289"/>
      <c r="AJ101" s="289"/>
      <c r="AK101" s="289"/>
      <c r="AL101" s="289"/>
    </row>
    <row r="102" spans="2:38">
      <c r="B102" s="532" t="str">
        <f>IF($C$1="ENG","door lock Soft black","замок Soft чорн.")</f>
        <v>замок Soft чорн.</v>
      </c>
      <c r="C102" s="533"/>
      <c r="D102" s="406">
        <f t="shared" ref="D102" si="16">IF(AC102="","",(1-$W$2)*(AC102/1.2))</f>
        <v>566.66666666666674</v>
      </c>
      <c r="E102" s="93">
        <f t="shared" ref="E102" si="17">IF($W$5=0.2,D102*1.2,D102)/$W$4</f>
        <v>680.00000000000011</v>
      </c>
      <c r="F102" s="26"/>
      <c r="G102" s="26"/>
      <c r="H102" s="5"/>
      <c r="AC102" s="298">
        <v>680</v>
      </c>
      <c r="AD102" s="289"/>
      <c r="AE102" s="289"/>
      <c r="AF102" s="289"/>
      <c r="AG102" s="289"/>
      <c r="AH102" s="289"/>
      <c r="AI102" s="289"/>
      <c r="AJ102" s="289"/>
      <c r="AK102" s="289"/>
      <c r="AL102" s="289"/>
    </row>
    <row r="103" spans="2:38">
      <c r="B103" s="532" t="str">
        <f>IF($C$1="ENG","door lock Magnet","замок Magnet")</f>
        <v>замок Magnet</v>
      </c>
      <c r="C103" s="533"/>
      <c r="D103" s="406">
        <f t="shared" si="13"/>
        <v>666.66666666666674</v>
      </c>
      <c r="E103" s="93">
        <f t="shared" si="15"/>
        <v>800.00000000000011</v>
      </c>
      <c r="F103" s="26"/>
      <c r="G103" s="26"/>
      <c r="H103" s="5"/>
      <c r="AC103" s="298">
        <v>800</v>
      </c>
      <c r="AD103" s="289">
        <v>800</v>
      </c>
      <c r="AE103" s="289">
        <f t="shared" si="14"/>
        <v>0</v>
      </c>
      <c r="AF103" s="289"/>
      <c r="AG103" s="289"/>
      <c r="AH103" s="289"/>
      <c r="AI103" s="289"/>
      <c r="AJ103" s="289"/>
      <c r="AK103" s="289"/>
      <c r="AL103" s="289"/>
    </row>
    <row r="104" spans="2:38">
      <c r="B104" s="410"/>
      <c r="C104" s="410" t="str">
        <f>IF($C$1="ENG","door lock Magnet black","замок Magnet чорн.")</f>
        <v>замок Magnet чорн.</v>
      </c>
      <c r="D104" s="415">
        <f t="shared" si="13"/>
        <v>833.33333333333337</v>
      </c>
      <c r="E104" s="93">
        <f t="shared" si="15"/>
        <v>1000</v>
      </c>
      <c r="F104" s="26"/>
      <c r="G104" s="26"/>
      <c r="H104" s="5"/>
      <c r="AC104" s="298">
        <v>1000</v>
      </c>
      <c r="AD104" s="289"/>
      <c r="AE104" s="289"/>
      <c r="AF104" s="289"/>
      <c r="AG104" s="289"/>
      <c r="AH104" s="289"/>
      <c r="AI104" s="289"/>
      <c r="AJ104" s="289"/>
      <c r="AK104" s="289"/>
      <c r="AL104" s="289"/>
    </row>
    <row r="105" spans="2:38">
      <c r="B105" s="532" t="str">
        <f>IF($C$1="ENG","door handle-lock (for sliding doors)","ручка-замок (для дверей купе)")</f>
        <v>ручка-замок (для дверей купе)</v>
      </c>
      <c r="C105" s="533"/>
      <c r="D105" s="406">
        <f t="shared" si="13"/>
        <v>466.66666666666669</v>
      </c>
      <c r="E105" s="93">
        <f t="shared" si="15"/>
        <v>560</v>
      </c>
      <c r="F105" s="26"/>
      <c r="G105" s="26"/>
      <c r="H105" s="5"/>
      <c r="AC105" s="298">
        <v>560</v>
      </c>
      <c r="AD105" s="289">
        <v>560</v>
      </c>
      <c r="AE105" s="289">
        <f t="shared" si="14"/>
        <v>0</v>
      </c>
      <c r="AF105" s="289"/>
      <c r="AG105" s="289"/>
      <c r="AH105" s="289"/>
      <c r="AI105" s="289"/>
      <c r="AJ105" s="289"/>
      <c r="AK105" s="289"/>
      <c r="AL105" s="289"/>
    </row>
    <row r="106" spans="2:38">
      <c r="B106" s="532" t="str">
        <f>IF($C$1="ENG","cylinder incert","циліндр несиметричний")</f>
        <v>циліндр несиметричний</v>
      </c>
      <c r="C106" s="533"/>
      <c r="D106" s="404">
        <f t="shared" si="13"/>
        <v>325</v>
      </c>
      <c r="E106" s="93">
        <f t="shared" si="15"/>
        <v>390</v>
      </c>
      <c r="F106" s="26"/>
      <c r="G106" s="26"/>
      <c r="AC106" s="298">
        <v>390</v>
      </c>
      <c r="AD106" s="289">
        <v>390</v>
      </c>
      <c r="AE106" s="289">
        <f t="shared" si="14"/>
        <v>0</v>
      </c>
      <c r="AF106" s="289"/>
      <c r="AG106" s="289"/>
      <c r="AH106" s="289"/>
      <c r="AI106" s="289"/>
      <c r="AJ106" s="289"/>
      <c r="AK106" s="289"/>
      <c r="AL106" s="289"/>
    </row>
    <row r="107" spans="2:38">
      <c r="B107" s="532" t="str">
        <f>IF($C$1="ENG","door hindge Prestige (1 unit)","завіса Prestige (1 шт)")</f>
        <v>завіса Prestige (1 шт)</v>
      </c>
      <c r="C107" s="533"/>
      <c r="D107" s="407">
        <f t="shared" si="13"/>
        <v>216.66666666666669</v>
      </c>
      <c r="E107" s="93">
        <f t="shared" si="15"/>
        <v>260</v>
      </c>
      <c r="F107" s="26"/>
      <c r="G107" s="26"/>
      <c r="AC107" s="298">
        <v>260</v>
      </c>
      <c r="AD107" s="289">
        <v>260</v>
      </c>
      <c r="AE107" s="289">
        <f t="shared" si="14"/>
        <v>0</v>
      </c>
      <c r="AF107" s="289"/>
      <c r="AG107" s="289"/>
      <c r="AH107" s="289"/>
      <c r="AI107" s="289"/>
      <c r="AJ107" s="289"/>
      <c r="AK107" s="289"/>
      <c r="AL107" s="289"/>
    </row>
    <row r="108" spans="2:38">
      <c r="B108" s="532" t="str">
        <f>IF($C$1="ENG","door hinge caps (1 set)","накладка на завіси (1 к-т)")</f>
        <v>накладка на завіси (1 к-т)</v>
      </c>
      <c r="C108" s="533"/>
      <c r="D108" s="407">
        <f t="shared" si="13"/>
        <v>66.666666666666671</v>
      </c>
      <c r="E108" s="93">
        <f t="shared" si="15"/>
        <v>80</v>
      </c>
      <c r="F108" s="26"/>
      <c r="G108" s="26"/>
      <c r="AC108" s="298">
        <v>80</v>
      </c>
      <c r="AD108" s="289">
        <v>80</v>
      </c>
      <c r="AE108" s="289">
        <f t="shared" si="14"/>
        <v>0</v>
      </c>
      <c r="AF108" s="289"/>
      <c r="AG108" s="289"/>
      <c r="AH108" s="289"/>
      <c r="AI108" s="289"/>
      <c r="AJ108" s="289"/>
      <c r="AK108" s="289"/>
      <c r="AL108" s="289"/>
    </row>
    <row r="109" spans="2:38">
      <c r="B109" s="532" t="str">
        <f>IF($C$1="ENG","door handle","дверна ручка")</f>
        <v>дверна ручка</v>
      </c>
      <c r="C109" s="533"/>
      <c r="D109" s="404">
        <f t="shared" si="13"/>
        <v>0</v>
      </c>
      <c r="E109" s="296" t="str">
        <f>IF($C$1="ENG","see Handles Price","див. Таблицю Ручки")</f>
        <v>див. Таблицю Ручки</v>
      </c>
      <c r="F109" s="26"/>
      <c r="G109" s="26"/>
      <c r="AC109" s="298">
        <f t="shared" ref="AC109:AD109" si="18">AB109/100*13+AB109</f>
        <v>0</v>
      </c>
      <c r="AD109" s="289">
        <f t="shared" si="18"/>
        <v>0</v>
      </c>
      <c r="AE109" s="289" t="e">
        <f t="shared" si="14"/>
        <v>#DIV/0!</v>
      </c>
      <c r="AF109" s="289"/>
      <c r="AG109" s="289"/>
      <c r="AH109" s="289"/>
      <c r="AI109" s="289"/>
      <c r="AJ109" s="289"/>
      <c r="AK109" s="289"/>
      <c r="AL109" s="289"/>
    </row>
    <row r="110" spans="2:38">
      <c r="B110" s="532" t="str">
        <f>IF($C$1="ENG","perforated chipboard","ДСП трубчасте")</f>
        <v>ДСП трубчасте</v>
      </c>
      <c r="C110" s="533"/>
      <c r="D110" s="408">
        <f t="shared" si="13"/>
        <v>1083.3333333333335</v>
      </c>
      <c r="E110" s="94">
        <f>IF($W$5=0.2,D110*1.2,D110)/$W$4</f>
        <v>1300.0000000000002</v>
      </c>
      <c r="F110" s="26"/>
      <c r="G110" s="26"/>
      <c r="AC110" s="298">
        <v>1300</v>
      </c>
      <c r="AD110" s="289">
        <v>1300</v>
      </c>
      <c r="AE110" s="289">
        <f t="shared" si="14"/>
        <v>0</v>
      </c>
      <c r="AF110" s="289"/>
      <c r="AG110" s="289"/>
      <c r="AH110" s="289"/>
      <c r="AI110" s="289"/>
      <c r="AJ110" s="289"/>
      <c r="AK110" s="289"/>
      <c r="AL110" s="289"/>
    </row>
    <row r="111" spans="2:38" ht="14.25" customHeight="1">
      <c r="C111" s="245"/>
      <c r="D111" s="26"/>
      <c r="E111" s="26"/>
      <c r="F111" s="26"/>
      <c r="G111" s="26"/>
      <c r="H111" s="5"/>
      <c r="S111" s="525" t="str">
        <f>IF($C$1="ENG",CONCATENATE("down to: B209",),CONCATENATE("вниз до: ",B161))</f>
        <v>вниз до: Полотна каркасно-щитові: ГЕОМЕТРІЯ</v>
      </c>
      <c r="T111" s="526"/>
      <c r="U111" s="526"/>
      <c r="V111" s="526"/>
      <c r="W111" s="526"/>
    </row>
    <row r="112" spans="2:38" ht="14.25" customHeight="1">
      <c r="C112" s="245"/>
      <c r="D112" s="26"/>
      <c r="E112" s="26"/>
      <c r="F112" s="26"/>
      <c r="G112" s="26"/>
      <c r="H112" s="5"/>
    </row>
    <row r="113" spans="3:8" ht="14.25" customHeight="1">
      <c r="C113" s="245"/>
      <c r="D113" s="26"/>
      <c r="F113" s="26"/>
      <c r="G113" s="26"/>
      <c r="H113" s="5"/>
    </row>
    <row r="114" spans="3:8" ht="14.25" customHeight="1">
      <c r="C114" s="245"/>
      <c r="D114" s="26"/>
      <c r="E114" s="26"/>
      <c r="F114" s="26"/>
      <c r="G114" s="26"/>
      <c r="H114" s="5"/>
    </row>
    <row r="115" spans="3:8" ht="14.25" customHeight="1">
      <c r="C115" s="245"/>
      <c r="D115" s="26"/>
      <c r="E115" s="26"/>
      <c r="F115" s="26"/>
      <c r="G115" s="26"/>
      <c r="H115" s="5"/>
    </row>
    <row r="116" spans="3:8" ht="14.25" customHeight="1">
      <c r="C116" s="245"/>
      <c r="D116" s="26"/>
      <c r="E116" s="26"/>
      <c r="F116" s="26"/>
      <c r="G116" s="26"/>
      <c r="H116" s="5"/>
    </row>
    <row r="117" spans="3:8" ht="14.25" customHeight="1">
      <c r="C117" s="245"/>
      <c r="D117" s="26"/>
      <c r="E117" s="26"/>
      <c r="F117" s="26"/>
      <c r="G117" s="26"/>
      <c r="H117" s="5"/>
    </row>
    <row r="118" spans="3:8" ht="14.25" customHeight="1">
      <c r="C118" s="245"/>
      <c r="D118" s="26"/>
      <c r="E118" s="26"/>
      <c r="F118" s="26"/>
      <c r="G118" s="26"/>
      <c r="H118" s="5"/>
    </row>
    <row r="119" spans="3:8" ht="14.25" customHeight="1">
      <c r="C119" s="245"/>
      <c r="D119" s="26"/>
      <c r="E119" s="26"/>
      <c r="F119" s="26"/>
      <c r="G119" s="26"/>
      <c r="H119" s="5"/>
    </row>
    <row r="120" spans="3:8" ht="14.25" customHeight="1">
      <c r="C120" s="245"/>
      <c r="D120" s="26"/>
      <c r="E120" s="26"/>
      <c r="F120" s="26"/>
      <c r="G120" s="26"/>
      <c r="H120" s="5"/>
    </row>
    <row r="121" spans="3:8" ht="14.25" customHeight="1">
      <c r="C121" s="245"/>
      <c r="D121" s="26"/>
      <c r="E121" s="26"/>
      <c r="F121" s="26"/>
      <c r="G121" s="26"/>
      <c r="H121" s="5"/>
    </row>
    <row r="122" spans="3:8" ht="14.25" customHeight="1">
      <c r="C122" s="245"/>
      <c r="D122" s="26"/>
      <c r="E122" s="26"/>
      <c r="F122" s="26"/>
      <c r="G122" s="26"/>
      <c r="H122" s="5"/>
    </row>
    <row r="123" spans="3:8" ht="14.25" customHeight="1">
      <c r="C123" s="245"/>
      <c r="D123" s="26"/>
      <c r="E123" s="26"/>
      <c r="F123" s="26"/>
      <c r="G123" s="26"/>
      <c r="H123" s="5"/>
    </row>
    <row r="124" spans="3:8" ht="14.25" customHeight="1">
      <c r="C124" s="245"/>
      <c r="D124" s="26"/>
      <c r="E124" s="26"/>
      <c r="F124" s="26"/>
      <c r="G124" s="26"/>
      <c r="H124" s="5"/>
    </row>
    <row r="125" spans="3:8" ht="14.25" customHeight="1">
      <c r="C125" s="245"/>
      <c r="D125" s="26"/>
      <c r="E125" s="26"/>
      <c r="F125" s="26"/>
      <c r="G125" s="26"/>
      <c r="H125" s="5"/>
    </row>
    <row r="126" spans="3:8" ht="14.25" customHeight="1">
      <c r="C126" s="245"/>
      <c r="D126" s="26"/>
      <c r="E126" s="26"/>
      <c r="F126" s="26"/>
      <c r="G126" s="26"/>
      <c r="H126" s="5"/>
    </row>
    <row r="127" spans="3:8" ht="14.25" customHeight="1">
      <c r="C127" s="245"/>
      <c r="D127" s="26"/>
      <c r="E127" s="26"/>
      <c r="F127" s="26"/>
      <c r="G127" s="26"/>
      <c r="H127" s="5"/>
    </row>
    <row r="128" spans="3:8" ht="14.25" customHeight="1">
      <c r="C128" s="245"/>
      <c r="D128" s="26"/>
      <c r="E128" s="26"/>
      <c r="F128" s="26"/>
      <c r="G128" s="26"/>
      <c r="H128" s="5"/>
    </row>
    <row r="129" spans="3:8" ht="14.25" customHeight="1">
      <c r="C129" s="245"/>
      <c r="D129" s="26"/>
      <c r="E129" s="26"/>
      <c r="F129" s="26"/>
      <c r="G129" s="26"/>
      <c r="H129" s="5"/>
    </row>
    <row r="130" spans="3:8" ht="14.25" customHeight="1">
      <c r="C130" s="245"/>
      <c r="D130" s="26"/>
      <c r="E130" s="26"/>
      <c r="F130" s="26"/>
      <c r="G130" s="26"/>
      <c r="H130" s="5"/>
    </row>
    <row r="131" spans="3:8" ht="14.25" customHeight="1">
      <c r="C131" s="245"/>
      <c r="D131" s="26"/>
      <c r="E131" s="26"/>
      <c r="F131" s="26"/>
      <c r="G131" s="26"/>
      <c r="H131" s="5"/>
    </row>
    <row r="132" spans="3:8" ht="14.25" customHeight="1">
      <c r="C132" s="245"/>
      <c r="D132" s="26"/>
      <c r="E132" s="26"/>
      <c r="F132" s="26"/>
      <c r="G132" s="26"/>
      <c r="H132" s="5"/>
    </row>
    <row r="133" spans="3:8" ht="14.25" customHeight="1">
      <c r="C133" s="245"/>
      <c r="D133" s="26"/>
      <c r="E133" s="26"/>
      <c r="F133" s="26"/>
      <c r="G133" s="26"/>
      <c r="H133" s="5"/>
    </row>
    <row r="134" spans="3:8" ht="14.25" customHeight="1">
      <c r="C134" s="245"/>
      <c r="D134" s="26"/>
      <c r="E134" s="26"/>
      <c r="F134" s="26"/>
      <c r="G134" s="26"/>
      <c r="H134" s="5"/>
    </row>
    <row r="135" spans="3:8" ht="14.25" customHeight="1">
      <c r="C135" s="245"/>
      <c r="D135" s="26"/>
      <c r="E135" s="26"/>
      <c r="F135" s="26"/>
      <c r="G135" s="26"/>
      <c r="H135" s="5"/>
    </row>
    <row r="136" spans="3:8" ht="14.25" customHeight="1">
      <c r="C136" s="245"/>
      <c r="D136" s="26"/>
      <c r="E136" s="26"/>
      <c r="F136" s="26"/>
      <c r="G136" s="26"/>
      <c r="H136" s="5"/>
    </row>
    <row r="137" spans="3:8" ht="14.25" customHeight="1">
      <c r="C137" s="245"/>
      <c r="D137" s="26"/>
      <c r="E137" s="26"/>
      <c r="F137" s="26"/>
      <c r="G137" s="26"/>
      <c r="H137" s="5"/>
    </row>
    <row r="138" spans="3:8" ht="14.25" customHeight="1">
      <c r="C138" s="245"/>
      <c r="D138" s="26"/>
      <c r="E138" s="26"/>
      <c r="F138" s="26"/>
      <c r="G138" s="26"/>
      <c r="H138" s="5"/>
    </row>
    <row r="139" spans="3:8" ht="14.25" customHeight="1">
      <c r="C139" s="245"/>
      <c r="D139" s="26"/>
      <c r="E139" s="26"/>
      <c r="F139" s="26"/>
      <c r="G139" s="26"/>
      <c r="H139" s="5"/>
    </row>
    <row r="140" spans="3:8" ht="14.25" customHeight="1">
      <c r="C140" s="245"/>
      <c r="D140" s="26"/>
      <c r="E140" s="26"/>
      <c r="F140" s="26"/>
      <c r="G140" s="26"/>
      <c r="H140" s="5"/>
    </row>
    <row r="141" spans="3:8" ht="14.25" customHeight="1">
      <c r="C141" s="245"/>
      <c r="D141" s="26"/>
      <c r="E141" s="26"/>
      <c r="F141" s="26"/>
      <c r="G141" s="26"/>
      <c r="H141" s="5"/>
    </row>
    <row r="142" spans="3:8" ht="14.25" customHeight="1">
      <c r="C142" s="245"/>
      <c r="D142" s="26"/>
      <c r="E142" s="26"/>
      <c r="F142" s="26"/>
      <c r="G142" s="26"/>
      <c r="H142" s="5"/>
    </row>
    <row r="143" spans="3:8" ht="14.25" customHeight="1">
      <c r="C143" s="245"/>
      <c r="D143" s="26"/>
      <c r="E143" s="26"/>
      <c r="F143" s="26"/>
      <c r="G143" s="26"/>
      <c r="H143" s="5"/>
    </row>
    <row r="144" spans="3:8" ht="14.25" customHeight="1">
      <c r="C144" s="245"/>
      <c r="D144" s="26"/>
      <c r="E144" s="26"/>
      <c r="F144" s="26"/>
      <c r="G144" s="26"/>
      <c r="H144" s="5"/>
    </row>
    <row r="145" spans="3:8" ht="14.25" customHeight="1">
      <c r="C145" s="245"/>
      <c r="D145" s="26"/>
      <c r="E145" s="26"/>
      <c r="F145" s="26"/>
      <c r="G145" s="26"/>
      <c r="H145" s="5"/>
    </row>
    <row r="146" spans="3:8" ht="14.25" customHeight="1">
      <c r="C146" s="245"/>
      <c r="D146" s="26"/>
      <c r="E146" s="26"/>
      <c r="F146" s="26"/>
      <c r="G146" s="26"/>
      <c r="H146" s="5"/>
    </row>
    <row r="147" spans="3:8" ht="14.25" customHeight="1">
      <c r="C147" s="245"/>
      <c r="D147" s="26"/>
      <c r="E147" s="26"/>
      <c r="F147" s="26"/>
      <c r="G147" s="26"/>
      <c r="H147" s="5"/>
    </row>
    <row r="148" spans="3:8" ht="14.25" customHeight="1">
      <c r="C148" s="245"/>
      <c r="D148" s="26"/>
      <c r="E148" s="26"/>
      <c r="F148" s="26"/>
      <c r="G148" s="26"/>
      <c r="H148" s="5"/>
    </row>
    <row r="149" spans="3:8" ht="14.25" customHeight="1">
      <c r="C149" s="245"/>
      <c r="D149" s="26"/>
      <c r="E149" s="26"/>
      <c r="F149" s="26"/>
      <c r="G149" s="26"/>
      <c r="H149" s="5"/>
    </row>
    <row r="150" spans="3:8" ht="14.25" customHeight="1">
      <c r="C150" s="245"/>
      <c r="D150" s="26"/>
      <c r="E150" s="26"/>
      <c r="F150" s="26"/>
      <c r="G150" s="26"/>
      <c r="H150" s="5"/>
    </row>
    <row r="151" spans="3:8" ht="14.25" customHeight="1">
      <c r="C151" s="245"/>
      <c r="D151" s="26"/>
      <c r="E151" s="26"/>
      <c r="F151" s="26"/>
      <c r="G151" s="26"/>
      <c r="H151" s="5"/>
    </row>
    <row r="152" spans="3:8" ht="14.25" customHeight="1">
      <c r="C152" s="245"/>
      <c r="D152" s="26"/>
      <c r="E152" s="26"/>
      <c r="F152" s="26"/>
      <c r="G152" s="26"/>
      <c r="H152" s="5"/>
    </row>
    <row r="153" spans="3:8" ht="14.25" customHeight="1">
      <c r="C153" s="245"/>
      <c r="D153" s="26"/>
      <c r="E153" s="26"/>
      <c r="F153" s="26"/>
      <c r="G153" s="26"/>
      <c r="H153" s="5"/>
    </row>
    <row r="154" spans="3:8" ht="14.25" customHeight="1">
      <c r="C154" s="245"/>
      <c r="D154" s="26"/>
      <c r="E154" s="26"/>
      <c r="F154" s="26"/>
      <c r="G154" s="26"/>
      <c r="H154" s="5"/>
    </row>
    <row r="155" spans="3:8" ht="14.25" customHeight="1">
      <c r="C155" s="245"/>
      <c r="D155" s="26"/>
      <c r="E155" s="26"/>
      <c r="F155" s="26"/>
      <c r="G155" s="26"/>
      <c r="H155" s="5"/>
    </row>
    <row r="156" spans="3:8" ht="14.25" customHeight="1">
      <c r="C156" s="245"/>
      <c r="D156" s="26"/>
      <c r="E156" s="26"/>
      <c r="F156" s="26"/>
      <c r="G156" s="26"/>
      <c r="H156" s="5"/>
    </row>
    <row r="157" spans="3:8" ht="14.25" customHeight="1">
      <c r="C157" s="245"/>
      <c r="D157" s="26"/>
      <c r="E157" s="26"/>
      <c r="F157" s="26"/>
      <c r="G157" s="26"/>
      <c r="H157" s="5"/>
    </row>
    <row r="158" spans="3:8" ht="14.25" customHeight="1">
      <c r="C158" s="245"/>
      <c r="D158" s="26"/>
      <c r="E158" s="26"/>
      <c r="F158" s="26"/>
      <c r="G158" s="26"/>
      <c r="H158" s="5"/>
    </row>
    <row r="159" spans="3:8" ht="14.25" customHeight="1">
      <c r="C159" s="245"/>
      <c r="D159" s="26"/>
      <c r="E159" s="26"/>
      <c r="F159" s="26"/>
      <c r="G159" s="26"/>
      <c r="H159" s="5"/>
    </row>
    <row r="160" spans="3:8" ht="14.25" customHeight="1">
      <c r="C160" s="245"/>
      <c r="D160" s="26"/>
      <c r="E160" s="26"/>
      <c r="F160" s="26"/>
      <c r="G160" s="26"/>
      <c r="H160" s="5"/>
    </row>
    <row r="161" spans="1:46" s="8" customFormat="1">
      <c r="B161" s="518" t="str">
        <f>TITLE!$C$10</f>
        <v>Полотна каркасно-щитові: ГЕОМЕТРІЯ</v>
      </c>
      <c r="C161" s="518"/>
      <c r="D161" s="542"/>
      <c r="E161" s="542"/>
      <c r="F161" s="118"/>
      <c r="G161" s="118"/>
      <c r="H161" s="118"/>
      <c r="I161" s="121"/>
      <c r="J161" s="121"/>
      <c r="K161" s="121"/>
      <c r="L161" s="121"/>
      <c r="M161" s="121"/>
      <c r="N161" s="121"/>
      <c r="O161" s="121"/>
      <c r="P161" s="121"/>
      <c r="Q161" s="121"/>
      <c r="R161" s="121"/>
      <c r="S161" s="529" t="str">
        <f>IF($C$1="ENG",CONCATENATE("up to: ",B88),CONCATENATE("вгору до: ",B88))</f>
        <v>вгору до: Полотна каркасно-щитові: КУПАВА</v>
      </c>
      <c r="T161" s="550"/>
      <c r="U161" s="550"/>
      <c r="V161" s="550"/>
      <c r="W161" s="550"/>
      <c r="AN161" s="280"/>
      <c r="AO161" s="280"/>
      <c r="AP161" s="280"/>
      <c r="AQ161" s="280"/>
      <c r="AR161" s="280"/>
      <c r="AS161" s="280"/>
      <c r="AT161" s="280"/>
    </row>
    <row r="162" spans="1:46" s="8" customFormat="1" ht="5.0999999999999996" customHeight="1">
      <c r="B162" s="117"/>
      <c r="C162" s="419"/>
      <c r="D162" s="9"/>
      <c r="E162" s="9"/>
      <c r="F162" s="9"/>
      <c r="G162" s="9"/>
      <c r="H162" s="10"/>
      <c r="T162" s="144"/>
      <c r="U162" s="144"/>
      <c r="V162" s="144"/>
      <c r="W162" s="144"/>
      <c r="AN162" s="280"/>
      <c r="AO162" s="280"/>
      <c r="AP162" s="280"/>
      <c r="AQ162" s="280"/>
      <c r="AR162" s="280"/>
      <c r="AS162" s="280"/>
      <c r="AT162" s="280"/>
    </row>
    <row r="163" spans="1:46" ht="12.75" customHeight="1">
      <c r="A163" s="8"/>
      <c r="B163" s="536" t="str">
        <f>IF($C$1="ENG","model","модель")</f>
        <v>модель</v>
      </c>
      <c r="C163" s="122" t="str">
        <f>IF($C$1="ENG","cover:","покриття:")</f>
        <v>покриття:</v>
      </c>
      <c r="D163" s="522" t="str">
        <f>IF($C$1="ENG","SIMPL / V-CELL","SIMPL / V-CELL")</f>
        <v>SIMPL / V-CELL</v>
      </c>
      <c r="E163" s="524"/>
      <c r="F163" s="522" t="str">
        <f>IF($C$1="ENG","UNI-MAT","UNI-MAT")</f>
        <v>UNI-MAT</v>
      </c>
      <c r="G163" s="524"/>
      <c r="H163" s="522" t="str">
        <f>IF($C$1="ENG","RESIST","RESIST")</f>
        <v>RESIST</v>
      </c>
      <c r="I163" s="524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</row>
    <row r="164" spans="1:46" ht="12.75" customHeight="1">
      <c r="A164" s="8"/>
      <c r="B164" s="537"/>
      <c r="C164" s="123" t="str">
        <f>IF($C$1="ENG","filling:","заповнення:")</f>
        <v>заповнення:</v>
      </c>
      <c r="D164" s="527" t="str">
        <f>IF($C$1="ENG","honeycomb core ","сотове заповнення")</f>
        <v>сотове заповнення</v>
      </c>
      <c r="E164" s="528"/>
      <c r="F164" s="527" t="str">
        <f>IF($C$1="ENG","honeycomb core ","сотове заповнення")</f>
        <v>сотове заповнення</v>
      </c>
      <c r="G164" s="528"/>
      <c r="H164" s="527" t="str">
        <f>IF($C$1="ENG","honeycomb core ","сотове заповнення")</f>
        <v>сотове заповнення</v>
      </c>
      <c r="I164" s="528"/>
      <c r="J164" s="47"/>
      <c r="K164" s="47"/>
      <c r="L164" s="48"/>
      <c r="M164" s="48"/>
      <c r="N164" s="48"/>
      <c r="O164" s="48"/>
      <c r="P164" s="48"/>
      <c r="Q164" s="48"/>
      <c r="R164" s="48"/>
      <c r="S164" s="48"/>
      <c r="T164" s="47"/>
      <c r="U164" s="47"/>
      <c r="V164" s="47"/>
      <c r="W164" s="47"/>
    </row>
    <row r="165" spans="1:46" ht="12.75" customHeight="1">
      <c r="A165" s="8"/>
      <c r="B165" s="538"/>
      <c r="C165" s="124" t="str">
        <f>IF($C$1="ENG","glazing:","скління:")</f>
        <v>скління:</v>
      </c>
      <c r="D165" s="513" t="str">
        <f>IF($C$1="ENG","Satin","Сатин")</f>
        <v>Сатин</v>
      </c>
      <c r="E165" s="516"/>
      <c r="F165" s="513" t="str">
        <f t="shared" ref="F165" si="19">IF($C$1="ENG","Satin","Сатин")</f>
        <v>Сатин</v>
      </c>
      <c r="G165" s="516"/>
      <c r="H165" s="513" t="str">
        <f t="shared" ref="H165" si="20">IF($C$1="ENG","Satin","Сатин")</f>
        <v>Сатин</v>
      </c>
      <c r="I165" s="516"/>
      <c r="J165" s="47"/>
      <c r="K165" s="131"/>
      <c r="L165" s="48"/>
      <c r="M165" s="48"/>
      <c r="N165" s="48"/>
      <c r="O165" s="48"/>
      <c r="P165" s="48"/>
      <c r="Q165" s="48"/>
      <c r="R165" s="48"/>
      <c r="S165" s="48"/>
      <c r="T165" s="47"/>
      <c r="U165" s="47"/>
      <c r="V165" s="47"/>
      <c r="W165" s="131"/>
      <c r="AC165" s="1" t="str">
        <f>D163</f>
        <v>SIMPL / V-CELL</v>
      </c>
      <c r="AD165" s="1" t="str">
        <f>F163</f>
        <v>UNI-MAT</v>
      </c>
      <c r="AE165" s="1" t="str">
        <f>H163</f>
        <v>RESIST</v>
      </c>
    </row>
    <row r="166" spans="1:46" ht="35.1" customHeight="1">
      <c r="A166" s="8"/>
      <c r="B166" s="13" t="s">
        <v>19</v>
      </c>
      <c r="C166" s="14"/>
      <c r="D166" s="101">
        <f>IF(AC166="","",(1-$W$2)*(AC166/1.2))</f>
        <v>3241.666666666667</v>
      </c>
      <c r="E166" s="64">
        <f>IF($W$5=0.2,D166*1.2,D166)/$W$4</f>
        <v>3890</v>
      </c>
      <c r="F166" s="101">
        <f>IF(AD166="","",(1-$W$2)*(AD166/1.2))</f>
        <v>3683.3333333333335</v>
      </c>
      <c r="G166" s="64">
        <f>IF($W$5=0.2,F166*1.2,F166)/$W$4</f>
        <v>4420</v>
      </c>
      <c r="H166" s="101">
        <f>IF(AE166="","",(1-$W$2)*(AE166/1.2))</f>
        <v>3916.666666666667</v>
      </c>
      <c r="I166" s="64">
        <f>IF($W$5=0.2,H166*1.2,H166)/$W$4</f>
        <v>4700</v>
      </c>
      <c r="J166" s="28"/>
      <c r="K166" s="59"/>
      <c r="L166" s="254"/>
      <c r="M166" s="143"/>
      <c r="N166" s="254"/>
      <c r="O166" s="278"/>
      <c r="P166" s="254"/>
      <c r="Q166" s="143"/>
      <c r="R166" s="254"/>
      <c r="S166" s="278"/>
      <c r="T166" s="28"/>
      <c r="U166" s="59"/>
      <c r="V166" s="28"/>
      <c r="W166" s="59"/>
      <c r="X166" s="59"/>
      <c r="Y166" s="59"/>
      <c r="Z166" s="59"/>
      <c r="AA166" s="59"/>
      <c r="AB166" s="59"/>
      <c r="AC166" s="332">
        <f>3550+340</f>
        <v>3890</v>
      </c>
      <c r="AD166" s="332">
        <f>4080+340</f>
        <v>4420</v>
      </c>
      <c r="AE166" s="332">
        <f>4360+340</f>
        <v>4700</v>
      </c>
      <c r="AF166" s="289">
        <v>3550</v>
      </c>
      <c r="AG166" s="289">
        <f>AF166/AC166-1</f>
        <v>-8.740359897172234E-2</v>
      </c>
      <c r="AH166" s="289">
        <v>4080</v>
      </c>
      <c r="AI166" s="289">
        <f>AH166/AD166-1</f>
        <v>-7.6923076923076872E-2</v>
      </c>
      <c r="AJ166" s="289">
        <v>4360</v>
      </c>
      <c r="AK166" s="289">
        <f>AJ166/AE166-1</f>
        <v>-7.2340425531914887E-2</v>
      </c>
      <c r="AL166" s="289"/>
      <c r="AM166" s="334"/>
      <c r="AN166" s="310"/>
      <c r="AO166" s="334"/>
    </row>
    <row r="167" spans="1:46" ht="35.1" customHeight="1">
      <c r="A167" s="8"/>
      <c r="B167" s="16" t="s">
        <v>22</v>
      </c>
      <c r="C167" s="17"/>
      <c r="D167" s="102">
        <f>IF(AC167="","",(1-$W$2)*(AC167/1.2))</f>
        <v>3491.666666666667</v>
      </c>
      <c r="E167" s="66">
        <f>IF($W$5=0.2,D167*1.2,D167)/$W$4</f>
        <v>4190</v>
      </c>
      <c r="F167" s="102">
        <f>IF(AD167="","",(1-$W$2)*(AD167/1.2))</f>
        <v>3983.3333333333335</v>
      </c>
      <c r="G167" s="66">
        <f>IF($W$5=0.2,F167*1.2,F167)/$W$4</f>
        <v>4780</v>
      </c>
      <c r="H167" s="102">
        <f>IF(AE167="","",(1-$W$2)*(AE167/1.2))</f>
        <v>4133.3333333333339</v>
      </c>
      <c r="I167" s="66">
        <f>IF($W$5=0.2,H167*1.2,H167)/$W$4</f>
        <v>4960.0000000000009</v>
      </c>
      <c r="J167" s="28"/>
      <c r="K167" s="59"/>
      <c r="L167" s="254"/>
      <c r="M167" s="143"/>
      <c r="N167" s="254"/>
      <c r="O167" s="278"/>
      <c r="P167" s="254"/>
      <c r="Q167" s="143"/>
      <c r="R167" s="254"/>
      <c r="S167" s="278"/>
      <c r="T167" s="28"/>
      <c r="U167" s="59"/>
      <c r="V167" s="28"/>
      <c r="W167" s="59"/>
      <c r="AC167" s="332">
        <f>3850+340</f>
        <v>4190</v>
      </c>
      <c r="AD167" s="332">
        <f>4440+340</f>
        <v>4780</v>
      </c>
      <c r="AE167" s="332">
        <f>4620+340</f>
        <v>4960</v>
      </c>
      <c r="AF167" s="289">
        <v>3850</v>
      </c>
      <c r="AG167" s="289">
        <f t="shared" ref="AG167:AG170" si="21">AF167/AC167-1</f>
        <v>-8.1145584725537012E-2</v>
      </c>
      <c r="AH167" s="289">
        <v>4440</v>
      </c>
      <c r="AI167" s="289">
        <f t="shared" ref="AI167:AI170" si="22">AH167/AD167-1</f>
        <v>-7.112970711297073E-2</v>
      </c>
      <c r="AJ167" s="289">
        <v>4620</v>
      </c>
      <c r="AK167" s="289">
        <f t="shared" ref="AK167:AK170" si="23">AJ167/AE167-1</f>
        <v>-6.8548387096774244E-2</v>
      </c>
      <c r="AL167" s="289"/>
      <c r="AM167" s="334"/>
      <c r="AN167" s="310"/>
      <c r="AO167" s="334"/>
    </row>
    <row r="168" spans="1:46" ht="35.1" customHeight="1">
      <c r="A168" s="8"/>
      <c r="B168" s="16" t="s">
        <v>23</v>
      </c>
      <c r="C168" s="17"/>
      <c r="D168" s="102">
        <f>IF(AC168="","",(1-$W$2)*(AC168/1.2))</f>
        <v>3491.666666666667</v>
      </c>
      <c r="E168" s="66">
        <f>IF($W$5=0.2,D168*1.2,D168)/$W$4</f>
        <v>4190</v>
      </c>
      <c r="F168" s="102">
        <f>IF(AD168="","",(1-$W$2)*(AD168/1.2))</f>
        <v>3983.3333333333335</v>
      </c>
      <c r="G168" s="66">
        <f>IF($W$5=0.2,F168*1.2,F168)/$W$4</f>
        <v>4780</v>
      </c>
      <c r="H168" s="102">
        <f>IF(AE168="","",(1-$W$2)*(AE168/1.2))</f>
        <v>4133.3333333333339</v>
      </c>
      <c r="I168" s="66">
        <f>IF($W$5=0.2,H168*1.2,H168)/$W$4</f>
        <v>4960.0000000000009</v>
      </c>
      <c r="J168" s="28"/>
      <c r="K168" s="59"/>
      <c r="L168" s="254"/>
      <c r="M168" s="143"/>
      <c r="N168" s="254"/>
      <c r="O168" s="278"/>
      <c r="P168" s="254"/>
      <c r="Q168" s="143"/>
      <c r="R168" s="254"/>
      <c r="S168" s="278"/>
      <c r="T168" s="28"/>
      <c r="U168" s="59"/>
      <c r="V168" s="28"/>
      <c r="W168" s="59"/>
      <c r="AC168" s="332">
        <f>3850+340</f>
        <v>4190</v>
      </c>
      <c r="AD168" s="332">
        <f>4440+340</f>
        <v>4780</v>
      </c>
      <c r="AE168" s="332">
        <f>4620+340</f>
        <v>4960</v>
      </c>
      <c r="AF168" s="289">
        <v>3850</v>
      </c>
      <c r="AG168" s="289">
        <f t="shared" si="21"/>
        <v>-8.1145584725537012E-2</v>
      </c>
      <c r="AH168" s="289">
        <v>4440</v>
      </c>
      <c r="AI168" s="289">
        <f t="shared" si="22"/>
        <v>-7.112970711297073E-2</v>
      </c>
      <c r="AJ168" s="289">
        <v>4620</v>
      </c>
      <c r="AK168" s="289">
        <f t="shared" si="23"/>
        <v>-6.8548387096774244E-2</v>
      </c>
      <c r="AL168" s="289"/>
      <c r="AM168" s="334"/>
      <c r="AN168" s="310"/>
      <c r="AO168" s="334"/>
    </row>
    <row r="169" spans="1:46" ht="35.1" customHeight="1">
      <c r="A169" s="8"/>
      <c r="B169" s="16" t="s">
        <v>24</v>
      </c>
      <c r="C169" s="17"/>
      <c r="D169" s="102">
        <f>IF(AC169="","",(1-$W$2)*(AC169/1.2))</f>
        <v>3491.666666666667</v>
      </c>
      <c r="E169" s="66">
        <f>IF($W$5=0.2,D169*1.2,D169)/$W$4</f>
        <v>4190</v>
      </c>
      <c r="F169" s="102">
        <f>IF(AD169="","",(1-$W$2)*(AD169/1.2))</f>
        <v>3983.3333333333335</v>
      </c>
      <c r="G169" s="66">
        <f>IF($W$5=0.2,F169*1.2,F169)/$W$4</f>
        <v>4780</v>
      </c>
      <c r="H169" s="102">
        <f>IF(AE169="","",(1-$W$2)*(AE169/1.2))</f>
        <v>4133.3333333333339</v>
      </c>
      <c r="I169" s="66">
        <f>IF($W$5=0.2,H169*1.2,H169)/$W$4</f>
        <v>4960.0000000000009</v>
      </c>
      <c r="J169" s="28"/>
      <c r="K169" s="59"/>
      <c r="L169" s="254"/>
      <c r="M169" s="143"/>
      <c r="N169" s="254"/>
      <c r="O169" s="278"/>
      <c r="P169" s="254"/>
      <c r="Q169" s="143"/>
      <c r="R169" s="254"/>
      <c r="S169" s="278"/>
      <c r="T169" s="28"/>
      <c r="U169" s="59"/>
      <c r="V169" s="28"/>
      <c r="W169" s="59"/>
      <c r="AC169" s="332">
        <f>3850+340</f>
        <v>4190</v>
      </c>
      <c r="AD169" s="332">
        <f>4440+340</f>
        <v>4780</v>
      </c>
      <c r="AE169" s="332">
        <f>4620+340</f>
        <v>4960</v>
      </c>
      <c r="AF169" s="289">
        <v>3850</v>
      </c>
      <c r="AG169" s="289">
        <f t="shared" si="21"/>
        <v>-8.1145584725537012E-2</v>
      </c>
      <c r="AH169" s="289">
        <v>4440</v>
      </c>
      <c r="AI169" s="289">
        <f t="shared" si="22"/>
        <v>-7.112970711297073E-2</v>
      </c>
      <c r="AJ169" s="289">
        <v>4620</v>
      </c>
      <c r="AK169" s="289">
        <f t="shared" si="23"/>
        <v>-6.8548387096774244E-2</v>
      </c>
      <c r="AL169" s="289"/>
      <c r="AM169" s="334"/>
      <c r="AN169" s="310"/>
      <c r="AO169" s="334"/>
    </row>
    <row r="170" spans="1:46" ht="35.1" customHeight="1">
      <c r="A170" s="8"/>
      <c r="B170" s="23" t="s">
        <v>25</v>
      </c>
      <c r="C170" s="24"/>
      <c r="D170" s="103">
        <f>IF(AC170="","",(1-$W$2)*(AC170/1.2))</f>
        <v>3491.666666666667</v>
      </c>
      <c r="E170" s="69">
        <f>IF($W$5=0.2,D170*1.2,D170)/$W$4</f>
        <v>4190</v>
      </c>
      <c r="F170" s="103">
        <f>IF(AD170="","",(1-$W$2)*(AD170/1.2))</f>
        <v>3983.3333333333335</v>
      </c>
      <c r="G170" s="69">
        <f>IF($W$5=0.2,F170*1.2,F170)/$W$4</f>
        <v>4780</v>
      </c>
      <c r="H170" s="103">
        <f>IF(AE170="","",(1-$W$2)*(AE170/1.2))</f>
        <v>4133.3333333333339</v>
      </c>
      <c r="I170" s="69">
        <f>IF($W$5=0.2,H170*1.2,H170)/$W$4</f>
        <v>4960.0000000000009</v>
      </c>
      <c r="J170" s="28"/>
      <c r="K170" s="59"/>
      <c r="L170" s="254"/>
      <c r="M170" s="143"/>
      <c r="N170" s="254"/>
      <c r="O170" s="278"/>
      <c r="P170" s="254"/>
      <c r="Q170" s="143"/>
      <c r="R170" s="254"/>
      <c r="S170" s="278"/>
      <c r="T170" s="28"/>
      <c r="U170" s="59"/>
      <c r="V170" s="28"/>
      <c r="W170" s="59"/>
      <c r="AC170" s="332">
        <f>3850+340</f>
        <v>4190</v>
      </c>
      <c r="AD170" s="332">
        <f>4440+340</f>
        <v>4780</v>
      </c>
      <c r="AE170" s="332">
        <f>4620+340</f>
        <v>4960</v>
      </c>
      <c r="AF170" s="289">
        <v>3850</v>
      </c>
      <c r="AG170" s="289">
        <f t="shared" si="21"/>
        <v>-8.1145584725537012E-2</v>
      </c>
      <c r="AH170" s="289">
        <v>4440</v>
      </c>
      <c r="AI170" s="289">
        <f t="shared" si="22"/>
        <v>-7.112970711297073E-2</v>
      </c>
      <c r="AJ170" s="289">
        <v>4620</v>
      </c>
      <c r="AK170" s="289">
        <f t="shared" si="23"/>
        <v>-6.8548387096774244E-2</v>
      </c>
      <c r="AL170" s="289"/>
      <c r="AM170" s="334"/>
      <c r="AN170" s="310"/>
      <c r="AO170" s="334"/>
    </row>
    <row r="171" spans="1:46">
      <c r="C171" s="245"/>
      <c r="D171" s="26"/>
      <c r="E171" s="26"/>
      <c r="F171" s="26"/>
      <c r="G171" s="26"/>
      <c r="H171" s="60"/>
      <c r="I171" s="48"/>
      <c r="J171" s="48"/>
      <c r="K171" s="143"/>
      <c r="L171" s="48"/>
      <c r="M171" s="48"/>
      <c r="N171" s="48"/>
      <c r="O171" s="143"/>
      <c r="P171" s="48"/>
      <c r="Q171" s="48"/>
      <c r="R171" s="48"/>
      <c r="S171" s="143"/>
      <c r="T171" s="48"/>
      <c r="U171" s="59"/>
      <c r="V171" s="48"/>
      <c r="W171" s="48"/>
    </row>
    <row r="172" spans="1:46">
      <c r="B172" s="212" t="str">
        <f>IF($C$1="ENG","For additonal charge:","Послуги за додаткову плату:")</f>
        <v>Послуги за додаткову плату:</v>
      </c>
      <c r="C172" s="420"/>
      <c r="D172" s="213"/>
      <c r="E172" s="214"/>
      <c r="F172" s="26"/>
      <c r="G172" s="26"/>
      <c r="H172" s="10"/>
      <c r="I172" s="8"/>
    </row>
    <row r="173" spans="1:46" ht="5.0999999999999996" customHeight="1">
      <c r="B173" s="27"/>
      <c r="C173" s="245"/>
      <c r="D173" s="26"/>
      <c r="E173" s="26"/>
      <c r="F173" s="26"/>
      <c r="G173" s="26"/>
      <c r="H173" s="10"/>
      <c r="I173" s="8"/>
    </row>
    <row r="174" spans="1:46">
      <c r="B174" s="539" t="str">
        <f>IF($C$1="ENG","Ventilation sleeves (1 row)","вентиляційні віддушини (1ряд)")</f>
        <v>вентиляційні віддушини (1ряд)</v>
      </c>
      <c r="C174" s="540"/>
      <c r="D174" s="416">
        <f t="shared" ref="D174:D187" si="24">IF(AC174="","",(1-$W$2)*(AC174/1.2))</f>
        <v>208.33333333333334</v>
      </c>
      <c r="E174" s="92">
        <f>IF($W$5=0.2,D174*1.2,D174)/$W$4</f>
        <v>250</v>
      </c>
      <c r="F174" s="26"/>
      <c r="G174" s="26"/>
      <c r="AC174" s="298">
        <v>250</v>
      </c>
      <c r="AD174" s="289">
        <v>250</v>
      </c>
      <c r="AE174" s="289">
        <f t="shared" ref="AE174:AE187" si="25">AD174/AC174-1</f>
        <v>0</v>
      </c>
      <c r="AF174" s="289"/>
      <c r="AG174" s="289"/>
      <c r="AH174" s="289"/>
      <c r="AI174" s="289"/>
      <c r="AJ174" s="289"/>
      <c r="AK174" s="289"/>
      <c r="AL174" s="289"/>
    </row>
    <row r="175" spans="1:46">
      <c r="B175" s="539" t="str">
        <f>IF($C$1="ENG","Ventilation cut","вентиляційний підріз")</f>
        <v>вентиляційний підріз</v>
      </c>
      <c r="C175" s="540"/>
      <c r="D175" s="405">
        <f t="shared" si="24"/>
        <v>141.66666666666669</v>
      </c>
      <c r="E175" s="93">
        <f>IF($W$5=0.2,D175*1.2,D175)/$W$4</f>
        <v>170.00000000000003</v>
      </c>
      <c r="F175" s="26"/>
      <c r="G175" s="26"/>
      <c r="I175" s="59"/>
      <c r="J175" s="28"/>
      <c r="AC175" s="298">
        <v>170</v>
      </c>
      <c r="AD175" s="289">
        <v>170</v>
      </c>
      <c r="AE175" s="289">
        <f t="shared" si="25"/>
        <v>0</v>
      </c>
      <c r="AF175" s="289"/>
      <c r="AG175" s="289"/>
      <c r="AH175" s="289"/>
      <c r="AI175" s="289"/>
      <c r="AJ175" s="289"/>
      <c r="AK175" s="289"/>
      <c r="AL175" s="289"/>
    </row>
    <row r="176" spans="1:46">
      <c r="B176" s="539" t="str">
        <f>IF($C$1="ENG","third door hindge","третя завіса")</f>
        <v>третя завіса</v>
      </c>
      <c r="C176" s="540"/>
      <c r="D176" s="405">
        <f t="shared" si="24"/>
        <v>66.666666666666671</v>
      </c>
      <c r="E176" s="93">
        <f>IF($W$5=0.2,D176*1.2,D176)/$W$4</f>
        <v>80</v>
      </c>
      <c r="F176" s="26"/>
      <c r="G176" s="26"/>
      <c r="AC176" s="298">
        <v>80</v>
      </c>
      <c r="AD176" s="289">
        <v>80</v>
      </c>
      <c r="AE176" s="289">
        <f t="shared" si="25"/>
        <v>0</v>
      </c>
      <c r="AF176" s="289"/>
      <c r="AG176" s="289"/>
      <c r="AH176" s="289"/>
      <c r="AI176" s="289"/>
      <c r="AJ176" s="289"/>
      <c r="AK176" s="289"/>
      <c r="AL176" s="289"/>
    </row>
    <row r="177" spans="2:38">
      <c r="B177" s="532" t="str">
        <f>IF($C$1="ENG","glazing Graphite / Bronze","скло Графіт / Бронза")</f>
        <v>скло Графіт / Бронза</v>
      </c>
      <c r="C177" s="533"/>
      <c r="D177" s="405">
        <f>IF(AC177="","",(1-$W$2)*(AC177/1.2))</f>
        <v>458.33333333333337</v>
      </c>
      <c r="E177" s="93">
        <f>IF($W$5=0.2,D177*1.2,D177)/$W$4</f>
        <v>550</v>
      </c>
      <c r="F177" s="141"/>
      <c r="G177" s="141"/>
      <c r="AC177" s="298">
        <v>550</v>
      </c>
      <c r="AD177" s="289">
        <v>550</v>
      </c>
      <c r="AE177" s="289">
        <f t="shared" si="25"/>
        <v>0</v>
      </c>
      <c r="AF177" s="289"/>
      <c r="AG177" s="289"/>
      <c r="AH177" s="289"/>
      <c r="AI177" s="289"/>
      <c r="AJ177" s="289"/>
      <c r="AK177" s="289"/>
      <c r="AL177" s="289"/>
    </row>
    <row r="178" spans="2:38">
      <c r="B178" s="532" t="str">
        <f>IF($C$1="ENG","door lock Soft","замок Soft")</f>
        <v>замок Soft</v>
      </c>
      <c r="C178" s="533"/>
      <c r="D178" s="406">
        <f t="shared" si="24"/>
        <v>458.33333333333337</v>
      </c>
      <c r="E178" s="93">
        <f t="shared" ref="E178:E185" si="26">IF($W$5=0.2,D178*1.2,D178)/$W$4</f>
        <v>550</v>
      </c>
      <c r="F178" s="26"/>
      <c r="G178" s="26"/>
      <c r="H178" s="5"/>
      <c r="AC178" s="298">
        <v>550</v>
      </c>
      <c r="AD178" s="289">
        <v>550</v>
      </c>
      <c r="AE178" s="289">
        <f t="shared" si="25"/>
        <v>0</v>
      </c>
      <c r="AF178" s="289"/>
      <c r="AG178" s="289"/>
      <c r="AH178" s="289"/>
      <c r="AI178" s="289"/>
      <c r="AJ178" s="289"/>
      <c r="AK178" s="289"/>
      <c r="AL178" s="289"/>
    </row>
    <row r="179" spans="2:38">
      <c r="B179" s="532" t="str">
        <f>IF($C$1="ENG","door lock Soft black","замок Soft чорн.")</f>
        <v>замок Soft чорн.</v>
      </c>
      <c r="C179" s="533"/>
      <c r="D179" s="406">
        <f t="shared" si="24"/>
        <v>566.66666666666674</v>
      </c>
      <c r="E179" s="93">
        <f t="shared" si="26"/>
        <v>680.00000000000011</v>
      </c>
      <c r="F179" s="26"/>
      <c r="G179" s="26"/>
      <c r="H179" s="5"/>
      <c r="AC179" s="298">
        <v>680</v>
      </c>
      <c r="AD179" s="289"/>
      <c r="AE179" s="289"/>
      <c r="AF179" s="289"/>
      <c r="AG179" s="289"/>
      <c r="AH179" s="289"/>
      <c r="AI179" s="289"/>
      <c r="AJ179" s="289"/>
      <c r="AK179" s="289"/>
      <c r="AL179" s="289"/>
    </row>
    <row r="180" spans="2:38">
      <c r="B180" s="532" t="str">
        <f>IF($C$1="ENG","door lock Magnet","замок Magnet")</f>
        <v>замок Magnet</v>
      </c>
      <c r="C180" s="533"/>
      <c r="D180" s="406">
        <f>IF(AC180="","",(1-$W$2)*(AC180/1.2))</f>
        <v>666.66666666666674</v>
      </c>
      <c r="E180" s="93">
        <f t="shared" si="26"/>
        <v>800.00000000000011</v>
      </c>
      <c r="F180" s="26"/>
      <c r="G180" s="26"/>
      <c r="H180" s="5"/>
      <c r="AC180" s="298">
        <v>800</v>
      </c>
      <c r="AD180" s="289">
        <v>800</v>
      </c>
      <c r="AE180" s="289">
        <f t="shared" si="25"/>
        <v>0</v>
      </c>
      <c r="AF180" s="289"/>
      <c r="AG180" s="289"/>
      <c r="AH180" s="289"/>
      <c r="AI180" s="289"/>
      <c r="AJ180" s="289"/>
      <c r="AK180" s="289"/>
      <c r="AL180" s="289"/>
    </row>
    <row r="181" spans="2:38">
      <c r="B181" s="410"/>
      <c r="C181" s="410" t="str">
        <f>IF($C$1="ENG","door lock Magnet black","замок Magnet чорн.")</f>
        <v>замок Magnet чорн.</v>
      </c>
      <c r="D181" s="406">
        <f>IF(AC181="","",(1-$W$2)*(AC181/1.2))</f>
        <v>833.33333333333337</v>
      </c>
      <c r="E181" s="93">
        <f t="shared" si="26"/>
        <v>1000</v>
      </c>
      <c r="F181" s="26"/>
      <c r="G181" s="26"/>
      <c r="H181" s="5"/>
      <c r="AC181" s="298">
        <v>1000</v>
      </c>
      <c r="AD181" s="289"/>
      <c r="AE181" s="289"/>
      <c r="AF181" s="289"/>
      <c r="AG181" s="289"/>
      <c r="AH181" s="289"/>
      <c r="AI181" s="289"/>
      <c r="AJ181" s="289"/>
      <c r="AK181" s="289"/>
      <c r="AL181" s="289"/>
    </row>
    <row r="182" spans="2:38">
      <c r="B182" s="532" t="str">
        <f>IF($C$1="ENG","door handle-lock (for sliding doors)","ручка-замок (для дверей купе)")</f>
        <v>ручка-замок (для дверей купе)</v>
      </c>
      <c r="C182" s="533"/>
      <c r="D182" s="405">
        <f t="shared" si="24"/>
        <v>466.66666666666669</v>
      </c>
      <c r="E182" s="93">
        <f t="shared" si="26"/>
        <v>560</v>
      </c>
      <c r="F182" s="26"/>
      <c r="G182" s="26"/>
      <c r="I182" s="30"/>
      <c r="K182" s="30"/>
      <c r="AC182" s="298">
        <v>560</v>
      </c>
      <c r="AD182" s="289">
        <v>560</v>
      </c>
      <c r="AE182" s="289">
        <f t="shared" si="25"/>
        <v>0</v>
      </c>
      <c r="AF182" s="289"/>
      <c r="AG182" s="289"/>
      <c r="AH182" s="289"/>
      <c r="AI182" s="289"/>
      <c r="AJ182" s="289"/>
      <c r="AK182" s="289"/>
      <c r="AL182" s="289"/>
    </row>
    <row r="183" spans="2:38">
      <c r="B183" s="532" t="str">
        <f>IF($C$1="ENG","cylinder incert","циліндр несиметричний")</f>
        <v>циліндр несиметричний</v>
      </c>
      <c r="C183" s="533"/>
      <c r="D183" s="405">
        <f t="shared" si="24"/>
        <v>325</v>
      </c>
      <c r="E183" s="93">
        <f t="shared" si="26"/>
        <v>390</v>
      </c>
      <c r="F183" s="26"/>
      <c r="G183" s="26"/>
      <c r="AC183" s="298">
        <v>390</v>
      </c>
      <c r="AD183" s="289">
        <v>390</v>
      </c>
      <c r="AE183" s="289">
        <f t="shared" si="25"/>
        <v>0</v>
      </c>
      <c r="AF183" s="289"/>
      <c r="AG183" s="289"/>
      <c r="AH183" s="289"/>
      <c r="AI183" s="289"/>
      <c r="AJ183" s="289"/>
      <c r="AK183" s="289"/>
      <c r="AL183" s="289"/>
    </row>
    <row r="184" spans="2:38">
      <c r="B184" s="532" t="str">
        <f>IF($C$1="ENG","door hindge Prestige (1 unit)","завіса Prestige (1 шт)")</f>
        <v>завіса Prestige (1 шт)</v>
      </c>
      <c r="C184" s="533"/>
      <c r="D184" s="417">
        <f t="shared" si="24"/>
        <v>216.66666666666669</v>
      </c>
      <c r="E184" s="93">
        <f t="shared" si="26"/>
        <v>260</v>
      </c>
      <c r="F184" s="26"/>
      <c r="G184" s="26"/>
      <c r="AC184" s="298">
        <v>260</v>
      </c>
      <c r="AD184" s="289">
        <v>260</v>
      </c>
      <c r="AE184" s="289">
        <f t="shared" si="25"/>
        <v>0</v>
      </c>
      <c r="AF184" s="289"/>
      <c r="AG184" s="289"/>
      <c r="AH184" s="289"/>
      <c r="AI184" s="289"/>
      <c r="AJ184" s="289"/>
      <c r="AK184" s="289"/>
      <c r="AL184" s="289"/>
    </row>
    <row r="185" spans="2:38">
      <c r="B185" s="532" t="str">
        <f>IF($C$1="ENG","door hinge caps (1 set)","накладка на завіси (1 к-т)")</f>
        <v>накладка на завіси (1 к-т)</v>
      </c>
      <c r="C185" s="533"/>
      <c r="D185" s="417">
        <f t="shared" si="24"/>
        <v>66.666666666666671</v>
      </c>
      <c r="E185" s="93">
        <f t="shared" si="26"/>
        <v>80</v>
      </c>
      <c r="F185" s="26"/>
      <c r="G185" s="26"/>
      <c r="AC185" s="298">
        <v>80</v>
      </c>
      <c r="AD185" s="289">
        <v>80</v>
      </c>
      <c r="AE185" s="289">
        <f t="shared" si="25"/>
        <v>0</v>
      </c>
      <c r="AF185" s="289"/>
      <c r="AG185" s="289"/>
      <c r="AH185" s="289"/>
      <c r="AI185" s="289"/>
      <c r="AJ185" s="289"/>
      <c r="AK185" s="289"/>
      <c r="AL185" s="289"/>
    </row>
    <row r="186" spans="2:38">
      <c r="B186" s="532" t="str">
        <f>IF($C$1="ENG","door handle","дверна ручка")</f>
        <v>дверна ручка</v>
      </c>
      <c r="C186" s="533"/>
      <c r="D186" s="405">
        <f t="shared" si="24"/>
        <v>0</v>
      </c>
      <c r="E186" s="296" t="str">
        <f>IF($C$1="ENG","see Handles Price","див. Таблицю Ручки")</f>
        <v>див. Таблицю Ручки</v>
      </c>
      <c r="F186" s="26"/>
      <c r="G186" s="26"/>
      <c r="AC186" s="298">
        <v>0</v>
      </c>
      <c r="AD186" s="289">
        <f t="shared" ref="AD186" si="27">AC186/100*13+AC186</f>
        <v>0</v>
      </c>
      <c r="AE186" s="289" t="e">
        <f t="shared" si="25"/>
        <v>#DIV/0!</v>
      </c>
      <c r="AF186" s="289"/>
      <c r="AG186" s="289"/>
      <c r="AH186" s="289"/>
      <c r="AI186" s="289"/>
      <c r="AJ186" s="289"/>
      <c r="AK186" s="289"/>
      <c r="AL186" s="289"/>
    </row>
    <row r="187" spans="2:38">
      <c r="B187" s="532" t="str">
        <f>IF($C$1="ENG","perforated chipboard","ДСП трубчасте")</f>
        <v>ДСП трубчасте</v>
      </c>
      <c r="C187" s="533"/>
      <c r="D187" s="418">
        <f t="shared" si="24"/>
        <v>1083.3333333333335</v>
      </c>
      <c r="E187" s="94">
        <f>IF($W$5=0.2,D187*1.2,D187)/$W$4</f>
        <v>1300.0000000000002</v>
      </c>
      <c r="F187" s="26"/>
      <c r="G187" s="26"/>
      <c r="AC187" s="298">
        <v>1300</v>
      </c>
      <c r="AD187" s="289">
        <v>1300</v>
      </c>
      <c r="AE187" s="289">
        <f t="shared" si="25"/>
        <v>0</v>
      </c>
      <c r="AF187" s="289"/>
      <c r="AG187" s="289"/>
      <c r="AH187" s="289"/>
      <c r="AI187" s="289"/>
      <c r="AJ187" s="289"/>
      <c r="AK187" s="289"/>
      <c r="AL187" s="289"/>
    </row>
    <row r="188" spans="2:38" ht="14.25" customHeight="1">
      <c r="C188" s="245"/>
      <c r="D188" s="26"/>
      <c r="E188" s="26"/>
      <c r="F188" s="26"/>
      <c r="G188" s="26"/>
      <c r="H188" s="5"/>
      <c r="S188" s="389"/>
      <c r="T188" s="525" t="str">
        <f>IF($C$1="ENG",CONCATENATE("down to: ",B287),CONCATENATE("вниз до: ",B287))</f>
        <v>вниз до: Полотна каркасно-щитові: ІДЕЯ</v>
      </c>
      <c r="U188" s="525"/>
      <c r="V188" s="525"/>
      <c r="W188" s="525"/>
    </row>
    <row r="189" spans="2:38" ht="14.25" customHeight="1">
      <c r="C189" s="245"/>
      <c r="D189" s="26"/>
      <c r="E189" s="26"/>
      <c r="F189" s="26"/>
      <c r="G189" s="26"/>
      <c r="H189" s="5"/>
      <c r="L189" s="104"/>
      <c r="N189" s="104"/>
      <c r="O189" s="20"/>
      <c r="P189" s="104"/>
      <c r="R189" s="104"/>
      <c r="S189" s="20"/>
    </row>
    <row r="190" spans="2:38" ht="14.25" customHeight="1">
      <c r="C190" s="245"/>
      <c r="D190" s="26"/>
      <c r="E190" s="26"/>
      <c r="F190" s="26"/>
      <c r="G190" s="26"/>
      <c r="H190" s="5"/>
      <c r="L190" s="104"/>
      <c r="N190" s="104"/>
      <c r="O190" s="20"/>
      <c r="P190" s="104"/>
      <c r="R190" s="104"/>
      <c r="S190" s="20"/>
      <c r="T190" s="104"/>
      <c r="V190" s="104"/>
      <c r="W190" s="20"/>
    </row>
    <row r="191" spans="2:38" ht="14.25" customHeight="1">
      <c r="C191" s="245"/>
      <c r="D191" s="26"/>
      <c r="E191" s="26"/>
      <c r="F191" s="26"/>
      <c r="G191" s="26"/>
      <c r="H191" s="5"/>
      <c r="L191" s="104"/>
      <c r="N191" s="104"/>
      <c r="O191" s="20"/>
      <c r="P191" s="104"/>
      <c r="R191" s="104"/>
      <c r="S191" s="20"/>
      <c r="T191" s="104"/>
      <c r="V191" s="104"/>
      <c r="W191" s="20"/>
    </row>
    <row r="192" spans="2:38" ht="14.25" customHeight="1">
      <c r="C192" s="245"/>
      <c r="D192" s="26"/>
      <c r="E192" s="26"/>
      <c r="F192" s="26"/>
      <c r="G192" s="26"/>
      <c r="H192" s="5"/>
      <c r="L192" s="104"/>
      <c r="N192" s="104"/>
      <c r="O192" s="20"/>
      <c r="P192" s="104"/>
      <c r="R192" s="104"/>
      <c r="S192" s="20"/>
      <c r="T192" s="104"/>
      <c r="V192" s="104"/>
      <c r="W192" s="20"/>
    </row>
    <row r="193" spans="3:23" ht="14.25" customHeight="1">
      <c r="C193" s="245"/>
      <c r="D193" s="26"/>
      <c r="E193" s="26"/>
      <c r="F193" s="26"/>
      <c r="G193" s="26"/>
      <c r="H193" s="5"/>
      <c r="L193" s="104"/>
      <c r="N193" s="104"/>
      <c r="O193" s="20"/>
      <c r="P193" s="104"/>
      <c r="R193" s="104"/>
      <c r="S193" s="20"/>
      <c r="T193" s="104"/>
      <c r="V193" s="104"/>
      <c r="W193" s="20"/>
    </row>
    <row r="194" spans="3:23" ht="14.25" customHeight="1">
      <c r="C194" s="245"/>
      <c r="D194" s="26"/>
      <c r="E194" s="26"/>
      <c r="F194" s="26"/>
      <c r="G194" s="26"/>
      <c r="H194" s="5"/>
      <c r="L194" s="104"/>
      <c r="N194" s="104"/>
      <c r="O194" s="20"/>
      <c r="P194" s="104"/>
      <c r="R194" s="104"/>
      <c r="S194" s="20"/>
      <c r="T194" s="104"/>
      <c r="V194" s="104"/>
      <c r="W194" s="20"/>
    </row>
    <row r="195" spans="3:23" ht="14.25" customHeight="1">
      <c r="C195" s="245"/>
      <c r="D195" s="26"/>
      <c r="E195" s="26"/>
      <c r="F195" s="26"/>
      <c r="G195" s="26"/>
      <c r="H195" s="5"/>
      <c r="L195" s="104"/>
      <c r="N195" s="104"/>
      <c r="O195" s="20"/>
      <c r="P195" s="104"/>
      <c r="R195" s="104"/>
      <c r="S195" s="20"/>
      <c r="T195" s="104"/>
      <c r="V195" s="104"/>
      <c r="W195" s="20"/>
    </row>
    <row r="196" spans="3:23" ht="14.25" customHeight="1">
      <c r="C196" s="245"/>
      <c r="D196" s="26"/>
      <c r="E196" s="26"/>
      <c r="F196" s="26"/>
      <c r="G196" s="26"/>
      <c r="H196" s="5"/>
      <c r="L196" s="104"/>
      <c r="N196" s="104"/>
      <c r="O196" s="20"/>
      <c r="P196" s="104"/>
      <c r="R196" s="104"/>
      <c r="S196" s="20"/>
      <c r="T196" s="104"/>
      <c r="V196" s="104"/>
      <c r="W196" s="20"/>
    </row>
    <row r="197" spans="3:23" ht="14.25" customHeight="1">
      <c r="C197" s="245"/>
      <c r="D197" s="26"/>
      <c r="E197" s="26"/>
      <c r="F197" s="26"/>
      <c r="G197" s="26"/>
      <c r="H197" s="5"/>
    </row>
    <row r="198" spans="3:23" ht="14.25" customHeight="1">
      <c r="C198" s="245"/>
      <c r="D198" s="26"/>
      <c r="E198" s="26"/>
      <c r="F198" s="26"/>
      <c r="G198" s="26"/>
      <c r="H198" s="5"/>
    </row>
    <row r="199" spans="3:23" ht="14.25" customHeight="1">
      <c r="C199" s="245"/>
      <c r="D199" s="26"/>
      <c r="E199" s="26"/>
      <c r="F199" s="26"/>
      <c r="G199" s="26"/>
      <c r="H199" s="5"/>
    </row>
    <row r="200" spans="3:23" ht="14.25" customHeight="1">
      <c r="C200" s="245"/>
      <c r="D200" s="26"/>
      <c r="E200" s="26"/>
      <c r="F200" s="26"/>
      <c r="G200" s="26"/>
      <c r="H200" s="5"/>
    </row>
    <row r="201" spans="3:23" ht="14.25" customHeight="1">
      <c r="C201" s="245"/>
      <c r="D201" s="26"/>
      <c r="E201" s="26"/>
      <c r="F201" s="26"/>
      <c r="G201" s="26"/>
      <c r="H201" s="5"/>
    </row>
    <row r="202" spans="3:23" ht="14.25" customHeight="1">
      <c r="C202" s="245"/>
      <c r="D202" s="26"/>
      <c r="E202" s="26"/>
      <c r="F202" s="26"/>
      <c r="G202" s="26"/>
      <c r="H202" s="5"/>
    </row>
    <row r="203" spans="3:23" ht="14.25" customHeight="1">
      <c r="C203" s="245"/>
      <c r="D203" s="26"/>
      <c r="E203" s="26"/>
      <c r="F203" s="26"/>
      <c r="G203" s="26"/>
      <c r="H203" s="5"/>
    </row>
    <row r="204" spans="3:23" ht="14.25" customHeight="1">
      <c r="C204" s="245"/>
      <c r="D204" s="26"/>
      <c r="E204" s="26"/>
      <c r="F204" s="26"/>
      <c r="G204" s="26"/>
      <c r="H204" s="5"/>
    </row>
    <row r="205" spans="3:23" ht="14.25" customHeight="1">
      <c r="C205" s="245"/>
      <c r="D205" s="26"/>
      <c r="E205" s="26"/>
      <c r="F205" s="26"/>
      <c r="G205" s="26"/>
      <c r="H205" s="5"/>
    </row>
    <row r="206" spans="3:23" ht="14.25" customHeight="1">
      <c r="C206" s="245"/>
      <c r="D206" s="26"/>
      <c r="E206" s="26"/>
      <c r="F206" s="26"/>
      <c r="G206" s="26"/>
      <c r="H206" s="5"/>
    </row>
    <row r="207" spans="3:23" ht="14.25" customHeight="1">
      <c r="C207" s="245"/>
      <c r="D207" s="26"/>
      <c r="E207" s="26"/>
      <c r="F207" s="26"/>
      <c r="G207" s="26"/>
      <c r="H207" s="5"/>
    </row>
    <row r="208" spans="3:23" ht="14.25" customHeight="1">
      <c r="C208" s="245"/>
      <c r="D208" s="26"/>
      <c r="E208" s="26"/>
      <c r="F208" s="26"/>
      <c r="G208" s="26"/>
      <c r="H208" s="5"/>
    </row>
    <row r="209" spans="3:8" ht="14.25" customHeight="1">
      <c r="C209" s="245"/>
      <c r="D209" s="26"/>
      <c r="E209" s="26"/>
      <c r="F209" s="26"/>
      <c r="G209" s="26"/>
      <c r="H209" s="5"/>
    </row>
    <row r="210" spans="3:8" ht="14.25" customHeight="1">
      <c r="C210" s="245"/>
      <c r="D210" s="26"/>
      <c r="E210" s="26"/>
      <c r="F210" s="26"/>
      <c r="G210" s="26"/>
      <c r="H210" s="5"/>
    </row>
    <row r="211" spans="3:8" ht="14.25" customHeight="1">
      <c r="C211" s="245"/>
      <c r="D211" s="26"/>
      <c r="E211" s="26"/>
      <c r="F211" s="26"/>
      <c r="G211" s="26"/>
      <c r="H211" s="5"/>
    </row>
    <row r="212" spans="3:8" ht="14.25" customHeight="1">
      <c r="C212" s="245"/>
      <c r="D212" s="26"/>
      <c r="E212" s="26"/>
      <c r="F212" s="26"/>
      <c r="G212" s="26"/>
      <c r="H212" s="5"/>
    </row>
    <row r="213" spans="3:8" ht="14.25" customHeight="1">
      <c r="C213" s="245"/>
      <c r="D213" s="26"/>
      <c r="E213" s="26"/>
      <c r="F213" s="26"/>
      <c r="G213" s="26"/>
      <c r="H213" s="5"/>
    </row>
    <row r="214" spans="3:8" ht="14.25" customHeight="1">
      <c r="C214" s="245"/>
      <c r="D214" s="26"/>
      <c r="E214" s="26"/>
      <c r="F214" s="26"/>
      <c r="G214" s="26"/>
      <c r="H214" s="5"/>
    </row>
    <row r="215" spans="3:8" ht="14.25" customHeight="1">
      <c r="C215" s="245"/>
      <c r="D215" s="26"/>
      <c r="E215" s="26"/>
      <c r="F215" s="26"/>
      <c r="G215" s="26"/>
      <c r="H215" s="5"/>
    </row>
    <row r="216" spans="3:8" ht="14.25" customHeight="1">
      <c r="C216" s="245"/>
      <c r="D216" s="26"/>
      <c r="E216" s="26"/>
      <c r="F216" s="26"/>
      <c r="G216" s="26"/>
      <c r="H216" s="5"/>
    </row>
    <row r="217" spans="3:8" ht="14.25" customHeight="1">
      <c r="C217" s="245"/>
      <c r="D217" s="26"/>
      <c r="E217" s="26"/>
      <c r="F217" s="26"/>
      <c r="G217" s="26"/>
      <c r="H217" s="5"/>
    </row>
    <row r="218" spans="3:8" ht="14.25" customHeight="1">
      <c r="C218" s="245"/>
      <c r="D218" s="26"/>
      <c r="E218" s="26"/>
      <c r="F218" s="26"/>
      <c r="G218" s="26"/>
      <c r="H218" s="5"/>
    </row>
    <row r="219" spans="3:8" ht="14.25" customHeight="1">
      <c r="C219" s="245"/>
      <c r="D219" s="26"/>
      <c r="E219" s="26"/>
      <c r="F219" s="26"/>
      <c r="G219" s="26"/>
      <c r="H219" s="5"/>
    </row>
    <row r="220" spans="3:8" ht="14.25" customHeight="1">
      <c r="C220" s="245"/>
      <c r="D220" s="26"/>
      <c r="E220" s="26"/>
      <c r="F220" s="26"/>
      <c r="G220" s="26"/>
      <c r="H220" s="5"/>
    </row>
    <row r="221" spans="3:8" ht="14.25" customHeight="1">
      <c r="C221" s="245"/>
      <c r="D221" s="26"/>
      <c r="E221" s="26"/>
      <c r="F221" s="26"/>
      <c r="G221" s="26"/>
      <c r="H221" s="5"/>
    </row>
    <row r="222" spans="3:8" ht="14.25" customHeight="1">
      <c r="C222" s="245"/>
      <c r="D222" s="26"/>
      <c r="E222" s="26"/>
      <c r="F222" s="26"/>
      <c r="G222" s="26"/>
      <c r="H222" s="5"/>
    </row>
    <row r="223" spans="3:8" ht="14.25" customHeight="1">
      <c r="C223" s="245"/>
      <c r="D223" s="26"/>
      <c r="E223" s="26"/>
      <c r="F223" s="26"/>
      <c r="G223" s="26"/>
      <c r="H223" s="5"/>
    </row>
    <row r="224" spans="3:8" ht="14.25" customHeight="1">
      <c r="C224" s="245"/>
      <c r="D224" s="26"/>
      <c r="E224" s="26"/>
      <c r="F224" s="26"/>
      <c r="G224" s="26"/>
      <c r="H224" s="5"/>
    </row>
    <row r="225" spans="2:19" ht="14.25" customHeight="1">
      <c r="C225" s="245"/>
      <c r="D225" s="26"/>
      <c r="E225" s="26"/>
      <c r="F225" s="26"/>
      <c r="G225" s="26"/>
      <c r="H225" s="5"/>
    </row>
    <row r="226" spans="2:19" ht="14.25" customHeight="1">
      <c r="C226" s="245"/>
      <c r="D226" s="26"/>
      <c r="E226" s="26"/>
      <c r="F226" s="26"/>
      <c r="G226" s="26"/>
      <c r="H226" s="5"/>
    </row>
    <row r="227" spans="2:19" ht="14.25" customHeight="1">
      <c r="C227" s="245"/>
      <c r="D227" s="26"/>
      <c r="E227" s="26"/>
      <c r="F227" s="26"/>
      <c r="G227" s="26"/>
      <c r="H227" s="5"/>
    </row>
    <row r="228" spans="2:19" ht="14.25" customHeight="1">
      <c r="C228" s="245"/>
      <c r="D228" s="26"/>
      <c r="E228" s="26"/>
      <c r="F228" s="26"/>
      <c r="G228" s="26"/>
      <c r="H228" s="5"/>
    </row>
    <row r="229" spans="2:19" ht="14.25" customHeight="1">
      <c r="C229" s="245"/>
      <c r="D229" s="26"/>
      <c r="E229" s="26"/>
      <c r="F229" s="26"/>
      <c r="G229" s="26"/>
      <c r="H229" s="5"/>
    </row>
    <row r="230" spans="2:19" ht="14.25" customHeight="1">
      <c r="C230" s="245"/>
      <c r="D230" s="26"/>
      <c r="E230" s="26"/>
      <c r="F230" s="26"/>
      <c r="G230" s="26"/>
      <c r="H230" s="5"/>
    </row>
    <row r="231" spans="2:19" ht="14.25" customHeight="1">
      <c r="C231" s="245"/>
      <c r="D231" s="26"/>
      <c r="E231" s="26"/>
      <c r="F231" s="26"/>
      <c r="G231" s="26"/>
      <c r="H231" s="5"/>
    </row>
    <row r="232" spans="2:19" ht="14.25" customHeight="1">
      <c r="C232" s="245"/>
      <c r="D232" s="26"/>
      <c r="E232" s="26"/>
      <c r="F232" s="26"/>
      <c r="G232" s="26"/>
      <c r="H232" s="5"/>
    </row>
    <row r="233" spans="2:19" ht="14.25" customHeight="1">
      <c r="C233" s="245"/>
      <c r="D233" s="26"/>
      <c r="E233" s="26"/>
      <c r="F233" s="26"/>
      <c r="G233" s="26"/>
      <c r="H233" s="5"/>
    </row>
    <row r="234" spans="2:19" ht="14.25" customHeight="1">
      <c r="C234" s="245"/>
      <c r="D234" s="26"/>
      <c r="E234" s="26"/>
      <c r="F234" s="26"/>
      <c r="G234" s="26"/>
      <c r="H234" s="5"/>
    </row>
    <row r="235" spans="2:19" ht="14.25" customHeight="1">
      <c r="C235" s="245"/>
      <c r="D235" s="26"/>
      <c r="E235" s="26"/>
      <c r="F235" s="26"/>
      <c r="G235" s="26"/>
      <c r="H235" s="5"/>
    </row>
    <row r="236" spans="2:19" ht="14.25" customHeight="1">
      <c r="C236" s="245"/>
      <c r="D236" s="26"/>
      <c r="E236" s="26"/>
      <c r="F236" s="26"/>
      <c r="G236" s="26"/>
      <c r="H236" s="5"/>
    </row>
    <row r="237" spans="2:19" ht="14.25" customHeight="1">
      <c r="B237" s="32"/>
      <c r="C237" s="421"/>
      <c r="D237" s="36"/>
      <c r="E237" s="36"/>
      <c r="F237" s="36"/>
      <c r="G237" s="36"/>
      <c r="H237" s="37"/>
      <c r="I237" s="32"/>
      <c r="J237" s="32"/>
      <c r="K237" s="32"/>
      <c r="L237" s="32"/>
      <c r="M237" s="32"/>
      <c r="N237" s="32"/>
      <c r="O237" s="32"/>
      <c r="P237" s="32"/>
      <c r="Q237" s="32"/>
      <c r="R237" s="32"/>
      <c r="S237" s="32"/>
    </row>
    <row r="238" spans="2:19" ht="14.25" customHeight="1">
      <c r="C238" s="245"/>
      <c r="D238" s="26"/>
      <c r="E238" s="26"/>
      <c r="F238" s="26"/>
      <c r="G238" s="26"/>
      <c r="H238" s="5"/>
    </row>
    <row r="239" spans="2:19" ht="14.25" customHeight="1">
      <c r="C239" s="245"/>
      <c r="D239" s="26"/>
      <c r="E239" s="26"/>
      <c r="F239" s="26"/>
      <c r="G239" s="26"/>
      <c r="H239" s="5"/>
    </row>
    <row r="240" spans="2:19" ht="14.25" customHeight="1">
      <c r="C240" s="245"/>
      <c r="D240" s="26"/>
      <c r="E240" s="26"/>
      <c r="F240" s="26"/>
      <c r="G240" s="26"/>
      <c r="H240" s="5"/>
    </row>
    <row r="241" spans="3:8" ht="14.25" customHeight="1">
      <c r="C241" s="245"/>
      <c r="D241" s="26"/>
      <c r="E241" s="26"/>
      <c r="F241" s="26"/>
      <c r="G241" s="26"/>
      <c r="H241" s="5"/>
    </row>
    <row r="242" spans="3:8" ht="14.25" customHeight="1">
      <c r="C242" s="245"/>
      <c r="D242" s="26"/>
      <c r="E242" s="26"/>
      <c r="F242" s="26"/>
      <c r="G242" s="26"/>
      <c r="H242" s="5"/>
    </row>
    <row r="243" spans="3:8" ht="14.25" customHeight="1">
      <c r="C243" s="245"/>
      <c r="D243" s="26"/>
      <c r="E243" s="26"/>
      <c r="F243" s="26"/>
      <c r="G243" s="26"/>
      <c r="H243" s="5"/>
    </row>
    <row r="244" spans="3:8" ht="14.25" customHeight="1">
      <c r="C244" s="245"/>
      <c r="D244" s="26"/>
      <c r="E244" s="26"/>
      <c r="F244" s="26"/>
      <c r="G244" s="26"/>
      <c r="H244" s="5"/>
    </row>
    <row r="245" spans="3:8" ht="14.25" customHeight="1">
      <c r="C245" s="245"/>
      <c r="D245" s="26"/>
      <c r="E245" s="26"/>
      <c r="F245" s="26"/>
      <c r="G245" s="26"/>
      <c r="H245" s="5"/>
    </row>
    <row r="246" spans="3:8" ht="14.25" customHeight="1">
      <c r="C246" s="245"/>
      <c r="D246" s="26"/>
      <c r="E246" s="26"/>
      <c r="F246" s="26"/>
      <c r="G246" s="26"/>
      <c r="H246" s="5"/>
    </row>
    <row r="247" spans="3:8" ht="14.25" customHeight="1">
      <c r="C247" s="245"/>
      <c r="D247" s="26"/>
      <c r="E247" s="26"/>
      <c r="F247" s="26"/>
      <c r="G247" s="26"/>
      <c r="H247" s="5"/>
    </row>
    <row r="248" spans="3:8" ht="14.25" customHeight="1">
      <c r="C248" s="245"/>
      <c r="D248" s="26"/>
      <c r="E248" s="26"/>
      <c r="F248" s="26"/>
      <c r="G248" s="26"/>
      <c r="H248" s="5"/>
    </row>
    <row r="249" spans="3:8" ht="14.25" customHeight="1">
      <c r="C249" s="245"/>
      <c r="D249" s="26"/>
      <c r="E249" s="26"/>
      <c r="F249" s="26"/>
      <c r="G249" s="26"/>
      <c r="H249" s="5"/>
    </row>
    <row r="250" spans="3:8" ht="14.25" customHeight="1">
      <c r="C250" s="245"/>
      <c r="D250" s="26"/>
      <c r="E250" s="26"/>
      <c r="F250" s="26"/>
      <c r="G250" s="26"/>
      <c r="H250" s="5"/>
    </row>
    <row r="251" spans="3:8" ht="14.25" customHeight="1">
      <c r="C251" s="245"/>
      <c r="D251" s="26"/>
      <c r="E251" s="26"/>
      <c r="F251" s="26"/>
      <c r="G251" s="26"/>
      <c r="H251" s="5"/>
    </row>
    <row r="252" spans="3:8" ht="14.25" customHeight="1">
      <c r="C252" s="245"/>
      <c r="D252" s="26"/>
      <c r="E252" s="26"/>
      <c r="F252" s="26"/>
      <c r="G252" s="26"/>
      <c r="H252" s="5"/>
    </row>
    <row r="253" spans="3:8" ht="14.25" customHeight="1">
      <c r="C253" s="245"/>
      <c r="D253" s="26"/>
      <c r="E253" s="26"/>
      <c r="F253" s="26"/>
      <c r="G253" s="26"/>
      <c r="H253" s="5"/>
    </row>
    <row r="254" spans="3:8" ht="14.25" customHeight="1">
      <c r="C254" s="245"/>
      <c r="D254" s="26"/>
      <c r="E254" s="26"/>
      <c r="F254" s="26"/>
      <c r="G254" s="26"/>
      <c r="H254" s="5"/>
    </row>
    <row r="255" spans="3:8" ht="14.25" customHeight="1">
      <c r="C255" s="245"/>
      <c r="D255" s="26"/>
      <c r="E255" s="26"/>
      <c r="F255" s="26"/>
      <c r="G255" s="26"/>
      <c r="H255" s="5"/>
    </row>
    <row r="256" spans="3:8" ht="14.25" customHeight="1">
      <c r="C256" s="245"/>
      <c r="D256" s="26"/>
      <c r="E256" s="26"/>
      <c r="F256" s="26"/>
      <c r="G256" s="26"/>
      <c r="H256" s="5"/>
    </row>
    <row r="257" spans="3:8" ht="14.25" customHeight="1">
      <c r="C257" s="245"/>
      <c r="D257" s="26"/>
      <c r="E257" s="26"/>
      <c r="F257" s="26"/>
      <c r="G257" s="26"/>
      <c r="H257" s="5"/>
    </row>
    <row r="258" spans="3:8" ht="14.25" customHeight="1">
      <c r="C258" s="245"/>
      <c r="D258" s="26"/>
      <c r="E258" s="26"/>
      <c r="F258" s="26"/>
      <c r="G258" s="26"/>
      <c r="H258" s="5"/>
    </row>
    <row r="259" spans="3:8" ht="14.25" customHeight="1">
      <c r="C259" s="245"/>
      <c r="D259" s="26"/>
      <c r="E259" s="26"/>
      <c r="F259" s="26"/>
      <c r="G259" s="26"/>
      <c r="H259" s="5"/>
    </row>
    <row r="260" spans="3:8" ht="14.25" customHeight="1">
      <c r="C260" s="245"/>
      <c r="D260" s="26"/>
      <c r="E260" s="26"/>
      <c r="F260" s="26"/>
      <c r="G260" s="26"/>
      <c r="H260" s="5"/>
    </row>
    <row r="261" spans="3:8" ht="14.25" customHeight="1">
      <c r="C261" s="245"/>
      <c r="D261" s="26"/>
      <c r="E261" s="26"/>
      <c r="F261" s="26"/>
      <c r="G261" s="26"/>
      <c r="H261" s="5"/>
    </row>
    <row r="262" spans="3:8" ht="14.25" customHeight="1">
      <c r="C262" s="245"/>
      <c r="D262" s="26"/>
      <c r="E262" s="26"/>
      <c r="F262" s="26"/>
      <c r="G262" s="26"/>
      <c r="H262" s="5"/>
    </row>
    <row r="263" spans="3:8" ht="14.25" customHeight="1">
      <c r="C263" s="245"/>
      <c r="D263" s="26"/>
      <c r="E263" s="26"/>
      <c r="F263" s="26"/>
      <c r="G263" s="26"/>
      <c r="H263" s="5"/>
    </row>
    <row r="264" spans="3:8" ht="14.25" customHeight="1">
      <c r="C264" s="245"/>
      <c r="D264" s="26"/>
      <c r="E264" s="26"/>
      <c r="F264" s="26"/>
      <c r="G264" s="26"/>
      <c r="H264" s="5"/>
    </row>
    <row r="265" spans="3:8" ht="14.25" customHeight="1">
      <c r="C265" s="245"/>
      <c r="D265" s="26"/>
      <c r="E265" s="26"/>
      <c r="F265" s="26"/>
      <c r="G265" s="26"/>
      <c r="H265" s="5"/>
    </row>
    <row r="266" spans="3:8" ht="14.25" customHeight="1">
      <c r="C266" s="245"/>
      <c r="D266" s="26"/>
      <c r="E266" s="26"/>
      <c r="F266" s="26"/>
      <c r="G266" s="26"/>
      <c r="H266" s="5"/>
    </row>
    <row r="267" spans="3:8" ht="14.25" customHeight="1">
      <c r="C267" s="245"/>
      <c r="D267" s="26"/>
      <c r="E267" s="26"/>
      <c r="F267" s="26"/>
      <c r="G267" s="26"/>
      <c r="H267" s="5"/>
    </row>
    <row r="268" spans="3:8" ht="14.25" customHeight="1">
      <c r="C268" s="245"/>
      <c r="D268" s="26"/>
      <c r="E268" s="26"/>
      <c r="F268" s="26"/>
      <c r="G268" s="26"/>
      <c r="H268" s="5"/>
    </row>
    <row r="269" spans="3:8" ht="14.25" customHeight="1">
      <c r="C269" s="245"/>
      <c r="D269" s="26"/>
      <c r="E269" s="26"/>
      <c r="F269" s="26"/>
      <c r="G269" s="26"/>
      <c r="H269" s="5"/>
    </row>
    <row r="270" spans="3:8" ht="14.25" customHeight="1">
      <c r="C270" s="245"/>
      <c r="D270" s="26"/>
      <c r="E270" s="26"/>
      <c r="F270" s="26"/>
      <c r="G270" s="26"/>
      <c r="H270" s="5"/>
    </row>
    <row r="271" spans="3:8" ht="14.25" customHeight="1">
      <c r="C271" s="245"/>
      <c r="D271" s="26"/>
      <c r="E271" s="26"/>
      <c r="F271" s="26"/>
      <c r="G271" s="26"/>
      <c r="H271" s="5"/>
    </row>
    <row r="272" spans="3:8" ht="14.25" customHeight="1">
      <c r="C272" s="245"/>
      <c r="D272" s="26"/>
      <c r="E272" s="26"/>
      <c r="F272" s="26"/>
      <c r="G272" s="26"/>
      <c r="H272" s="5"/>
    </row>
    <row r="273" spans="2:46" ht="14.25" customHeight="1">
      <c r="C273" s="245"/>
      <c r="D273" s="26"/>
      <c r="E273" s="26"/>
      <c r="F273" s="26"/>
      <c r="G273" s="26"/>
      <c r="H273" s="5"/>
    </row>
    <row r="274" spans="2:46" ht="14.25" customHeight="1">
      <c r="C274" s="245"/>
      <c r="D274" s="26"/>
      <c r="E274" s="26"/>
      <c r="F274" s="26"/>
      <c r="G274" s="26"/>
      <c r="H274" s="5"/>
    </row>
    <row r="275" spans="2:46" ht="14.25" customHeight="1">
      <c r="C275" s="245"/>
      <c r="D275" s="26"/>
      <c r="E275" s="26"/>
      <c r="F275" s="26"/>
      <c r="G275" s="26"/>
      <c r="H275" s="5"/>
    </row>
    <row r="276" spans="2:46" ht="14.25" customHeight="1">
      <c r="C276" s="245"/>
      <c r="D276" s="26"/>
      <c r="E276" s="26"/>
      <c r="F276" s="26"/>
      <c r="G276" s="26"/>
      <c r="H276" s="5"/>
    </row>
    <row r="277" spans="2:46" ht="14.25" customHeight="1">
      <c r="C277" s="245"/>
      <c r="D277" s="26"/>
      <c r="E277" s="26"/>
      <c r="F277" s="26"/>
      <c r="G277" s="26"/>
      <c r="H277" s="5"/>
    </row>
    <row r="278" spans="2:46" ht="14.25" customHeight="1">
      <c r="C278" s="245"/>
      <c r="D278" s="26"/>
      <c r="E278" s="26"/>
      <c r="F278" s="26"/>
      <c r="G278" s="26"/>
      <c r="H278" s="5"/>
    </row>
    <row r="279" spans="2:46" ht="13.5" customHeight="1">
      <c r="C279" s="245"/>
      <c r="D279" s="26"/>
      <c r="E279" s="26"/>
      <c r="F279" s="26"/>
      <c r="G279" s="26"/>
      <c r="H279" s="5"/>
    </row>
    <row r="280" spans="2:46" ht="14.25" customHeight="1">
      <c r="C280" s="245"/>
      <c r="D280" s="26"/>
      <c r="E280" s="26"/>
      <c r="F280" s="26"/>
      <c r="G280" s="26"/>
      <c r="H280" s="5"/>
    </row>
    <row r="281" spans="2:46" ht="14.25" customHeight="1">
      <c r="C281" s="245"/>
      <c r="D281" s="26"/>
      <c r="E281" s="26"/>
      <c r="F281" s="26"/>
      <c r="G281" s="26"/>
      <c r="H281" s="5"/>
    </row>
    <row r="282" spans="2:46" ht="14.25" customHeight="1">
      <c r="C282" s="245"/>
      <c r="D282" s="26"/>
      <c r="E282" s="26"/>
      <c r="F282" s="26"/>
      <c r="G282" s="26"/>
      <c r="H282" s="5"/>
    </row>
    <row r="283" spans="2:46" ht="14.25" customHeight="1">
      <c r="C283" s="245"/>
      <c r="D283" s="26"/>
      <c r="E283" s="26"/>
      <c r="F283" s="26"/>
      <c r="G283" s="26"/>
      <c r="H283" s="5"/>
    </row>
    <row r="284" spans="2:46" ht="14.25" customHeight="1">
      <c r="C284" s="245"/>
      <c r="D284" s="26"/>
      <c r="E284" s="26"/>
      <c r="F284" s="26"/>
      <c r="G284" s="26"/>
      <c r="H284" s="5"/>
    </row>
    <row r="285" spans="2:46" ht="14.25" customHeight="1">
      <c r="C285" s="245"/>
      <c r="D285" s="26"/>
      <c r="E285" s="26"/>
      <c r="F285" s="26"/>
      <c r="G285" s="26"/>
      <c r="H285" s="5"/>
    </row>
    <row r="286" spans="2:46" ht="14.25" customHeight="1">
      <c r="C286" s="245"/>
      <c r="D286" s="26"/>
      <c r="E286" s="26"/>
      <c r="F286" s="26"/>
      <c r="G286" s="26"/>
      <c r="H286" s="5"/>
    </row>
    <row r="287" spans="2:46" s="8" customFormat="1">
      <c r="B287" s="518" t="str">
        <f>TITLE!$C$11</f>
        <v>Полотна каркасно-щитові: ІДЕЯ</v>
      </c>
      <c r="C287" s="518"/>
      <c r="D287" s="118"/>
      <c r="E287" s="118"/>
      <c r="F287" s="118"/>
      <c r="G287" s="118"/>
      <c r="H287" s="118"/>
      <c r="I287" s="121"/>
      <c r="J287" s="121"/>
      <c r="K287" s="121"/>
      <c r="L287" s="121"/>
      <c r="M287" s="121"/>
      <c r="N287" s="121"/>
      <c r="O287" s="121"/>
      <c r="P287" s="121"/>
      <c r="Q287" s="121"/>
      <c r="R287" s="121"/>
      <c r="S287" s="529" t="str">
        <f>IF($C$1="ENG",CONCATENATE("up to: "),CONCATENATE("вгору до: ",B161))</f>
        <v>вгору до: Полотна каркасно-щитові: ГЕОМЕТРІЯ</v>
      </c>
      <c r="T287" s="550"/>
      <c r="U287" s="550"/>
      <c r="V287" s="550"/>
      <c r="W287" s="550"/>
      <c r="AN287" s="280"/>
      <c r="AO287" s="280"/>
      <c r="AP287" s="280"/>
      <c r="AQ287" s="280"/>
      <c r="AR287" s="280"/>
      <c r="AS287" s="280"/>
      <c r="AT287" s="280"/>
    </row>
    <row r="288" spans="2:46" s="8" customFormat="1" ht="5.0999999999999996" customHeight="1">
      <c r="B288" s="117"/>
      <c r="C288" s="419"/>
      <c r="D288" s="9"/>
      <c r="E288" s="9"/>
      <c r="F288" s="9"/>
      <c r="G288" s="9"/>
      <c r="H288" s="10"/>
      <c r="T288" s="115"/>
      <c r="U288" s="115"/>
      <c r="V288" s="115"/>
      <c r="W288" s="115"/>
      <c r="AN288" s="280"/>
      <c r="AO288" s="280"/>
      <c r="AP288" s="280"/>
      <c r="AQ288" s="280"/>
      <c r="AR288" s="280"/>
      <c r="AS288" s="280"/>
      <c r="AT288" s="280"/>
    </row>
    <row r="289" spans="1:42" ht="12.75" customHeight="1">
      <c r="A289" s="8"/>
      <c r="B289" s="536" t="str">
        <f>IF($C$1="ENG","model","модель")</f>
        <v>модель</v>
      </c>
      <c r="C289" s="122" t="str">
        <f>IF($C$1="ENG","cover:","покриття:")</f>
        <v>покриття:</v>
      </c>
      <c r="D289" s="522" t="str">
        <f>IF($C$1="ENG","SIMPL / V-CELL","SIMPL / V-CELL")</f>
        <v>SIMPL / V-CELL</v>
      </c>
      <c r="E289" s="524"/>
      <c r="F289" s="522" t="str">
        <f>IF($C$1="ENG","UNI-MAT","UNI-MAT")</f>
        <v>UNI-MAT</v>
      </c>
      <c r="G289" s="524"/>
      <c r="H289" s="522" t="str">
        <f>IF($C$1="ENG","RESIST","RESIST")</f>
        <v>RESIST</v>
      </c>
      <c r="I289" s="524"/>
      <c r="J289" s="46"/>
      <c r="K289" s="46"/>
      <c r="L289" s="100"/>
      <c r="M289" s="11"/>
      <c r="P289" s="100"/>
      <c r="Q289" s="11"/>
    </row>
    <row r="290" spans="1:42" ht="12.75" customHeight="1">
      <c r="A290" s="8"/>
      <c r="B290" s="537"/>
      <c r="C290" s="123" t="str">
        <f>IF($C$1="ENG","filling:","заповнення:")</f>
        <v>заповнення:</v>
      </c>
      <c r="D290" s="527" t="str">
        <f>IF($C$1="ENG","honeycomb core ","сотове заповнення")</f>
        <v>сотове заповнення</v>
      </c>
      <c r="E290" s="528"/>
      <c r="F290" s="527" t="str">
        <f>IF($C$1="ENG","honeycomb core ","сотове заповнення")</f>
        <v>сотове заповнення</v>
      </c>
      <c r="G290" s="528"/>
      <c r="H290" s="527" t="str">
        <f>IF($C$1="ENG","honeycomb core ","сотове заповнення")</f>
        <v>сотове заповнення</v>
      </c>
      <c r="I290" s="528"/>
      <c r="J290" s="146"/>
      <c r="K290" s="146"/>
      <c r="L290" s="100"/>
      <c r="M290" s="11"/>
      <c r="P290" s="100"/>
      <c r="Q290" s="11"/>
    </row>
    <row r="291" spans="1:42" ht="12.75" customHeight="1">
      <c r="A291" s="8"/>
      <c r="B291" s="538"/>
      <c r="C291" s="124" t="str">
        <f>IF($C$1="ENG","glazing:","скління:")</f>
        <v>скління:</v>
      </c>
      <c r="D291" s="513" t="str">
        <f>IF($C$1="ENG","Satin / Wave","Сатин ")</f>
        <v xml:space="preserve">Сатин </v>
      </c>
      <c r="E291" s="516"/>
      <c r="F291" s="513" t="str">
        <f>IF($C$1="ENG","Satin / Wave","Сатин")</f>
        <v>Сатин</v>
      </c>
      <c r="G291" s="516"/>
      <c r="H291" s="513" t="str">
        <f>IF($C$1="ENG","Satin / Wave","Сатин")</f>
        <v>Сатин</v>
      </c>
      <c r="I291" s="516"/>
      <c r="J291" s="47"/>
      <c r="K291" s="131"/>
      <c r="L291" s="100"/>
      <c r="M291" s="11"/>
      <c r="P291" s="100"/>
      <c r="Q291" s="11"/>
      <c r="AC291" s="1" t="str">
        <f>D289</f>
        <v>SIMPL / V-CELL</v>
      </c>
      <c r="AD291" s="1" t="str">
        <f>F289</f>
        <v>UNI-MAT</v>
      </c>
      <c r="AE291" s="1" t="str">
        <f>H289</f>
        <v>RESIST</v>
      </c>
    </row>
    <row r="292" spans="1:42" ht="35.1" customHeight="1">
      <c r="A292" s="8"/>
      <c r="B292" s="13" t="s">
        <v>26</v>
      </c>
      <c r="C292" s="14"/>
      <c r="D292" s="15">
        <f>IF(AC292="","",(1-$W$2)*(AC292/1.2))</f>
        <v>2075</v>
      </c>
      <c r="E292" s="64">
        <f>IF($W$5=0.2,D292*1.2,D292)/$W$4</f>
        <v>2490</v>
      </c>
      <c r="F292" s="15">
        <f>IF(AD292="","",(1-$W$2)*(AD292/1.2))</f>
        <v>2383.3333333333335</v>
      </c>
      <c r="G292" s="64">
        <f>IF($W$5=0.2,F292*1.2,F292)/$W$4</f>
        <v>2860</v>
      </c>
      <c r="H292" s="15">
        <f>IF(AE292="","",(1-$W$2)*(AE292/1.2))</f>
        <v>2641.666666666667</v>
      </c>
      <c r="I292" s="64">
        <f>IF($W$5=0.2,H292*1.2,H292)/$W$4</f>
        <v>3170.0000000000005</v>
      </c>
      <c r="J292" s="28"/>
      <c r="K292" s="59"/>
      <c r="L292" s="142"/>
      <c r="M292" s="20"/>
      <c r="N292" s="104"/>
      <c r="O292" s="20"/>
      <c r="P292" s="142"/>
      <c r="Q292" s="20"/>
      <c r="R292" s="104"/>
      <c r="S292" s="20"/>
      <c r="T292" s="104"/>
      <c r="V292" s="104"/>
      <c r="W292" s="20"/>
      <c r="X292" s="22"/>
      <c r="Y292" s="22"/>
      <c r="Z292" s="22"/>
      <c r="AA292" s="22"/>
      <c r="AB292" s="22"/>
      <c r="AC292" s="332">
        <v>2490</v>
      </c>
      <c r="AD292" s="332">
        <v>2860</v>
      </c>
      <c r="AE292" s="332">
        <v>3170</v>
      </c>
      <c r="AF292" s="289">
        <v>2490</v>
      </c>
      <c r="AG292" s="289">
        <f>AF292/AC292-1</f>
        <v>0</v>
      </c>
      <c r="AH292" s="289">
        <v>2860</v>
      </c>
      <c r="AI292" s="289">
        <f>AH292/AD292-1</f>
        <v>0</v>
      </c>
      <c r="AJ292" s="289">
        <v>3170</v>
      </c>
      <c r="AK292" s="289">
        <f>AJ292/AE292-1</f>
        <v>0</v>
      </c>
      <c r="AL292" s="289"/>
      <c r="AM292" s="334"/>
      <c r="AN292" s="310"/>
      <c r="AO292" s="334"/>
      <c r="AP292" s="333"/>
    </row>
    <row r="293" spans="1:42" ht="35.1" customHeight="1">
      <c r="A293" s="8"/>
      <c r="B293" s="16" t="s">
        <v>22</v>
      </c>
      <c r="C293" s="17"/>
      <c r="D293" s="18">
        <f>IF(AC293="","",(1-$W$2)*(AC293/1.2))</f>
        <v>3991.666666666667</v>
      </c>
      <c r="E293" s="66">
        <f>IF($W$5=0.2,D293*1.2,D293)/$W$4</f>
        <v>4790</v>
      </c>
      <c r="F293" s="18">
        <f>IF(AD293="","",(1-$W$2)*(AD293/1.2))</f>
        <v>4591.666666666667</v>
      </c>
      <c r="G293" s="66">
        <f>IF($W$5=0.2,F293*1.2,F293)/$W$4</f>
        <v>5510</v>
      </c>
      <c r="H293" s="18">
        <f>IF(AE293="","",(1-$W$2)*(AE293/1.2))</f>
        <v>4958.3333333333339</v>
      </c>
      <c r="I293" s="66">
        <f>IF($W$5=0.2,H293*1.2,H293)/$W$4</f>
        <v>5950.0000000000009</v>
      </c>
      <c r="J293" s="28"/>
      <c r="K293" s="59"/>
      <c r="L293" s="142"/>
      <c r="M293" s="20"/>
      <c r="N293" s="104"/>
      <c r="O293" s="20"/>
      <c r="P293" s="142"/>
      <c r="Q293" s="20"/>
      <c r="R293" s="104"/>
      <c r="S293" s="20"/>
      <c r="T293" s="104"/>
      <c r="V293" s="104"/>
      <c r="W293" s="20"/>
      <c r="AC293" s="332">
        <v>4790</v>
      </c>
      <c r="AD293" s="332">
        <v>5510</v>
      </c>
      <c r="AE293" s="332">
        <v>5950</v>
      </c>
      <c r="AF293" s="289">
        <v>4790</v>
      </c>
      <c r="AG293" s="289">
        <f t="shared" ref="AG293:AG296" si="28">AF293/AC293-1</f>
        <v>0</v>
      </c>
      <c r="AH293" s="289">
        <v>5510</v>
      </c>
      <c r="AI293" s="289">
        <f t="shared" ref="AI293:AI296" si="29">AH293/AD293-1</f>
        <v>0</v>
      </c>
      <c r="AJ293" s="289">
        <v>5950</v>
      </c>
      <c r="AK293" s="289">
        <f>AJ293/AE293-1</f>
        <v>0</v>
      </c>
      <c r="AL293" s="289"/>
      <c r="AM293" s="334"/>
      <c r="AN293" s="310"/>
      <c r="AO293" s="334"/>
      <c r="AP293" s="333"/>
    </row>
    <row r="294" spans="1:42" ht="35.1" customHeight="1">
      <c r="A294" s="8"/>
      <c r="B294" s="16" t="s">
        <v>23</v>
      </c>
      <c r="C294" s="17"/>
      <c r="D294" s="18">
        <f>IF(AC294="","",(1-$W$2)*(AC294/1.2))</f>
        <v>4158.3333333333339</v>
      </c>
      <c r="E294" s="66">
        <f>IF($W$5=0.2,D294*1.2,D294)/$W$4</f>
        <v>4990.0000000000009</v>
      </c>
      <c r="F294" s="18">
        <f>IF(AD294="","",(1-$W$2)*(AD294/1.2))</f>
        <v>4791.666666666667</v>
      </c>
      <c r="G294" s="66">
        <f>IF($W$5=0.2,F294*1.2,F294)/$W$4</f>
        <v>5750</v>
      </c>
      <c r="H294" s="18">
        <f>IF(AE294="","",(1-$W$2)*(AE294/1.2))</f>
        <v>5066.666666666667</v>
      </c>
      <c r="I294" s="66">
        <f>IF($W$5=0.2,H294*1.2,H294)/$W$4</f>
        <v>6080</v>
      </c>
      <c r="J294" s="28"/>
      <c r="K294" s="59"/>
      <c r="L294" s="142"/>
      <c r="M294" s="20"/>
      <c r="N294" s="104"/>
      <c r="O294" s="20"/>
      <c r="P294" s="142"/>
      <c r="Q294" s="20"/>
      <c r="R294" s="104"/>
      <c r="S294" s="20"/>
      <c r="T294" s="104"/>
      <c r="V294" s="104"/>
      <c r="W294" s="20"/>
      <c r="AC294" s="332">
        <v>4990</v>
      </c>
      <c r="AD294" s="332">
        <v>5750</v>
      </c>
      <c r="AE294" s="332">
        <v>6080</v>
      </c>
      <c r="AF294" s="289">
        <v>4990</v>
      </c>
      <c r="AG294" s="289">
        <f t="shared" si="28"/>
        <v>0</v>
      </c>
      <c r="AH294" s="289">
        <v>5750</v>
      </c>
      <c r="AI294" s="289">
        <f t="shared" si="29"/>
        <v>0</v>
      </c>
      <c r="AJ294" s="289">
        <v>6080</v>
      </c>
      <c r="AK294" s="289">
        <f t="shared" ref="AK294:AK296" si="30">AJ294/AE294-1</f>
        <v>0</v>
      </c>
      <c r="AL294" s="289"/>
      <c r="AM294" s="334"/>
      <c r="AN294" s="310"/>
      <c r="AO294" s="334"/>
      <c r="AP294" s="333"/>
    </row>
    <row r="295" spans="1:42" ht="35.1" customHeight="1">
      <c r="A295" s="8"/>
      <c r="B295" s="16" t="s">
        <v>25</v>
      </c>
      <c r="C295" s="17"/>
      <c r="D295" s="18">
        <f>IF(AC295="","",(1-$W$2)*(AC295/1.2))</f>
        <v>4541.666666666667</v>
      </c>
      <c r="E295" s="66">
        <f>IF($W$5=0.2,D295*1.2,D295)/$W$4</f>
        <v>5450</v>
      </c>
      <c r="F295" s="18">
        <f>IF(AD295="","",(1-$W$2)*(AD295/1.2))</f>
        <v>5225</v>
      </c>
      <c r="G295" s="66">
        <f>IF($W$5=0.2,F295*1.2,F295)/$W$4</f>
        <v>6270</v>
      </c>
      <c r="H295" s="18">
        <f>IF(AE295="","",(1-$W$2)*(AE295/1.2))</f>
        <v>5458.3333333333339</v>
      </c>
      <c r="I295" s="66">
        <f>IF($W$5=0.2,H295*1.2,H295)/$W$4</f>
        <v>6550.0000000000009</v>
      </c>
      <c r="J295" s="28"/>
      <c r="K295" s="59"/>
      <c r="L295" s="142"/>
      <c r="M295" s="20"/>
      <c r="N295" s="104"/>
      <c r="O295" s="20"/>
      <c r="P295" s="142"/>
      <c r="Q295" s="20"/>
      <c r="R295" s="104"/>
      <c r="S295" s="20"/>
      <c r="T295" s="104"/>
      <c r="V295" s="104"/>
      <c r="W295" s="20"/>
      <c r="AC295" s="332">
        <v>5450</v>
      </c>
      <c r="AD295" s="332">
        <v>6270</v>
      </c>
      <c r="AE295" s="332">
        <v>6550</v>
      </c>
      <c r="AF295" s="289">
        <v>5450</v>
      </c>
      <c r="AG295" s="289">
        <f t="shared" si="28"/>
        <v>0</v>
      </c>
      <c r="AH295" s="289">
        <v>6270</v>
      </c>
      <c r="AI295" s="289">
        <f t="shared" si="29"/>
        <v>0</v>
      </c>
      <c r="AJ295" s="289">
        <v>6550</v>
      </c>
      <c r="AK295" s="289">
        <f t="shared" si="30"/>
        <v>0</v>
      </c>
      <c r="AL295" s="289"/>
      <c r="AM295" s="334"/>
      <c r="AN295" s="310"/>
      <c r="AO295" s="334"/>
      <c r="AP295" s="333"/>
    </row>
    <row r="296" spans="1:42" ht="35.1" customHeight="1">
      <c r="A296" s="8"/>
      <c r="B296" s="23" t="s">
        <v>27</v>
      </c>
      <c r="C296" s="24"/>
      <c r="D296" s="25">
        <f>IF(AC296="","",(1-$W$2)*(AC296/1.2))</f>
        <v>3475</v>
      </c>
      <c r="E296" s="69">
        <f>IF($W$5=0.2,D296*1.2,D296)/$W$4</f>
        <v>4170</v>
      </c>
      <c r="F296" s="25">
        <f>IF(AD296="","",(1-$W$2)*(AD296/1.2))</f>
        <v>3991.666666666667</v>
      </c>
      <c r="G296" s="69">
        <f>IF($W$5=0.2,F296*1.2,F296)/$W$4</f>
        <v>4790</v>
      </c>
      <c r="H296" s="25">
        <f>IF(AE296="","",(1-$W$2)*(AE296/1.2))</f>
        <v>4158.3333333333339</v>
      </c>
      <c r="I296" s="69">
        <f>IF($W$5=0.2,H296*1.2,H296)/$W$4</f>
        <v>4990.0000000000009</v>
      </c>
      <c r="J296" s="28"/>
      <c r="K296" s="59"/>
      <c r="L296" s="142"/>
      <c r="M296" s="20"/>
      <c r="N296" s="104"/>
      <c r="O296" s="20"/>
      <c r="P296" s="142"/>
      <c r="Q296" s="20"/>
      <c r="R296" s="104"/>
      <c r="S296" s="20"/>
      <c r="T296" s="104"/>
      <c r="V296" s="104"/>
      <c r="W296" s="20"/>
      <c r="AC296" s="332">
        <v>4170</v>
      </c>
      <c r="AD296" s="332">
        <v>4790</v>
      </c>
      <c r="AE296" s="332">
        <v>4990</v>
      </c>
      <c r="AF296" s="289">
        <v>4170</v>
      </c>
      <c r="AG296" s="289">
        <f t="shared" si="28"/>
        <v>0</v>
      </c>
      <c r="AH296" s="289">
        <v>4790</v>
      </c>
      <c r="AI296" s="289">
        <f t="shared" si="29"/>
        <v>0</v>
      </c>
      <c r="AJ296" s="289">
        <v>4990</v>
      </c>
      <c r="AK296" s="289">
        <f t="shared" si="30"/>
        <v>0</v>
      </c>
      <c r="AL296" s="289"/>
      <c r="AM296" s="334"/>
      <c r="AN296" s="310"/>
      <c r="AO296" s="334"/>
      <c r="AP296" s="333"/>
    </row>
    <row r="297" spans="1:42">
      <c r="C297" s="245"/>
      <c r="D297" s="26"/>
      <c r="E297" s="57"/>
      <c r="F297" s="26"/>
      <c r="G297" s="57"/>
      <c r="H297" s="60"/>
      <c r="I297" s="143"/>
      <c r="J297" s="48"/>
      <c r="K297" s="143"/>
      <c r="L297" s="48"/>
      <c r="P297" s="48"/>
    </row>
    <row r="298" spans="1:42">
      <c r="B298" s="212" t="str">
        <f>IF($C$1="ENG","For additonal charge:","Послуги за додаткову плату:")</f>
        <v>Послуги за додаткову плату:</v>
      </c>
      <c r="C298" s="420"/>
      <c r="D298" s="213"/>
      <c r="E298" s="214"/>
      <c r="F298" s="26"/>
      <c r="G298" s="26"/>
      <c r="H298" s="10"/>
      <c r="I298" s="84"/>
      <c r="K298" s="20"/>
    </row>
    <row r="299" spans="1:42" ht="5.0999999999999996" customHeight="1">
      <c r="B299" s="27"/>
      <c r="C299" s="245"/>
      <c r="D299" s="26"/>
      <c r="E299" s="57"/>
      <c r="F299" s="26"/>
      <c r="G299" s="26"/>
      <c r="H299" s="10"/>
      <c r="I299" s="8"/>
      <c r="K299" s="20"/>
    </row>
    <row r="300" spans="1:42">
      <c r="B300" s="539" t="str">
        <f>IF($C$1="ENG","Ventilation sleeves (1 row)","вентиляційні віддушини (1ряд)")</f>
        <v>вентиляційні віддушини (1ряд)</v>
      </c>
      <c r="C300" s="540"/>
      <c r="D300" s="409">
        <f t="shared" ref="D300:D313" si="31">IF(AC300="","",(1-$W$2)*(AC300/1.2))</f>
        <v>208.33333333333334</v>
      </c>
      <c r="E300" s="64">
        <f t="shared" ref="E300:E311" si="32">IF($W$5=0.2,D300*1.2,D300)/$W$4</f>
        <v>250</v>
      </c>
      <c r="F300" s="26"/>
      <c r="G300" s="26"/>
      <c r="AC300" s="298">
        <v>250</v>
      </c>
      <c r="AD300" s="289">
        <v>250</v>
      </c>
      <c r="AE300" s="289">
        <f t="shared" ref="AE300" si="33">AD300/AC300-1</f>
        <v>0</v>
      </c>
      <c r="AF300" s="289"/>
      <c r="AG300" s="289"/>
      <c r="AH300" s="289"/>
      <c r="AI300" s="289"/>
      <c r="AJ300" s="289"/>
      <c r="AK300" s="289"/>
      <c r="AL300" s="289"/>
    </row>
    <row r="301" spans="1:42">
      <c r="B301" s="539" t="str">
        <f>IF($C$1="ENG","Ventilation cut","вентиляційний підріз")</f>
        <v>вентиляційний підріз</v>
      </c>
      <c r="C301" s="540"/>
      <c r="D301" s="404">
        <f t="shared" si="31"/>
        <v>141.66666666666669</v>
      </c>
      <c r="E301" s="66">
        <f t="shared" si="32"/>
        <v>170.00000000000003</v>
      </c>
      <c r="F301" s="26"/>
      <c r="G301" s="26"/>
      <c r="I301" s="59"/>
      <c r="J301" s="28"/>
      <c r="AC301" s="298">
        <v>170</v>
      </c>
      <c r="AD301" s="289">
        <v>170</v>
      </c>
      <c r="AE301" s="289">
        <f t="shared" ref="AE301:AE313" si="34">AD301/AC301-1</f>
        <v>0</v>
      </c>
      <c r="AF301" s="289"/>
      <c r="AG301" s="289"/>
      <c r="AH301" s="289"/>
      <c r="AI301" s="289"/>
      <c r="AJ301" s="289"/>
      <c r="AK301" s="289"/>
      <c r="AL301" s="289"/>
    </row>
    <row r="302" spans="1:42">
      <c r="B302" s="539" t="str">
        <f>IF($C$1="ENG","third door hindge","третя завіса")</f>
        <v>третя завіса</v>
      </c>
      <c r="C302" s="540"/>
      <c r="D302" s="404">
        <f t="shared" si="31"/>
        <v>66.666666666666671</v>
      </c>
      <c r="E302" s="66">
        <f t="shared" si="32"/>
        <v>80</v>
      </c>
      <c r="F302" s="26"/>
      <c r="G302" s="26"/>
      <c r="AC302" s="298">
        <v>80</v>
      </c>
      <c r="AD302" s="289">
        <v>80</v>
      </c>
      <c r="AE302" s="289">
        <f t="shared" si="34"/>
        <v>0</v>
      </c>
      <c r="AF302" s="289"/>
      <c r="AG302" s="289"/>
      <c r="AH302" s="289"/>
      <c r="AI302" s="289"/>
      <c r="AJ302" s="289"/>
      <c r="AK302" s="289"/>
      <c r="AL302" s="289"/>
    </row>
    <row r="303" spans="1:42">
      <c r="B303" s="532" t="str">
        <f>IF($C$1="ENG","glazing Graphite / Bronze","скло Графіт / Бронза")</f>
        <v>скло Графіт / Бронза</v>
      </c>
      <c r="C303" s="533"/>
      <c r="D303" s="406">
        <f>IF(AC303="","",(1-$W$2)*(AC303/1.2))</f>
        <v>458.33333333333337</v>
      </c>
      <c r="E303" s="93">
        <f>IF($W$5=0.2,D303*1.2,D303)/$W$4</f>
        <v>550</v>
      </c>
      <c r="F303" s="26"/>
      <c r="G303" s="26"/>
      <c r="H303" s="5"/>
      <c r="AC303" s="298">
        <v>550</v>
      </c>
      <c r="AD303" s="289">
        <v>550</v>
      </c>
      <c r="AE303" s="289">
        <f t="shared" si="34"/>
        <v>0</v>
      </c>
      <c r="AF303" s="289"/>
      <c r="AG303" s="289"/>
      <c r="AH303" s="289"/>
      <c r="AI303" s="289"/>
      <c r="AJ303" s="289"/>
      <c r="AK303" s="289"/>
      <c r="AL303" s="289"/>
    </row>
    <row r="304" spans="1:42">
      <c r="B304" s="532" t="str">
        <f>IF($C$1="ENG","door lock Soft","замок Soft")</f>
        <v>замок Soft</v>
      </c>
      <c r="C304" s="533"/>
      <c r="D304" s="406">
        <f t="shared" si="31"/>
        <v>458.33333333333337</v>
      </c>
      <c r="E304" s="93">
        <f t="shared" si="32"/>
        <v>550</v>
      </c>
      <c r="F304" s="26"/>
      <c r="G304" s="26"/>
      <c r="H304" s="5"/>
      <c r="AC304" s="298">
        <v>550</v>
      </c>
      <c r="AD304" s="289">
        <v>550</v>
      </c>
      <c r="AE304" s="289">
        <f t="shared" si="34"/>
        <v>0</v>
      </c>
      <c r="AF304" s="289"/>
      <c r="AG304" s="289"/>
      <c r="AH304" s="289"/>
      <c r="AI304" s="289"/>
      <c r="AJ304" s="289"/>
      <c r="AK304" s="289"/>
      <c r="AL304" s="289"/>
    </row>
    <row r="305" spans="2:38">
      <c r="B305" s="532" t="str">
        <f>IF($C$1="ENG","door lock Soft black","замок Soft чорн.")</f>
        <v>замок Soft чорн.</v>
      </c>
      <c r="C305" s="533"/>
      <c r="D305" s="406">
        <f t="shared" ref="D305" si="35">IF(AC305="","",(1-$W$2)*(AC305/1.2))</f>
        <v>566.66666666666674</v>
      </c>
      <c r="E305" s="93">
        <f t="shared" ref="E305" si="36">IF($W$5=0.2,D305*1.2,D305)/$W$4</f>
        <v>680.00000000000011</v>
      </c>
      <c r="F305" s="26"/>
      <c r="G305" s="26"/>
      <c r="H305" s="5"/>
      <c r="AC305" s="298">
        <v>680</v>
      </c>
      <c r="AD305" s="289"/>
      <c r="AE305" s="289"/>
      <c r="AF305" s="289"/>
      <c r="AG305" s="289"/>
      <c r="AH305" s="289"/>
      <c r="AI305" s="289"/>
      <c r="AJ305" s="289"/>
      <c r="AK305" s="289"/>
      <c r="AL305" s="289"/>
    </row>
    <row r="306" spans="2:38">
      <c r="B306" s="532" t="str">
        <f>IF($C$1="ENG","door lock Magnet","замок Magnet")</f>
        <v>замок Magnet</v>
      </c>
      <c r="C306" s="533"/>
      <c r="D306" s="406">
        <f t="shared" si="31"/>
        <v>666.66666666666674</v>
      </c>
      <c r="E306" s="93">
        <f t="shared" si="32"/>
        <v>800.00000000000011</v>
      </c>
      <c r="F306" s="26"/>
      <c r="G306" s="26"/>
      <c r="H306" s="5"/>
      <c r="AC306" s="298">
        <v>800</v>
      </c>
      <c r="AD306" s="289">
        <v>800</v>
      </c>
      <c r="AE306" s="289">
        <f t="shared" si="34"/>
        <v>0</v>
      </c>
      <c r="AF306" s="289"/>
      <c r="AG306" s="289"/>
      <c r="AH306" s="289"/>
      <c r="AI306" s="289"/>
      <c r="AJ306" s="289"/>
      <c r="AK306" s="289"/>
      <c r="AL306" s="289"/>
    </row>
    <row r="307" spans="2:38">
      <c r="B307" s="532" t="s">
        <v>75</v>
      </c>
      <c r="C307" s="533"/>
      <c r="D307" s="406">
        <f t="shared" ref="D307" si="37">IF(AC307="","",(1-$W$2)*(AC307/1.2))</f>
        <v>833.33333333333337</v>
      </c>
      <c r="E307" s="93">
        <f t="shared" si="32"/>
        <v>1000</v>
      </c>
      <c r="F307" s="26"/>
      <c r="G307" s="26"/>
      <c r="H307" s="5"/>
      <c r="AC307" s="298">
        <v>1000</v>
      </c>
      <c r="AD307" s="289"/>
      <c r="AE307" s="289"/>
      <c r="AF307" s="289"/>
      <c r="AG307" s="289"/>
      <c r="AH307" s="289"/>
      <c r="AI307" s="289"/>
      <c r="AJ307" s="289"/>
      <c r="AK307" s="289"/>
      <c r="AL307" s="289"/>
    </row>
    <row r="308" spans="2:38">
      <c r="B308" s="532" t="str">
        <f>IF($C$1="ENG","door handle-lock (for sliding doors)","ручка-замок (для дверей купе)")</f>
        <v>ручка-замок (для дверей купе)</v>
      </c>
      <c r="C308" s="533"/>
      <c r="D308" s="404">
        <f t="shared" si="31"/>
        <v>466.66666666666669</v>
      </c>
      <c r="E308" s="66">
        <f t="shared" si="32"/>
        <v>560</v>
      </c>
      <c r="F308" s="26"/>
      <c r="G308" s="26"/>
      <c r="I308" s="30"/>
      <c r="K308" s="30"/>
      <c r="AC308" s="298">
        <v>560</v>
      </c>
      <c r="AD308" s="289">
        <v>560</v>
      </c>
      <c r="AE308" s="289">
        <f t="shared" si="34"/>
        <v>0</v>
      </c>
      <c r="AF308" s="289"/>
      <c r="AG308" s="289"/>
      <c r="AH308" s="289"/>
      <c r="AI308" s="289"/>
      <c r="AJ308" s="289"/>
      <c r="AK308" s="289"/>
      <c r="AL308" s="289"/>
    </row>
    <row r="309" spans="2:38">
      <c r="B309" s="532" t="str">
        <f>IF($C$1="ENG","cylinder incert","циліндр несиметричний")</f>
        <v>циліндр несиметричний</v>
      </c>
      <c r="C309" s="533"/>
      <c r="D309" s="404">
        <f t="shared" si="31"/>
        <v>325</v>
      </c>
      <c r="E309" s="66">
        <f t="shared" si="32"/>
        <v>390</v>
      </c>
      <c r="F309" s="26"/>
      <c r="G309" s="26"/>
      <c r="AC309" s="298">
        <v>390</v>
      </c>
      <c r="AD309" s="289">
        <v>390</v>
      </c>
      <c r="AE309" s="289">
        <f t="shared" si="34"/>
        <v>0</v>
      </c>
      <c r="AF309" s="289"/>
      <c r="AG309" s="289"/>
      <c r="AH309" s="289"/>
      <c r="AI309" s="289"/>
      <c r="AJ309" s="289"/>
      <c r="AK309" s="289"/>
      <c r="AL309" s="289"/>
    </row>
    <row r="310" spans="2:38">
      <c r="B310" s="532" t="str">
        <f>IF($C$1="ENG","door hindge Prestige (1 unit)","завіса Prestige (1 шт)")</f>
        <v>завіса Prestige (1 шт)</v>
      </c>
      <c r="C310" s="533"/>
      <c r="D310" s="407">
        <f t="shared" si="31"/>
        <v>216.66666666666669</v>
      </c>
      <c r="E310" s="66">
        <f t="shared" si="32"/>
        <v>260</v>
      </c>
      <c r="F310" s="26"/>
      <c r="G310" s="26"/>
      <c r="AC310" s="298">
        <v>260</v>
      </c>
      <c r="AD310" s="289">
        <v>260</v>
      </c>
      <c r="AE310" s="289">
        <f t="shared" si="34"/>
        <v>0</v>
      </c>
      <c r="AF310" s="289"/>
      <c r="AG310" s="289"/>
      <c r="AH310" s="289"/>
      <c r="AI310" s="289"/>
      <c r="AJ310" s="289"/>
      <c r="AK310" s="289"/>
      <c r="AL310" s="289"/>
    </row>
    <row r="311" spans="2:38">
      <c r="B311" s="532" t="str">
        <f>IF($C$1="ENG","door hinge caps (1 set)","накладка на завіси (1 к-т)")</f>
        <v>накладка на завіси (1 к-т)</v>
      </c>
      <c r="C311" s="533"/>
      <c r="D311" s="407">
        <f t="shared" si="31"/>
        <v>66.666666666666671</v>
      </c>
      <c r="E311" s="66">
        <f t="shared" si="32"/>
        <v>80</v>
      </c>
      <c r="F311" s="26"/>
      <c r="G311" s="26"/>
      <c r="AC311" s="298">
        <v>80</v>
      </c>
      <c r="AD311" s="289">
        <v>80</v>
      </c>
      <c r="AE311" s="289">
        <f t="shared" si="34"/>
        <v>0</v>
      </c>
      <c r="AF311" s="289"/>
      <c r="AG311" s="289"/>
      <c r="AH311" s="289"/>
      <c r="AI311" s="289"/>
      <c r="AJ311" s="289"/>
      <c r="AK311" s="289"/>
      <c r="AL311" s="289"/>
    </row>
    <row r="312" spans="2:38">
      <c r="B312" s="532" t="str">
        <f>IF($C$1="ENG","door handle","дверна ручка")</f>
        <v>дверна ручка</v>
      </c>
      <c r="C312" s="533"/>
      <c r="D312" s="404">
        <f t="shared" si="31"/>
        <v>0</v>
      </c>
      <c r="E312" s="136" t="str">
        <f>IF($C$1="ENG","see Handles Price","див. Таблицю Ручки")</f>
        <v>див. Таблицю Ручки</v>
      </c>
      <c r="F312" s="26"/>
      <c r="G312" s="26"/>
      <c r="AC312" s="298">
        <v>0</v>
      </c>
      <c r="AD312" s="289">
        <f t="shared" ref="AD312" si="38">AC312/100*13+AC312</f>
        <v>0</v>
      </c>
      <c r="AE312" s="289" t="e">
        <f t="shared" si="34"/>
        <v>#DIV/0!</v>
      </c>
      <c r="AF312" s="289"/>
      <c r="AG312" s="289"/>
      <c r="AH312" s="289"/>
      <c r="AI312" s="289"/>
      <c r="AJ312" s="289"/>
      <c r="AK312" s="289"/>
      <c r="AL312" s="289"/>
    </row>
    <row r="313" spans="2:38">
      <c r="B313" s="532" t="str">
        <f>IF($C$1="ENG","perforated chipboard","ДСП трубчасте")</f>
        <v>ДСП трубчасте</v>
      </c>
      <c r="C313" s="533"/>
      <c r="D313" s="408">
        <f t="shared" si="31"/>
        <v>1083.3333333333335</v>
      </c>
      <c r="E313" s="69">
        <f>IF($W$5=0.2,D313*1.2,D313)/$W$4</f>
        <v>1300.0000000000002</v>
      </c>
      <c r="F313" s="26"/>
      <c r="G313" s="26"/>
      <c r="AC313" s="298">
        <v>1300</v>
      </c>
      <c r="AD313" s="289">
        <v>1300</v>
      </c>
      <c r="AE313" s="289">
        <f t="shared" si="34"/>
        <v>0</v>
      </c>
      <c r="AF313" s="289"/>
      <c r="AG313" s="289"/>
      <c r="AH313" s="289"/>
      <c r="AI313" s="289"/>
      <c r="AJ313" s="289"/>
      <c r="AK313" s="289"/>
      <c r="AL313" s="289"/>
    </row>
    <row r="314" spans="2:38" ht="14.25" customHeight="1">
      <c r="C314" s="245"/>
      <c r="D314" s="26"/>
      <c r="E314" s="26"/>
      <c r="F314" s="26"/>
      <c r="G314" s="26"/>
      <c r="H314" s="5"/>
      <c r="T314" s="548" t="str">
        <f>IF($C$1="ENG",CONCATENATE("down to: ",B364),CONCATENATE("вниз до: ",B364))</f>
        <v>вниз до: Полотна каркасно-щитові: ІДЕЯ-ЛОФТ</v>
      </c>
      <c r="U314" s="548"/>
      <c r="V314" s="548"/>
      <c r="W314" s="548"/>
    </row>
    <row r="315" spans="2:38" ht="14.25" customHeight="1">
      <c r="C315" s="245"/>
      <c r="D315" s="26"/>
      <c r="E315" s="26"/>
      <c r="F315" s="26"/>
      <c r="G315" s="26"/>
      <c r="H315" s="5"/>
    </row>
    <row r="316" spans="2:38" ht="14.25" customHeight="1">
      <c r="C316" s="245"/>
      <c r="D316" s="26"/>
      <c r="E316" s="26"/>
      <c r="F316" s="26"/>
      <c r="G316" s="26"/>
      <c r="H316" s="5"/>
    </row>
    <row r="317" spans="2:38" ht="14.25" customHeight="1">
      <c r="C317" s="245"/>
      <c r="D317" s="26"/>
      <c r="E317" s="26"/>
      <c r="F317" s="26"/>
      <c r="G317" s="26"/>
      <c r="H317" s="5"/>
    </row>
    <row r="318" spans="2:38" ht="14.25" customHeight="1">
      <c r="C318" s="245"/>
      <c r="D318" s="26"/>
      <c r="E318" s="26"/>
      <c r="F318" s="26"/>
      <c r="G318" s="26"/>
      <c r="H318" s="5"/>
    </row>
    <row r="319" spans="2:38" ht="14.25" customHeight="1">
      <c r="C319" s="245"/>
      <c r="D319" s="26"/>
      <c r="E319" s="26"/>
      <c r="F319" s="26"/>
      <c r="G319" s="26"/>
      <c r="H319" s="5"/>
    </row>
    <row r="320" spans="2:38" ht="14.25" customHeight="1">
      <c r="C320" s="245"/>
      <c r="D320" s="26"/>
      <c r="E320" s="26"/>
      <c r="F320" s="26"/>
      <c r="G320" s="26"/>
      <c r="H320" s="5"/>
    </row>
    <row r="321" spans="3:8" ht="14.25" customHeight="1">
      <c r="C321" s="245"/>
      <c r="D321" s="26"/>
      <c r="E321" s="26"/>
      <c r="F321" s="26"/>
      <c r="G321" s="26"/>
      <c r="H321" s="5"/>
    </row>
    <row r="322" spans="3:8" ht="14.25" customHeight="1">
      <c r="C322" s="245"/>
      <c r="D322" s="26"/>
      <c r="E322" s="26"/>
      <c r="F322" s="26"/>
      <c r="G322" s="26"/>
      <c r="H322" s="5"/>
    </row>
    <row r="323" spans="3:8" ht="14.25" customHeight="1">
      <c r="C323" s="245"/>
      <c r="D323" s="26"/>
      <c r="E323" s="26"/>
      <c r="F323" s="26"/>
      <c r="G323" s="26"/>
      <c r="H323" s="5"/>
    </row>
    <row r="324" spans="3:8" ht="14.25" customHeight="1">
      <c r="C324" s="245"/>
      <c r="D324" s="26"/>
      <c r="E324" s="26"/>
      <c r="F324" s="26"/>
      <c r="G324" s="26"/>
      <c r="H324" s="5"/>
    </row>
    <row r="325" spans="3:8" ht="14.25" customHeight="1">
      <c r="C325" s="245"/>
      <c r="D325" s="26"/>
      <c r="E325" s="26"/>
      <c r="F325" s="26"/>
      <c r="G325" s="26"/>
      <c r="H325" s="5"/>
    </row>
    <row r="326" spans="3:8" ht="14.25" customHeight="1">
      <c r="C326" s="245"/>
      <c r="D326" s="26"/>
      <c r="E326" s="26"/>
      <c r="F326" s="26"/>
      <c r="G326" s="26"/>
      <c r="H326" s="5"/>
    </row>
    <row r="327" spans="3:8" ht="14.25" customHeight="1">
      <c r="C327" s="245"/>
      <c r="D327" s="26"/>
      <c r="E327" s="26"/>
      <c r="F327" s="26"/>
      <c r="G327" s="26"/>
      <c r="H327" s="5"/>
    </row>
    <row r="328" spans="3:8" ht="14.25" customHeight="1">
      <c r="C328" s="245"/>
      <c r="D328" s="26"/>
      <c r="E328" s="26"/>
      <c r="F328" s="26"/>
      <c r="G328" s="26"/>
      <c r="H328" s="5"/>
    </row>
    <row r="329" spans="3:8" ht="14.25" customHeight="1">
      <c r="C329" s="245"/>
      <c r="D329" s="26"/>
      <c r="E329" s="26"/>
      <c r="F329" s="26"/>
      <c r="G329" s="26"/>
      <c r="H329" s="5"/>
    </row>
    <row r="330" spans="3:8" ht="14.25" customHeight="1">
      <c r="C330" s="245"/>
      <c r="D330" s="26"/>
      <c r="E330" s="26"/>
      <c r="F330" s="26"/>
      <c r="G330" s="26"/>
      <c r="H330" s="5"/>
    </row>
    <row r="331" spans="3:8" ht="14.25" customHeight="1">
      <c r="C331" s="245"/>
      <c r="D331" s="26"/>
      <c r="E331" s="26"/>
      <c r="F331" s="26"/>
      <c r="G331" s="26"/>
      <c r="H331" s="5"/>
    </row>
    <row r="332" spans="3:8" ht="14.25" customHeight="1">
      <c r="C332" s="245"/>
      <c r="D332" s="26"/>
      <c r="E332" s="26"/>
      <c r="F332" s="26"/>
      <c r="G332" s="26"/>
      <c r="H332" s="5"/>
    </row>
    <row r="333" spans="3:8" ht="14.25" customHeight="1">
      <c r="C333" s="245"/>
      <c r="D333" s="26"/>
      <c r="E333" s="26"/>
      <c r="F333" s="26"/>
      <c r="G333" s="26"/>
      <c r="H333" s="5"/>
    </row>
    <row r="334" spans="3:8" ht="14.25" customHeight="1">
      <c r="C334" s="245"/>
      <c r="D334" s="26"/>
      <c r="E334" s="26"/>
      <c r="F334" s="26"/>
      <c r="G334" s="26"/>
      <c r="H334" s="5"/>
    </row>
    <row r="335" spans="3:8" ht="14.25" customHeight="1">
      <c r="C335" s="245"/>
      <c r="D335" s="26"/>
      <c r="E335" s="26"/>
      <c r="F335" s="26"/>
      <c r="G335" s="26"/>
      <c r="H335" s="5"/>
    </row>
    <row r="336" spans="3:8" ht="14.25" customHeight="1">
      <c r="C336" s="245"/>
      <c r="D336" s="26"/>
      <c r="E336" s="26"/>
      <c r="F336" s="26"/>
      <c r="G336" s="26"/>
      <c r="H336" s="5"/>
    </row>
    <row r="337" spans="2:8" ht="14.25" customHeight="1">
      <c r="C337" s="245"/>
      <c r="D337" s="26"/>
      <c r="E337" s="26"/>
      <c r="F337" s="26"/>
      <c r="G337" s="26"/>
      <c r="H337" s="5"/>
    </row>
    <row r="338" spans="2:8" ht="14.25" customHeight="1">
      <c r="C338" s="245"/>
      <c r="D338" s="26"/>
      <c r="E338" s="26"/>
      <c r="F338" s="26"/>
      <c r="G338" s="26"/>
      <c r="H338" s="5"/>
    </row>
    <row r="339" spans="2:8" ht="14.25" customHeight="1">
      <c r="C339" s="245"/>
      <c r="D339" s="26"/>
      <c r="E339" s="26"/>
      <c r="F339" s="26"/>
      <c r="G339" s="26"/>
      <c r="H339" s="5"/>
    </row>
    <row r="340" spans="2:8" ht="14.25" customHeight="1">
      <c r="C340" s="245"/>
      <c r="D340" s="26"/>
      <c r="E340" s="26"/>
      <c r="F340" s="26"/>
      <c r="G340" s="26"/>
      <c r="H340" s="5"/>
    </row>
    <row r="341" spans="2:8" ht="14.25" customHeight="1">
      <c r="C341" s="245"/>
      <c r="D341" s="26"/>
      <c r="E341" s="26"/>
      <c r="F341" s="26"/>
      <c r="G341" s="26"/>
      <c r="H341" s="5"/>
    </row>
    <row r="342" spans="2:8" ht="14.25" customHeight="1">
      <c r="C342" s="245"/>
      <c r="D342" s="26"/>
      <c r="E342" s="26"/>
      <c r="F342" s="26"/>
      <c r="G342" s="26"/>
      <c r="H342" s="5"/>
    </row>
    <row r="343" spans="2:8" ht="14.25" customHeight="1">
      <c r="C343" s="245"/>
      <c r="D343" s="26"/>
      <c r="E343" s="26"/>
      <c r="F343" s="26"/>
      <c r="G343" s="26"/>
      <c r="H343" s="5"/>
    </row>
    <row r="344" spans="2:8" ht="14.25" customHeight="1">
      <c r="C344" s="245"/>
      <c r="D344" s="26"/>
      <c r="E344" s="26"/>
      <c r="F344" s="26"/>
      <c r="G344" s="26"/>
      <c r="H344" s="5"/>
    </row>
    <row r="345" spans="2:8" ht="14.25" customHeight="1">
      <c r="B345" s="38"/>
      <c r="C345" s="422"/>
      <c r="D345" s="39"/>
      <c r="E345" s="39"/>
      <c r="F345" s="39"/>
      <c r="G345" s="39"/>
      <c r="H345" s="5"/>
    </row>
    <row r="346" spans="2:8" ht="14.25" customHeight="1">
      <c r="C346" s="245"/>
      <c r="D346" s="26"/>
      <c r="E346" s="26"/>
      <c r="F346" s="26"/>
      <c r="G346" s="26"/>
      <c r="H346" s="5"/>
    </row>
    <row r="347" spans="2:8" ht="14.25" customHeight="1">
      <c r="C347" s="245"/>
      <c r="D347" s="26"/>
      <c r="E347" s="26"/>
      <c r="F347" s="26"/>
      <c r="G347" s="26"/>
      <c r="H347" s="5"/>
    </row>
    <row r="348" spans="2:8" ht="14.25" customHeight="1">
      <c r="C348" s="245"/>
      <c r="D348" s="26"/>
      <c r="E348" s="26"/>
      <c r="F348" s="26"/>
      <c r="G348" s="26"/>
      <c r="H348" s="5"/>
    </row>
    <row r="349" spans="2:8" ht="14.25" customHeight="1">
      <c r="C349" s="245"/>
      <c r="D349" s="26"/>
      <c r="E349" s="26"/>
      <c r="F349" s="26"/>
      <c r="G349" s="26"/>
      <c r="H349" s="5"/>
    </row>
    <row r="350" spans="2:8" ht="14.25" customHeight="1">
      <c r="C350" s="245"/>
      <c r="D350" s="26"/>
      <c r="E350" s="26"/>
      <c r="F350" s="26"/>
      <c r="G350" s="26"/>
      <c r="H350" s="5"/>
    </row>
    <row r="351" spans="2:8" ht="14.25" customHeight="1">
      <c r="C351" s="245"/>
      <c r="D351" s="26"/>
      <c r="E351" s="26"/>
      <c r="F351" s="26"/>
      <c r="G351" s="26"/>
      <c r="H351" s="5"/>
    </row>
    <row r="352" spans="2:8" ht="14.25" customHeight="1">
      <c r="C352" s="245"/>
      <c r="D352" s="26"/>
      <c r="E352" s="26"/>
      <c r="F352" s="26"/>
      <c r="G352" s="26"/>
      <c r="H352" s="5"/>
    </row>
    <row r="353" spans="1:46" ht="14.25" customHeight="1">
      <c r="C353" s="245"/>
      <c r="D353" s="26"/>
      <c r="E353" s="26"/>
      <c r="F353" s="26"/>
      <c r="G353" s="26"/>
      <c r="H353" s="5"/>
    </row>
    <row r="354" spans="1:46" ht="14.25" customHeight="1">
      <c r="C354" s="245"/>
      <c r="D354" s="26"/>
      <c r="E354" s="26"/>
      <c r="F354" s="26"/>
      <c r="G354" s="26"/>
      <c r="H354" s="5"/>
    </row>
    <row r="355" spans="1:46" ht="14.25" customHeight="1">
      <c r="C355" s="245"/>
      <c r="D355" s="26"/>
      <c r="E355" s="26"/>
      <c r="F355" s="26"/>
      <c r="G355" s="26"/>
      <c r="H355" s="5"/>
    </row>
    <row r="356" spans="1:46" ht="14.25" customHeight="1">
      <c r="C356" s="245"/>
      <c r="D356" s="26"/>
      <c r="E356" s="26"/>
      <c r="F356" s="26"/>
      <c r="G356" s="26"/>
      <c r="H356" s="5"/>
    </row>
    <row r="357" spans="1:46" ht="14.25" customHeight="1">
      <c r="C357" s="245"/>
      <c r="D357" s="26"/>
      <c r="E357" s="26"/>
      <c r="F357" s="26"/>
      <c r="G357" s="26"/>
      <c r="H357" s="5"/>
    </row>
    <row r="358" spans="1:46" ht="14.25" customHeight="1">
      <c r="C358" s="245"/>
      <c r="D358" s="26"/>
      <c r="E358" s="26"/>
      <c r="F358" s="26"/>
      <c r="G358" s="26"/>
      <c r="H358" s="5"/>
    </row>
    <row r="359" spans="1:46" ht="14.25" customHeight="1">
      <c r="C359" s="245"/>
      <c r="D359" s="26"/>
      <c r="E359" s="26"/>
      <c r="F359" s="26"/>
      <c r="G359" s="26"/>
      <c r="H359" s="5"/>
    </row>
    <row r="360" spans="1:46" ht="14.25" customHeight="1">
      <c r="C360" s="245"/>
      <c r="D360" s="26"/>
      <c r="E360" s="26"/>
      <c r="F360" s="26"/>
      <c r="G360" s="26"/>
      <c r="H360" s="5"/>
    </row>
    <row r="361" spans="1:46" ht="14.25" customHeight="1">
      <c r="C361" s="245"/>
      <c r="D361" s="26"/>
      <c r="E361" s="26"/>
      <c r="F361" s="26"/>
      <c r="G361" s="26"/>
      <c r="H361" s="5"/>
    </row>
    <row r="362" spans="1:46" ht="14.25" customHeight="1">
      <c r="C362" s="245"/>
      <c r="D362" s="26"/>
      <c r="E362" s="26"/>
      <c r="F362" s="26"/>
      <c r="G362" s="26"/>
      <c r="H362" s="5"/>
    </row>
    <row r="363" spans="1:46" ht="14.25" customHeight="1">
      <c r="C363" s="245"/>
      <c r="D363" s="26"/>
      <c r="E363" s="26"/>
      <c r="F363" s="26"/>
      <c r="G363" s="26"/>
      <c r="H363" s="5"/>
    </row>
    <row r="364" spans="1:46" s="8" customFormat="1">
      <c r="B364" s="518" t="str">
        <f>TITLE!$C$12</f>
        <v>Полотна каркасно-щитові: ІДЕЯ-ЛОФТ</v>
      </c>
      <c r="C364" s="518"/>
      <c r="D364" s="542"/>
      <c r="E364" s="542"/>
      <c r="F364" s="118"/>
      <c r="G364" s="118"/>
      <c r="H364" s="118"/>
      <c r="I364" s="121"/>
      <c r="J364" s="121"/>
      <c r="K364" s="121"/>
      <c r="L364" s="121"/>
      <c r="M364" s="121"/>
      <c r="N364" s="121"/>
      <c r="O364" s="121"/>
      <c r="P364" s="121"/>
      <c r="Q364" s="121"/>
      <c r="R364" s="121"/>
      <c r="S364" s="121"/>
      <c r="T364" s="521" t="str">
        <f>IF($C$1="ENG",CONCATENATE("up to: ",B287),CONCATENATE("вгору до: ",B287))</f>
        <v>вгору до: Полотна каркасно-щитові: ІДЕЯ</v>
      </c>
      <c r="U364" s="521"/>
      <c r="V364" s="521"/>
      <c r="W364" s="521"/>
      <c r="AN364" s="280"/>
      <c r="AO364" s="280"/>
      <c r="AP364" s="280"/>
      <c r="AQ364" s="280"/>
      <c r="AR364" s="280"/>
      <c r="AS364" s="280"/>
      <c r="AT364" s="280"/>
    </row>
    <row r="365" spans="1:46" s="8" customFormat="1" ht="5.0999999999999996" customHeight="1">
      <c r="B365" s="117"/>
      <c r="C365" s="419"/>
      <c r="D365" s="9"/>
      <c r="E365" s="9"/>
      <c r="F365" s="10"/>
      <c r="G365" s="10"/>
      <c r="H365" s="10"/>
      <c r="T365" s="115"/>
      <c r="U365" s="115"/>
      <c r="V365" s="115"/>
      <c r="W365" s="115"/>
      <c r="AN365" s="280"/>
      <c r="AO365" s="280"/>
      <c r="AP365" s="280"/>
      <c r="AQ365" s="280"/>
      <c r="AR365" s="280"/>
      <c r="AS365" s="280"/>
      <c r="AT365" s="280"/>
    </row>
    <row r="366" spans="1:46" ht="12.75" customHeight="1">
      <c r="A366" s="8"/>
      <c r="B366" s="536" t="str">
        <f>IF($C$1="ENG","model","модель")</f>
        <v>модель</v>
      </c>
      <c r="C366" s="122" t="str">
        <f>IF($C$1="ENG","cover:","покриття:")</f>
        <v>покриття:</v>
      </c>
      <c r="D366" s="522" t="str">
        <f>IF($C$1="ENG","LOFT","LOFT")</f>
        <v>LOFT</v>
      </c>
      <c r="E366" s="524"/>
      <c r="F366" s="328"/>
      <c r="G366" s="143"/>
      <c r="H366" s="46"/>
      <c r="I366" s="46"/>
      <c r="J366" s="46"/>
      <c r="K366" s="46"/>
      <c r="L366" s="100"/>
      <c r="M366" s="11"/>
      <c r="P366" s="100"/>
      <c r="Q366" s="11"/>
    </row>
    <row r="367" spans="1:46" ht="12.75" customHeight="1">
      <c r="A367" s="8"/>
      <c r="B367" s="537"/>
      <c r="C367" s="123" t="str">
        <f>IF($C$1="ENG","filling:","заповнення:")</f>
        <v>заповнення:</v>
      </c>
      <c r="D367" s="527" t="str">
        <f>IF($C$1="ENG","honeycomb core ","сотове заповнення")</f>
        <v>сотове заповнення</v>
      </c>
      <c r="E367" s="528"/>
      <c r="F367" s="143"/>
      <c r="G367" s="143"/>
      <c r="H367" s="48"/>
      <c r="I367" s="48"/>
      <c r="J367" s="146"/>
      <c r="K367" s="146"/>
      <c r="L367" s="100"/>
      <c r="M367" s="11"/>
      <c r="P367" s="100"/>
      <c r="Q367" s="11"/>
    </row>
    <row r="368" spans="1:46" ht="12.75" customHeight="1">
      <c r="A368" s="8"/>
      <c r="B368" s="538"/>
      <c r="C368" s="124"/>
      <c r="D368" s="513"/>
      <c r="E368" s="516"/>
      <c r="F368" s="143"/>
      <c r="G368" s="143"/>
      <c r="H368" s="48"/>
      <c r="I368" s="48"/>
      <c r="J368" s="47"/>
      <c r="K368" s="131"/>
      <c r="L368" s="100"/>
      <c r="M368" s="11"/>
      <c r="P368" s="100"/>
      <c r="Q368" s="11"/>
    </row>
    <row r="369" spans="1:38" ht="35.1" customHeight="1">
      <c r="A369" s="8"/>
      <c r="B369" s="49" t="s">
        <v>26</v>
      </c>
      <c r="C369" s="327"/>
      <c r="D369" s="51">
        <f>IF(AC369="","",(1-$W$2)*(AC369/1.2))</f>
        <v>3225</v>
      </c>
      <c r="E369" s="85">
        <f>IF($W$5=0.2,D369*1.2,D369)/$W$4</f>
        <v>3870</v>
      </c>
      <c r="F369" s="143"/>
      <c r="G369" s="143"/>
      <c r="H369" s="48"/>
      <c r="I369" s="143"/>
      <c r="J369" s="28"/>
      <c r="K369" s="59"/>
      <c r="L369" s="142"/>
      <c r="M369" s="20"/>
      <c r="N369" s="104"/>
      <c r="O369" s="20"/>
      <c r="P369" s="142"/>
      <c r="Q369" s="20"/>
      <c r="R369" s="104"/>
      <c r="S369" s="20"/>
      <c r="T369" s="104"/>
      <c r="V369" s="104"/>
      <c r="W369" s="20"/>
      <c r="X369" s="22"/>
      <c r="Y369" s="22"/>
      <c r="Z369" s="22"/>
      <c r="AA369" s="22"/>
      <c r="AB369" s="22"/>
      <c r="AC369" s="332">
        <v>3870</v>
      </c>
      <c r="AD369" s="289">
        <v>3870</v>
      </c>
      <c r="AE369" s="289">
        <f t="shared" ref="AE369" si="39">AD369/AC369-1</f>
        <v>0</v>
      </c>
      <c r="AF369" s="289"/>
      <c r="AG369" s="289"/>
      <c r="AH369" s="289"/>
      <c r="AI369" s="289"/>
      <c r="AJ369" s="289"/>
      <c r="AK369" s="289"/>
      <c r="AL369" s="289"/>
    </row>
    <row r="370" spans="1:38">
      <c r="C370" s="245"/>
      <c r="D370" s="26"/>
      <c r="E370" s="57"/>
      <c r="F370" s="26"/>
      <c r="G370" s="57"/>
      <c r="H370" s="60"/>
      <c r="I370" s="143"/>
      <c r="J370" s="48"/>
      <c r="K370" s="143"/>
      <c r="L370" s="48"/>
      <c r="P370" s="48"/>
    </row>
    <row r="371" spans="1:38">
      <c r="B371" s="212" t="str">
        <f>IF($C$1="ENG","For additonal charge:","Послуги за додаткову плату:")</f>
        <v>Послуги за додаткову плату:</v>
      </c>
      <c r="C371" s="420"/>
      <c r="D371" s="213"/>
      <c r="E371" s="214"/>
      <c r="F371" s="26"/>
      <c r="G371" s="26"/>
      <c r="H371" s="10"/>
      <c r="I371" s="84"/>
      <c r="K371" s="20"/>
    </row>
    <row r="372" spans="1:38" ht="5.0999999999999996" customHeight="1">
      <c r="B372" s="27"/>
      <c r="C372" s="245"/>
      <c r="D372" s="26"/>
      <c r="E372" s="57"/>
      <c r="F372" s="26"/>
      <c r="G372" s="26"/>
      <c r="H372" s="10"/>
      <c r="I372" s="8"/>
      <c r="K372" s="20"/>
    </row>
    <row r="373" spans="1:38">
      <c r="B373" s="539" t="str">
        <f>IF($C$1="ENG","Ventilation sleeves (1 row)","вентиляційні віддушини (1ряд)")</f>
        <v>вентиляційні віддушини (1ряд)</v>
      </c>
      <c r="C373" s="540"/>
      <c r="D373" s="409">
        <f>IF(AC373="","",(1-$W$2)*(AC373/1.2))</f>
        <v>208.33333333333334</v>
      </c>
      <c r="E373" s="64">
        <f>IF($W$5=0.2,D373*1.2,D373)/$W$4</f>
        <v>250</v>
      </c>
      <c r="F373" s="26"/>
      <c r="G373" s="26"/>
      <c r="AC373" s="298">
        <v>250</v>
      </c>
      <c r="AD373" s="289">
        <v>250</v>
      </c>
      <c r="AE373" s="289">
        <f>AD373/AC373-1</f>
        <v>0</v>
      </c>
      <c r="AF373" s="289"/>
      <c r="AG373" s="289"/>
      <c r="AH373" s="289"/>
      <c r="AI373" s="289"/>
      <c r="AJ373" s="289"/>
      <c r="AK373" s="289"/>
      <c r="AL373" s="289"/>
    </row>
    <row r="374" spans="1:38">
      <c r="B374" s="539" t="str">
        <f>IF($C$1="ENG","Ventilation cut","вентиляційний підріз")</f>
        <v>вентиляційний підріз</v>
      </c>
      <c r="C374" s="540"/>
      <c r="D374" s="404">
        <f>IF(AC374="","",(1-$W$2)*(AC374/1.2))</f>
        <v>141.66666666666669</v>
      </c>
      <c r="E374" s="66">
        <f>IF($W$5=0.2,D374*1.2,D374)/$W$4</f>
        <v>170.00000000000003</v>
      </c>
      <c r="F374" s="26"/>
      <c r="G374" s="26"/>
      <c r="I374" s="59"/>
      <c r="J374" s="28"/>
      <c r="AC374" s="298">
        <v>170</v>
      </c>
      <c r="AD374" s="289">
        <v>170</v>
      </c>
      <c r="AE374" s="289">
        <f t="shared" ref="AE374:AE385" si="40">AD374/AC374-1</f>
        <v>0</v>
      </c>
      <c r="AF374" s="289"/>
      <c r="AG374" s="289"/>
      <c r="AH374" s="289"/>
      <c r="AI374" s="289"/>
      <c r="AJ374" s="289"/>
      <c r="AK374" s="289"/>
      <c r="AL374" s="289"/>
    </row>
    <row r="375" spans="1:38">
      <c r="B375" s="539" t="str">
        <f>IF($C$1="ENG","third door hindge","третя завіса")</f>
        <v>третя завіса</v>
      </c>
      <c r="C375" s="540"/>
      <c r="D375" s="404">
        <f>IF(AC375="","",(1-$W$2)*(AC375/1.2))</f>
        <v>66.666666666666671</v>
      </c>
      <c r="E375" s="66">
        <f>IF($W$5=0.2,D375*1.2,D375)/$W$4</f>
        <v>80</v>
      </c>
      <c r="F375" s="26"/>
      <c r="G375" s="26"/>
      <c r="AC375" s="298">
        <v>80</v>
      </c>
      <c r="AD375" s="289">
        <v>80</v>
      </c>
      <c r="AE375" s="289">
        <f t="shared" si="40"/>
        <v>0</v>
      </c>
      <c r="AF375" s="289"/>
      <c r="AG375" s="289"/>
      <c r="AH375" s="289"/>
      <c r="AI375" s="289"/>
      <c r="AJ375" s="289"/>
      <c r="AK375" s="289"/>
      <c r="AL375" s="289"/>
    </row>
    <row r="376" spans="1:38">
      <c r="B376" s="532" t="str">
        <f>IF($C$1="ENG","door lock Soft","замок Soft")</f>
        <v>замок Soft</v>
      </c>
      <c r="C376" s="533"/>
      <c r="D376" s="406">
        <f t="shared" ref="D376:D385" si="41">IF(AC376="","",(1-$W$2)*(AC376/1.2))</f>
        <v>458.33333333333337</v>
      </c>
      <c r="E376" s="93">
        <f t="shared" ref="E376:E383" si="42">IF($W$5=0.2,D376*1.2,D376)/$W$4</f>
        <v>550</v>
      </c>
      <c r="F376" s="26"/>
      <c r="G376" s="26"/>
      <c r="H376" s="5"/>
      <c r="AC376" s="298">
        <v>550</v>
      </c>
      <c r="AD376" s="289">
        <v>550</v>
      </c>
      <c r="AE376" s="289">
        <f t="shared" si="40"/>
        <v>0</v>
      </c>
      <c r="AF376" s="289"/>
      <c r="AG376" s="289"/>
      <c r="AH376" s="289"/>
      <c r="AI376" s="289"/>
      <c r="AJ376" s="289"/>
      <c r="AK376" s="289"/>
      <c r="AL376" s="289"/>
    </row>
    <row r="377" spans="1:38">
      <c r="B377" s="532" t="str">
        <f>IF($C$1="ENG","door lock Soft black","замок Soft чорн.")</f>
        <v>замок Soft чорн.</v>
      </c>
      <c r="C377" s="533"/>
      <c r="D377" s="406">
        <f t="shared" ref="D377" si="43">IF(AC377="","",(1-$W$2)*(AC377/1.2))</f>
        <v>566.66666666666674</v>
      </c>
      <c r="E377" s="93">
        <f t="shared" ref="E377" si="44">IF($W$5=0.2,D377*1.2,D377)/$W$4</f>
        <v>680.00000000000011</v>
      </c>
      <c r="F377" s="26"/>
      <c r="G377" s="26"/>
      <c r="H377" s="5"/>
      <c r="AC377" s="298">
        <v>680</v>
      </c>
      <c r="AD377" s="289"/>
      <c r="AE377" s="289"/>
      <c r="AF377" s="289"/>
      <c r="AG377" s="289"/>
      <c r="AH377" s="289"/>
      <c r="AI377" s="289"/>
      <c r="AJ377" s="289"/>
      <c r="AK377" s="289"/>
      <c r="AL377" s="289"/>
    </row>
    <row r="378" spans="1:38">
      <c r="B378" s="532" t="str">
        <f>IF($C$1="ENG","door lock Magnet","замок Magnet")</f>
        <v>замок Magnet</v>
      </c>
      <c r="C378" s="533"/>
      <c r="D378" s="406">
        <f t="shared" si="41"/>
        <v>666.66666666666674</v>
      </c>
      <c r="E378" s="93">
        <f t="shared" si="42"/>
        <v>800.00000000000011</v>
      </c>
      <c r="F378" s="26"/>
      <c r="G378" s="26"/>
      <c r="H378" s="5"/>
      <c r="AC378" s="298">
        <v>800</v>
      </c>
      <c r="AD378" s="289">
        <v>800</v>
      </c>
      <c r="AE378" s="289">
        <f t="shared" si="40"/>
        <v>0</v>
      </c>
      <c r="AF378" s="289"/>
      <c r="AG378" s="289"/>
      <c r="AH378" s="289"/>
      <c r="AI378" s="289"/>
      <c r="AJ378" s="289"/>
      <c r="AK378" s="289"/>
      <c r="AL378" s="289"/>
    </row>
    <row r="379" spans="1:38">
      <c r="B379" s="532" t="s">
        <v>75</v>
      </c>
      <c r="C379" s="533"/>
      <c r="D379" s="406">
        <f t="shared" ref="D379" si="45">IF(AC379="","",(1-$W$2)*(AC379/1.2))</f>
        <v>833.33333333333337</v>
      </c>
      <c r="E379" s="93">
        <f t="shared" ref="E379" si="46">IF($W$5=0.2,D379*1.2,D379)/$W$4</f>
        <v>1000</v>
      </c>
      <c r="F379" s="26"/>
      <c r="G379" s="26"/>
      <c r="H379" s="5"/>
      <c r="AC379" s="298">
        <v>1000</v>
      </c>
      <c r="AD379" s="289"/>
      <c r="AE379" s="289"/>
      <c r="AF379" s="289"/>
      <c r="AG379" s="289"/>
      <c r="AH379" s="289"/>
      <c r="AI379" s="289"/>
      <c r="AJ379" s="289"/>
      <c r="AK379" s="289"/>
      <c r="AL379" s="289"/>
    </row>
    <row r="380" spans="1:38">
      <c r="B380" s="532" t="str">
        <f>IF($C$1="ENG","door handle-lock (for sliding doors)","ручка-замок (для дверей купе)")</f>
        <v>ручка-замок (для дверей купе)</v>
      </c>
      <c r="C380" s="533"/>
      <c r="D380" s="404">
        <f t="shared" si="41"/>
        <v>466.66666666666669</v>
      </c>
      <c r="E380" s="66">
        <f t="shared" si="42"/>
        <v>560</v>
      </c>
      <c r="F380" s="26"/>
      <c r="G380" s="26"/>
      <c r="I380" s="30"/>
      <c r="K380" s="30"/>
      <c r="AC380" s="298">
        <v>560</v>
      </c>
      <c r="AD380" s="289">
        <v>560</v>
      </c>
      <c r="AE380" s="289">
        <f t="shared" si="40"/>
        <v>0</v>
      </c>
      <c r="AF380" s="289"/>
      <c r="AG380" s="289"/>
      <c r="AH380" s="289"/>
      <c r="AI380" s="289"/>
      <c r="AJ380" s="289"/>
      <c r="AK380" s="289"/>
      <c r="AL380" s="289"/>
    </row>
    <row r="381" spans="1:38">
      <c r="B381" s="532" t="str">
        <f>IF($C$1="ENG","cylinder incert","циліндр несиметричний")</f>
        <v>циліндр несиметричний</v>
      </c>
      <c r="C381" s="533"/>
      <c r="D381" s="404">
        <f t="shared" si="41"/>
        <v>325</v>
      </c>
      <c r="E381" s="66">
        <f t="shared" si="42"/>
        <v>390</v>
      </c>
      <c r="F381" s="26"/>
      <c r="G381" s="26"/>
      <c r="AC381" s="298">
        <v>390</v>
      </c>
      <c r="AD381" s="289">
        <v>390</v>
      </c>
      <c r="AE381" s="289">
        <f t="shared" si="40"/>
        <v>0</v>
      </c>
      <c r="AF381" s="289"/>
      <c r="AG381" s="289"/>
      <c r="AH381" s="289"/>
      <c r="AI381" s="289"/>
      <c r="AJ381" s="289"/>
      <c r="AK381" s="289"/>
      <c r="AL381" s="289"/>
    </row>
    <row r="382" spans="1:38">
      <c r="B382" s="532" t="str">
        <f>IF($C$1="ENG","door hindge Prestige (1 unit)","завіса Prestige (1 шт)")</f>
        <v>завіса Prestige (1 шт)</v>
      </c>
      <c r="C382" s="533"/>
      <c r="D382" s="407">
        <f t="shared" si="41"/>
        <v>216.66666666666669</v>
      </c>
      <c r="E382" s="66">
        <f t="shared" si="42"/>
        <v>260</v>
      </c>
      <c r="F382" s="26"/>
      <c r="G382" s="26"/>
      <c r="AC382" s="298">
        <v>260</v>
      </c>
      <c r="AD382" s="289">
        <v>260</v>
      </c>
      <c r="AE382" s="289">
        <f t="shared" si="40"/>
        <v>0</v>
      </c>
      <c r="AF382" s="289"/>
      <c r="AG382" s="289"/>
      <c r="AH382" s="289"/>
      <c r="AI382" s="289"/>
      <c r="AJ382" s="289"/>
      <c r="AK382" s="289"/>
      <c r="AL382" s="289"/>
    </row>
    <row r="383" spans="1:38">
      <c r="B383" s="532" t="str">
        <f>IF($C$1="ENG","door hinge caps (1 set)","накладка на завіси (1 к-т)")</f>
        <v>накладка на завіси (1 к-т)</v>
      </c>
      <c r="C383" s="533"/>
      <c r="D383" s="407">
        <f t="shared" si="41"/>
        <v>66.666666666666671</v>
      </c>
      <c r="E383" s="66">
        <f t="shared" si="42"/>
        <v>80</v>
      </c>
      <c r="F383" s="26"/>
      <c r="G383" s="26"/>
      <c r="AC383" s="298">
        <v>80</v>
      </c>
      <c r="AD383" s="289">
        <v>80</v>
      </c>
      <c r="AE383" s="289">
        <f t="shared" si="40"/>
        <v>0</v>
      </c>
      <c r="AF383" s="289"/>
      <c r="AG383" s="289"/>
      <c r="AH383" s="289"/>
      <c r="AI383" s="289"/>
      <c r="AJ383" s="289"/>
      <c r="AK383" s="289"/>
      <c r="AL383" s="289"/>
    </row>
    <row r="384" spans="1:38">
      <c r="B384" s="532" t="str">
        <f>IF($C$1="ENG","door handle","дверна ручка")</f>
        <v>дверна ручка</v>
      </c>
      <c r="C384" s="533"/>
      <c r="D384" s="404">
        <f t="shared" si="41"/>
        <v>0</v>
      </c>
      <c r="E384" s="136" t="str">
        <f>IF($C$1="ENG","see Handles Price","див. Таблицю Ручки")</f>
        <v>див. Таблицю Ручки</v>
      </c>
      <c r="F384" s="26"/>
      <c r="G384" s="26"/>
      <c r="AC384" s="298">
        <v>0</v>
      </c>
      <c r="AD384" s="289">
        <f t="shared" ref="AD384" si="47">AC384/100*13+AC384</f>
        <v>0</v>
      </c>
      <c r="AE384" s="289" t="e">
        <f t="shared" si="40"/>
        <v>#DIV/0!</v>
      </c>
      <c r="AF384" s="289"/>
      <c r="AG384" s="289"/>
      <c r="AH384" s="289"/>
      <c r="AI384" s="289"/>
      <c r="AJ384" s="289"/>
      <c r="AK384" s="289"/>
      <c r="AL384" s="289"/>
    </row>
    <row r="385" spans="2:38">
      <c r="B385" s="532" t="str">
        <f>IF($C$1="ENG","perforated chipboard","ДСП трубчасте")</f>
        <v>ДСП трубчасте</v>
      </c>
      <c r="C385" s="533"/>
      <c r="D385" s="408">
        <f t="shared" si="41"/>
        <v>1083.3333333333335</v>
      </c>
      <c r="E385" s="69">
        <f>IF($W$5=0.2,D385*1.2,D385)/$W$4</f>
        <v>1300.0000000000002</v>
      </c>
      <c r="F385" s="26"/>
      <c r="G385" s="26"/>
      <c r="AC385" s="298">
        <v>1300</v>
      </c>
      <c r="AD385" s="289">
        <v>1300</v>
      </c>
      <c r="AE385" s="289">
        <f t="shared" si="40"/>
        <v>0</v>
      </c>
      <c r="AF385" s="289"/>
      <c r="AG385" s="289"/>
      <c r="AH385" s="289"/>
      <c r="AI385" s="289"/>
      <c r="AJ385" s="289"/>
      <c r="AK385" s="289"/>
      <c r="AL385" s="289"/>
    </row>
    <row r="386" spans="2:38" ht="14.25" customHeight="1">
      <c r="C386" s="245"/>
      <c r="D386" s="26"/>
      <c r="E386" s="26"/>
      <c r="F386" s="26"/>
      <c r="G386" s="26"/>
      <c r="H386" s="5"/>
      <c r="T386" s="548" t="str">
        <f>IF($C$1="ENG",CONCATENATE("down to: ",B574),CONCATENATE("вниз до: ",B574))</f>
        <v>вниз до: Полотна збірні: ЛАДА A</v>
      </c>
      <c r="U386" s="548"/>
      <c r="V386" s="548"/>
      <c r="W386" s="548"/>
    </row>
    <row r="387" spans="2:38" ht="14.25" customHeight="1">
      <c r="C387" s="245"/>
      <c r="D387" s="26"/>
      <c r="E387" s="26"/>
      <c r="F387" s="26"/>
      <c r="G387" s="26"/>
      <c r="H387" s="5"/>
    </row>
    <row r="388" spans="2:38" ht="14.25" customHeight="1">
      <c r="C388" s="245"/>
      <c r="D388" s="26"/>
      <c r="E388" s="26"/>
      <c r="F388" s="26"/>
      <c r="G388" s="26"/>
      <c r="H388" s="5"/>
    </row>
    <row r="389" spans="2:38" ht="14.25" customHeight="1">
      <c r="C389" s="245"/>
      <c r="D389" s="26"/>
      <c r="E389" s="26"/>
      <c r="F389" s="26"/>
      <c r="G389" s="26"/>
      <c r="H389" s="5"/>
    </row>
    <row r="390" spans="2:38" ht="14.25" customHeight="1">
      <c r="C390" s="245"/>
      <c r="D390" s="26"/>
      <c r="E390" s="26"/>
      <c r="F390" s="26"/>
      <c r="G390" s="26"/>
      <c r="H390" s="5"/>
    </row>
    <row r="391" spans="2:38" ht="14.25" customHeight="1">
      <c r="C391" s="245"/>
      <c r="D391" s="26"/>
      <c r="E391" s="26"/>
      <c r="F391" s="26"/>
      <c r="G391" s="26"/>
      <c r="H391" s="5"/>
    </row>
    <row r="392" spans="2:38" ht="14.25" customHeight="1">
      <c r="C392" s="245"/>
      <c r="D392" s="26"/>
      <c r="E392" s="26"/>
      <c r="F392" s="26"/>
      <c r="G392" s="26"/>
      <c r="H392" s="5"/>
    </row>
    <row r="393" spans="2:38" ht="14.25" customHeight="1">
      <c r="C393" s="245"/>
      <c r="D393" s="26"/>
      <c r="E393" s="26"/>
      <c r="F393" s="26"/>
      <c r="G393" s="26"/>
      <c r="H393" s="5"/>
    </row>
    <row r="394" spans="2:38" ht="14.25" customHeight="1">
      <c r="C394" s="245"/>
      <c r="D394" s="26"/>
      <c r="E394" s="26"/>
      <c r="F394" s="26"/>
      <c r="G394" s="26"/>
      <c r="H394" s="5"/>
    </row>
    <row r="395" spans="2:38" ht="14.25" customHeight="1">
      <c r="C395" s="245"/>
      <c r="D395" s="26"/>
      <c r="E395" s="26"/>
      <c r="F395" s="26"/>
      <c r="G395" s="26"/>
      <c r="H395" s="5"/>
    </row>
    <row r="396" spans="2:38" ht="14.25" customHeight="1">
      <c r="C396" s="245"/>
      <c r="D396" s="26"/>
      <c r="E396" s="26"/>
      <c r="F396" s="26"/>
      <c r="G396" s="26"/>
      <c r="H396" s="5"/>
    </row>
    <row r="397" spans="2:38" ht="14.25" customHeight="1">
      <c r="C397" s="245"/>
      <c r="D397" s="26"/>
      <c r="E397" s="26"/>
      <c r="F397" s="26"/>
      <c r="G397" s="26"/>
      <c r="H397" s="5"/>
    </row>
    <row r="398" spans="2:38" ht="14.25" customHeight="1">
      <c r="C398" s="245"/>
      <c r="D398" s="26"/>
      <c r="E398" s="26"/>
      <c r="F398" s="26"/>
      <c r="G398" s="26"/>
      <c r="H398" s="5"/>
    </row>
    <row r="399" spans="2:38" ht="14.25" customHeight="1">
      <c r="C399" s="245"/>
      <c r="D399" s="26"/>
      <c r="E399" s="26"/>
      <c r="F399" s="26"/>
      <c r="G399" s="26"/>
      <c r="H399" s="5"/>
    </row>
    <row r="400" spans="2:38" ht="14.25" customHeight="1">
      <c r="C400" s="245"/>
      <c r="D400" s="26"/>
      <c r="E400" s="26"/>
      <c r="F400" s="26"/>
      <c r="G400" s="26"/>
      <c r="H400" s="5"/>
    </row>
    <row r="401" spans="2:24" ht="14.25" customHeight="1">
      <c r="C401" s="245"/>
      <c r="D401" s="26"/>
      <c r="E401" s="26"/>
      <c r="F401" s="26"/>
      <c r="G401" s="26"/>
      <c r="H401" s="5"/>
    </row>
    <row r="402" spans="2:24" ht="14.25" customHeight="1">
      <c r="C402" s="245"/>
      <c r="D402" s="26"/>
      <c r="E402" s="26"/>
      <c r="F402" s="26"/>
      <c r="G402" s="26"/>
      <c r="H402" s="5"/>
    </row>
    <row r="403" spans="2:24" ht="14.25" customHeight="1">
      <c r="C403" s="245"/>
      <c r="D403" s="26"/>
      <c r="E403" s="26"/>
      <c r="F403" s="26"/>
      <c r="G403" s="26"/>
      <c r="H403" s="5"/>
    </row>
    <row r="404" spans="2:24" ht="14.25" customHeight="1">
      <c r="C404" s="245"/>
      <c r="D404" s="26"/>
      <c r="E404" s="26"/>
      <c r="F404" s="26"/>
      <c r="G404" s="26"/>
      <c r="H404" s="5"/>
    </row>
    <row r="405" spans="2:24" ht="14.25" customHeight="1">
      <c r="C405" s="245"/>
      <c r="D405" s="26"/>
      <c r="E405" s="26"/>
      <c r="F405" s="26"/>
      <c r="G405" s="26"/>
      <c r="H405" s="5"/>
    </row>
    <row r="406" spans="2:24" ht="14.25" customHeight="1">
      <c r="C406" s="245"/>
      <c r="D406" s="26"/>
      <c r="E406" s="26"/>
      <c r="F406" s="26"/>
      <c r="G406" s="26"/>
      <c r="H406" s="5"/>
    </row>
    <row r="407" spans="2:24" ht="14.25" customHeight="1">
      <c r="C407" s="245"/>
      <c r="D407" s="26"/>
      <c r="E407" s="26"/>
      <c r="F407" s="26"/>
      <c r="G407" s="26"/>
      <c r="H407" s="5"/>
    </row>
    <row r="408" spans="2:24" ht="14.25" customHeight="1">
      <c r="C408" s="245"/>
      <c r="D408" s="26"/>
      <c r="E408" s="26"/>
      <c r="F408" s="26"/>
      <c r="G408" s="26"/>
      <c r="H408" s="5"/>
    </row>
    <row r="409" spans="2:24" ht="14.25" customHeight="1">
      <c r="C409" s="245"/>
      <c r="D409" s="26"/>
      <c r="E409" s="26"/>
      <c r="F409" s="26"/>
      <c r="G409" s="26"/>
      <c r="H409" s="5"/>
    </row>
    <row r="410" spans="2:24" ht="14.25" customHeight="1">
      <c r="C410" s="245"/>
      <c r="D410" s="26"/>
      <c r="E410" s="26"/>
      <c r="F410" s="26"/>
      <c r="G410" s="26"/>
      <c r="H410" s="5"/>
    </row>
    <row r="411" spans="2:24" ht="14.25" customHeight="1">
      <c r="C411" s="245"/>
      <c r="D411" s="26"/>
      <c r="E411" s="26"/>
      <c r="F411" s="26"/>
      <c r="G411" s="26"/>
      <c r="H411" s="5"/>
    </row>
    <row r="412" spans="2:24" ht="14.25" customHeight="1">
      <c r="B412" s="518" t="str">
        <f>TITLE!C13</f>
        <v>Полотна каркасно-щитові: ІДЕЯ-АЛЮМ</v>
      </c>
      <c r="C412" s="518"/>
      <c r="D412" s="542"/>
      <c r="E412" s="542"/>
      <c r="F412" s="118"/>
      <c r="G412" s="118"/>
      <c r="H412" s="118"/>
      <c r="I412" s="121"/>
      <c r="J412" s="121"/>
      <c r="K412" s="121"/>
      <c r="L412" s="121"/>
      <c r="M412" s="121"/>
      <c r="N412" s="121"/>
      <c r="O412" s="121"/>
      <c r="P412" s="121"/>
      <c r="Q412" s="121"/>
      <c r="R412" s="121"/>
      <c r="S412" s="121"/>
      <c r="T412" s="521" t="str">
        <f>IF($C$1="ENG",CONCATENATE("up to: ",B335),CONCATENATE("вгору до: ",B335))</f>
        <v xml:space="preserve">вгору до: </v>
      </c>
      <c r="U412" s="521"/>
      <c r="V412" s="521"/>
      <c r="W412" s="521"/>
      <c r="X412" s="8"/>
    </row>
    <row r="413" spans="2:24" ht="14.25" customHeight="1">
      <c r="B413" s="117"/>
      <c r="C413" s="419"/>
      <c r="D413" s="9"/>
      <c r="E413" s="9"/>
      <c r="F413" s="10"/>
      <c r="G413" s="10"/>
      <c r="H413" s="10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483"/>
      <c r="U413" s="483"/>
      <c r="V413" s="483"/>
      <c r="W413" s="483"/>
      <c r="X413" s="8"/>
    </row>
    <row r="414" spans="2:24" ht="14.25" customHeight="1">
      <c r="B414" s="536" t="str">
        <f>IF($C$1="ENG","model","модель")</f>
        <v>модель</v>
      </c>
      <c r="C414" s="122" t="str">
        <f>IF($C$1="ENG","cover:","покриття:")</f>
        <v>покриття:</v>
      </c>
      <c r="D414" s="522" t="str">
        <f>IF($C$1="ENG","SIMPL / V-CELL","SIMPL / V-CELL")</f>
        <v>SIMPL / V-CELL</v>
      </c>
      <c r="E414" s="524"/>
      <c r="F414" s="522" t="str">
        <f>IF($C$1="ENG","UNI-MAT","UNI-MAT")</f>
        <v>UNI-MAT</v>
      </c>
      <c r="G414" s="524"/>
      <c r="H414" s="522" t="str">
        <f>IF($C$1="ENG","RESIST","RESIST")</f>
        <v>RESIST</v>
      </c>
      <c r="I414" s="524"/>
      <c r="J414" s="46"/>
      <c r="K414" s="46"/>
      <c r="L414" s="100"/>
      <c r="M414" s="11"/>
      <c r="P414" s="100"/>
      <c r="Q414" s="11"/>
    </row>
    <row r="415" spans="2:24" ht="14.25" customHeight="1">
      <c r="B415" s="537"/>
      <c r="C415" s="123" t="str">
        <f>IF($C$1="ENG","filling:","заповнення:")</f>
        <v>заповнення:</v>
      </c>
      <c r="D415" s="527" t="str">
        <f>IF($C$1="ENG","honeycomb core ","сотове заповнення")</f>
        <v>сотове заповнення</v>
      </c>
      <c r="E415" s="528"/>
      <c r="F415" s="527" t="str">
        <f>IF($C$1="ENG","honeycomb core ","сотове заповнення")</f>
        <v>сотове заповнення</v>
      </c>
      <c r="G415" s="528"/>
      <c r="H415" s="527" t="str">
        <f>IF($C$1="ENG","honeycomb core ","сотове заповнення")</f>
        <v>сотове заповнення</v>
      </c>
      <c r="I415" s="528"/>
      <c r="J415" s="146"/>
      <c r="K415" s="146"/>
      <c r="L415" s="100"/>
      <c r="M415" s="11"/>
      <c r="P415" s="100"/>
      <c r="Q415" s="11"/>
    </row>
    <row r="416" spans="2:24" ht="14.25" customHeight="1">
      <c r="B416" s="538"/>
      <c r="C416" s="124" t="str">
        <f>IF($C$1="ENG","glazing:","скління:")</f>
        <v>скління:</v>
      </c>
      <c r="D416" s="513"/>
      <c r="E416" s="516"/>
      <c r="F416" s="513"/>
      <c r="G416" s="516"/>
      <c r="H416" s="513"/>
      <c r="I416" s="516"/>
      <c r="J416" s="47"/>
      <c r="K416" s="131"/>
      <c r="L416" s="100"/>
      <c r="M416" s="11"/>
      <c r="P416" s="100"/>
      <c r="Q416" s="11"/>
    </row>
    <row r="417" spans="2:38" ht="52.5" customHeight="1">
      <c r="B417" s="150">
        <v>1</v>
      </c>
      <c r="C417" s="327"/>
      <c r="D417" s="484">
        <f>IF(AC417="","",(1-$W$2)*(AC417/1.2))</f>
        <v>3741.666666666667</v>
      </c>
      <c r="E417" s="485">
        <f>IF($W$5=0.2,D417*1.2,D417)/$W$4</f>
        <v>4490</v>
      </c>
      <c r="F417" s="485">
        <f>IF(AD417="","",(1-$W$2)*(AD417/1.2))</f>
        <v>4050</v>
      </c>
      <c r="G417" s="485">
        <f>IF($W$5=0.2,F417*1.2,F417)/$W$4</f>
        <v>4860</v>
      </c>
      <c r="H417" s="485">
        <f>IF(AE417="","",(1-$W$2)*(AE417/1.2))</f>
        <v>4308.3333333333339</v>
      </c>
      <c r="I417" s="485">
        <f>IF($W$5=0.2,H417*1.2,H417)/$W$4</f>
        <v>5170.0000000000009</v>
      </c>
      <c r="J417" s="28"/>
      <c r="K417" s="59"/>
      <c r="L417" s="142"/>
      <c r="M417" s="20"/>
      <c r="N417" s="104"/>
      <c r="O417" s="20"/>
      <c r="P417" s="142"/>
      <c r="Q417" s="20"/>
      <c r="R417" s="104"/>
      <c r="S417" s="20"/>
      <c r="T417" s="104"/>
      <c r="V417" s="104"/>
      <c r="W417" s="20"/>
      <c r="X417" s="22"/>
      <c r="AC417" s="332">
        <f>2490+2000</f>
        <v>4490</v>
      </c>
      <c r="AD417" s="332">
        <f>2860+2000</f>
        <v>4860</v>
      </c>
      <c r="AE417" s="332">
        <f>3170+2000</f>
        <v>5170</v>
      </c>
      <c r="AF417" s="289"/>
      <c r="AG417" s="289"/>
      <c r="AH417" s="289"/>
      <c r="AI417" s="289"/>
      <c r="AJ417" s="289"/>
      <c r="AK417" s="289"/>
      <c r="AL417" s="289"/>
    </row>
    <row r="418" spans="2:38" ht="52.5" customHeight="1">
      <c r="B418" s="150">
        <v>2</v>
      </c>
      <c r="C418" s="327"/>
      <c r="D418" s="484">
        <f>IF(AC418="","",(1-$W$2)*(AC418/1.2))</f>
        <v>4075</v>
      </c>
      <c r="E418" s="485">
        <f>IF($W$5=0.2,D418*1.2,D418)/$W$4</f>
        <v>4890</v>
      </c>
      <c r="F418" s="485">
        <f>IF(AD418="","",(1-$W$2)*(AD418/1.2))</f>
        <v>4383.3333333333339</v>
      </c>
      <c r="G418" s="485">
        <f>IF($W$5=0.2,F418*1.2,F418)/$W$4</f>
        <v>5260.0000000000009</v>
      </c>
      <c r="H418" s="485">
        <f>IF(AE418="","",(1-$W$2)*(AE418/1.2))</f>
        <v>4641.666666666667</v>
      </c>
      <c r="I418" s="485">
        <f>IF($W$5=0.2,H418*1.2,H418)/$W$4</f>
        <v>5570</v>
      </c>
      <c r="J418" s="28"/>
      <c r="K418" s="59"/>
      <c r="L418" s="142"/>
      <c r="M418" s="20"/>
      <c r="N418" s="104"/>
      <c r="O418" s="20"/>
      <c r="P418" s="142"/>
      <c r="Q418" s="20"/>
      <c r="R418" s="104"/>
      <c r="S418" s="20"/>
      <c r="T418" s="104"/>
      <c r="V418" s="104"/>
      <c r="W418" s="20"/>
      <c r="X418" s="22"/>
      <c r="AC418" s="332">
        <f>2490+2400</f>
        <v>4890</v>
      </c>
      <c r="AD418" s="332">
        <f>2860+2400</f>
        <v>5260</v>
      </c>
      <c r="AE418" s="332">
        <f>3170+2400</f>
        <v>5570</v>
      </c>
      <c r="AF418" s="289"/>
      <c r="AG418" s="289"/>
      <c r="AH418" s="289"/>
      <c r="AI418" s="289"/>
      <c r="AJ418" s="289"/>
      <c r="AK418" s="289"/>
      <c r="AL418" s="289"/>
    </row>
    <row r="419" spans="2:38" ht="14.25" customHeight="1">
      <c r="C419" s="245"/>
      <c r="D419" s="26"/>
      <c r="E419" s="57"/>
      <c r="F419" s="26"/>
      <c r="G419" s="57"/>
      <c r="H419" s="60"/>
      <c r="I419" s="143"/>
      <c r="J419" s="48"/>
      <c r="K419" s="143"/>
      <c r="L419" s="48"/>
      <c r="P419" s="48"/>
    </row>
    <row r="420" spans="2:38" ht="14.25" customHeight="1">
      <c r="B420" s="212" t="str">
        <f>IF($C$1="ENG","For additonal charge:","Послуги за додаткову плату:")</f>
        <v>Послуги за додаткову плату:</v>
      </c>
      <c r="C420" s="420"/>
      <c r="D420" s="213"/>
      <c r="E420" s="214"/>
      <c r="F420" s="26"/>
      <c r="G420" s="26"/>
      <c r="H420" s="10"/>
      <c r="I420" s="84"/>
      <c r="K420" s="20"/>
    </row>
    <row r="421" spans="2:38" ht="14.25" customHeight="1">
      <c r="B421" s="27"/>
      <c r="C421" s="245"/>
      <c r="D421" s="26"/>
      <c r="E421" s="57"/>
      <c r="F421" s="26"/>
      <c r="G421" s="26"/>
      <c r="H421" s="10"/>
      <c r="I421" s="8"/>
      <c r="K421" s="20"/>
    </row>
    <row r="422" spans="2:38" ht="14.25" customHeight="1">
      <c r="B422" s="539" t="str">
        <f>IF($C$1="ENG","Ventilation sleeves (1 row)","вентиляційні віддушини (1ряд)")</f>
        <v>вентиляційні віддушини (1ряд)</v>
      </c>
      <c r="C422" s="540"/>
      <c r="D422" s="409">
        <f>IF(AC422="","",(1-$W$2)*(AC422/1.2))</f>
        <v>208.33333333333334</v>
      </c>
      <c r="E422" s="64">
        <f>IF($W$5=0.2,D422*1.2,D422)/$W$4</f>
        <v>250</v>
      </c>
      <c r="F422" s="26"/>
      <c r="G422" s="26"/>
      <c r="AC422" s="298">
        <v>250</v>
      </c>
      <c r="AD422" s="289">
        <v>250</v>
      </c>
      <c r="AE422" s="289">
        <f>AD422/AC422-1</f>
        <v>0</v>
      </c>
      <c r="AF422" s="289"/>
      <c r="AG422" s="289"/>
      <c r="AH422" s="289"/>
      <c r="AI422" s="289"/>
      <c r="AJ422" s="289"/>
      <c r="AK422" s="289"/>
      <c r="AL422" s="289"/>
    </row>
    <row r="423" spans="2:38" ht="14.25" customHeight="1">
      <c r="B423" s="532" t="s">
        <v>75</v>
      </c>
      <c r="C423" s="533"/>
      <c r="D423" s="406">
        <f t="shared" ref="D423:D424" si="48">IF(AC423="","",(1-$W$2)*(AC423/1.2))</f>
        <v>833.33333333333337</v>
      </c>
      <c r="E423" s="93">
        <f t="shared" ref="E423" si="49">IF($W$5=0.2,D423*1.2,D423)/$W$4</f>
        <v>1000</v>
      </c>
      <c r="F423" s="26"/>
      <c r="G423" s="26"/>
      <c r="H423" s="5"/>
      <c r="AC423" s="298">
        <v>1000</v>
      </c>
      <c r="AD423" s="289"/>
      <c r="AE423" s="289"/>
      <c r="AF423" s="289"/>
      <c r="AG423" s="289"/>
      <c r="AH423" s="289"/>
      <c r="AI423" s="289"/>
      <c r="AJ423" s="289"/>
      <c r="AK423" s="289"/>
      <c r="AL423" s="289"/>
    </row>
    <row r="424" spans="2:38" ht="14.25" customHeight="1">
      <c r="B424" s="532" t="str">
        <f>IF($C$1="ENG","door handle","дверна ручка")</f>
        <v>дверна ручка</v>
      </c>
      <c r="C424" s="533"/>
      <c r="D424" s="404">
        <f t="shared" si="48"/>
        <v>0</v>
      </c>
      <c r="E424" s="136" t="str">
        <f>IF($C$1="ENG","see Handles Price","див. Таблицю Ручки")</f>
        <v>див. Таблицю Ручки</v>
      </c>
      <c r="F424" s="26"/>
      <c r="G424" s="26"/>
      <c r="AC424" s="298">
        <v>0</v>
      </c>
      <c r="AD424" s="289">
        <f t="shared" ref="AD424" si="50">AC424/100*13+AC424</f>
        <v>0</v>
      </c>
      <c r="AE424" s="289" t="e">
        <f t="shared" ref="AE424" si="51">AD424/AC424-1</f>
        <v>#DIV/0!</v>
      </c>
      <c r="AF424" s="289"/>
      <c r="AG424" s="289"/>
      <c r="AH424" s="289"/>
      <c r="AI424" s="289"/>
      <c r="AJ424" s="289"/>
      <c r="AK424" s="289"/>
      <c r="AL424" s="289"/>
    </row>
    <row r="425" spans="2:38" ht="14.25" customHeight="1">
      <c r="C425" s="245"/>
      <c r="D425" s="26"/>
      <c r="E425" s="26"/>
      <c r="F425" s="26"/>
      <c r="G425" s="26"/>
      <c r="H425" s="5"/>
      <c r="T425" s="548" t="str">
        <f>IF($C$1="ENG",CONCATENATE("down to: ",B622),CONCATENATE("вниз до: ",B622))</f>
        <v xml:space="preserve">вниз до: </v>
      </c>
      <c r="U425" s="548"/>
      <c r="V425" s="548"/>
      <c r="W425" s="548"/>
    </row>
    <row r="426" spans="2:38" ht="14.25" customHeight="1">
      <c r="C426" s="245"/>
      <c r="D426" s="26"/>
      <c r="E426" s="26"/>
      <c r="F426" s="26"/>
      <c r="G426" s="26"/>
      <c r="H426" s="5"/>
    </row>
    <row r="427" spans="2:38" ht="14.25" customHeight="1">
      <c r="C427" s="245"/>
      <c r="D427" s="26"/>
      <c r="E427" s="26"/>
      <c r="F427" s="26"/>
      <c r="G427" s="26"/>
      <c r="H427" s="5"/>
    </row>
    <row r="428" spans="2:38" ht="14.25" customHeight="1">
      <c r="C428" s="245"/>
      <c r="D428" s="26"/>
      <c r="E428" s="26"/>
      <c r="F428" s="26"/>
      <c r="G428" s="26"/>
      <c r="H428" s="5"/>
    </row>
    <row r="429" spans="2:38" ht="14.25" customHeight="1">
      <c r="C429" s="245"/>
      <c r="D429" s="26"/>
      <c r="E429" s="26"/>
      <c r="F429" s="26"/>
      <c r="G429" s="26"/>
      <c r="H429" s="5"/>
    </row>
    <row r="430" spans="2:38" ht="14.25" customHeight="1">
      <c r="C430" s="245"/>
      <c r="D430" s="26"/>
      <c r="E430" s="26"/>
      <c r="F430" s="26"/>
      <c r="G430" s="26"/>
      <c r="H430" s="5"/>
    </row>
    <row r="431" spans="2:38" ht="14.25" customHeight="1">
      <c r="C431" s="245"/>
      <c r="D431" s="26"/>
      <c r="E431" s="26"/>
      <c r="F431" s="26"/>
      <c r="G431" s="26"/>
      <c r="H431" s="5"/>
    </row>
    <row r="432" spans="2:38" ht="14.25" customHeight="1">
      <c r="C432" s="245"/>
      <c r="D432" s="26"/>
      <c r="E432" s="26"/>
      <c r="F432" s="26"/>
      <c r="G432" s="26"/>
      <c r="H432" s="5"/>
    </row>
    <row r="433" spans="3:8" ht="14.25" customHeight="1">
      <c r="C433" s="245"/>
      <c r="D433" s="26"/>
      <c r="E433" s="26"/>
      <c r="F433" s="26"/>
      <c r="G433" s="26"/>
      <c r="H433" s="5"/>
    </row>
    <row r="434" spans="3:8" ht="14.25" customHeight="1">
      <c r="C434" s="245"/>
      <c r="D434" s="26"/>
      <c r="E434" s="26"/>
      <c r="F434" s="26"/>
      <c r="G434" s="26"/>
      <c r="H434" s="5"/>
    </row>
    <row r="435" spans="3:8" ht="14.25" customHeight="1">
      <c r="C435" s="245"/>
      <c r="D435" s="26"/>
      <c r="E435" s="26"/>
      <c r="F435" s="26"/>
      <c r="G435" s="26"/>
      <c r="H435" s="5"/>
    </row>
    <row r="436" spans="3:8" ht="14.25" customHeight="1">
      <c r="C436" s="245"/>
      <c r="D436" s="26"/>
      <c r="E436" s="26"/>
      <c r="F436" s="26"/>
      <c r="G436" s="26"/>
      <c r="H436" s="5"/>
    </row>
    <row r="437" spans="3:8" ht="14.25" customHeight="1">
      <c r="C437" s="245"/>
      <c r="D437" s="26"/>
      <c r="E437" s="26"/>
      <c r="F437" s="26"/>
      <c r="G437" s="26"/>
      <c r="H437" s="5"/>
    </row>
    <row r="438" spans="3:8" ht="14.25" customHeight="1">
      <c r="C438" s="245"/>
      <c r="D438" s="26"/>
      <c r="E438" s="26"/>
      <c r="F438" s="26"/>
      <c r="G438" s="26"/>
      <c r="H438" s="5"/>
    </row>
    <row r="439" spans="3:8" ht="14.25" customHeight="1">
      <c r="C439" s="245"/>
      <c r="D439" s="26"/>
      <c r="E439" s="26"/>
      <c r="F439" s="26"/>
      <c r="G439" s="26"/>
      <c r="H439" s="5"/>
    </row>
    <row r="440" spans="3:8" ht="14.25" customHeight="1">
      <c r="C440" s="245"/>
      <c r="D440" s="26"/>
      <c r="E440" s="26"/>
      <c r="F440" s="26"/>
      <c r="G440" s="26"/>
      <c r="H440" s="5"/>
    </row>
    <row r="441" spans="3:8" ht="14.25" customHeight="1">
      <c r="C441" s="245"/>
      <c r="D441" s="26"/>
      <c r="E441" s="26"/>
      <c r="F441" s="26"/>
      <c r="G441" s="26"/>
      <c r="H441" s="5"/>
    </row>
    <row r="442" spans="3:8" ht="14.25" customHeight="1">
      <c r="C442" s="245"/>
      <c r="D442" s="26"/>
      <c r="E442" s="26"/>
      <c r="F442" s="26"/>
      <c r="G442" s="26"/>
      <c r="H442" s="5"/>
    </row>
    <row r="443" spans="3:8" ht="14.25" customHeight="1">
      <c r="C443" s="245"/>
      <c r="D443" s="26"/>
      <c r="E443" s="26"/>
      <c r="F443" s="26"/>
      <c r="G443" s="26"/>
      <c r="H443" s="5"/>
    </row>
    <row r="444" spans="3:8" ht="14.25" customHeight="1">
      <c r="C444" s="245"/>
      <c r="D444" s="26"/>
      <c r="E444" s="26"/>
      <c r="F444" s="26"/>
      <c r="G444" s="26"/>
      <c r="H444" s="5"/>
    </row>
    <row r="445" spans="3:8" ht="14.25" customHeight="1">
      <c r="C445" s="245"/>
      <c r="D445" s="26"/>
      <c r="E445" s="26"/>
      <c r="F445" s="26"/>
      <c r="G445" s="26"/>
      <c r="H445" s="5"/>
    </row>
    <row r="446" spans="3:8" ht="14.25" customHeight="1">
      <c r="C446" s="245"/>
      <c r="D446" s="26"/>
      <c r="E446" s="26"/>
      <c r="F446" s="26"/>
      <c r="G446" s="26"/>
      <c r="H446" s="5"/>
    </row>
    <row r="447" spans="3:8" ht="14.25" customHeight="1">
      <c r="C447" s="245"/>
      <c r="D447" s="26"/>
      <c r="E447" s="26"/>
      <c r="F447" s="26"/>
      <c r="G447" s="26"/>
      <c r="H447" s="5"/>
    </row>
    <row r="448" spans="3:8" ht="14.25" customHeight="1">
      <c r="C448" s="245"/>
      <c r="D448" s="26"/>
      <c r="E448" s="26"/>
      <c r="F448" s="26"/>
      <c r="G448" s="26"/>
      <c r="H448" s="5"/>
    </row>
    <row r="449" spans="3:8" ht="14.25" customHeight="1">
      <c r="C449" s="245"/>
      <c r="D449" s="26"/>
      <c r="E449" s="26"/>
      <c r="F449" s="26"/>
      <c r="G449" s="26"/>
      <c r="H449" s="5"/>
    </row>
    <row r="450" spans="3:8" ht="14.25" customHeight="1">
      <c r="C450" s="245"/>
      <c r="D450" s="26"/>
      <c r="E450" s="26"/>
      <c r="F450" s="26"/>
      <c r="G450" s="26"/>
      <c r="H450" s="5"/>
    </row>
    <row r="451" spans="3:8" ht="14.25" customHeight="1">
      <c r="C451" s="245"/>
      <c r="D451" s="26"/>
      <c r="E451" s="26"/>
      <c r="F451" s="26"/>
      <c r="G451" s="26"/>
      <c r="H451" s="5"/>
    </row>
    <row r="452" spans="3:8" ht="14.25" customHeight="1">
      <c r="C452" s="245"/>
      <c r="D452" s="26"/>
      <c r="E452" s="26"/>
      <c r="F452" s="26"/>
      <c r="G452" s="26"/>
      <c r="H452" s="5"/>
    </row>
    <row r="453" spans="3:8" ht="14.25" customHeight="1">
      <c r="C453" s="245"/>
      <c r="D453" s="26"/>
      <c r="E453" s="26"/>
      <c r="F453" s="26"/>
      <c r="G453" s="26"/>
      <c r="H453" s="5"/>
    </row>
    <row r="454" spans="3:8" ht="14.25" customHeight="1">
      <c r="C454" s="245"/>
      <c r="D454" s="26"/>
      <c r="E454" s="26"/>
      <c r="F454" s="26"/>
      <c r="G454" s="26"/>
      <c r="H454" s="5"/>
    </row>
    <row r="455" spans="3:8" ht="14.25" customHeight="1">
      <c r="C455" s="245"/>
      <c r="D455" s="26"/>
      <c r="E455" s="26"/>
      <c r="F455" s="26"/>
      <c r="G455" s="26"/>
      <c r="H455" s="5"/>
    </row>
    <row r="456" spans="3:8" ht="14.25" customHeight="1">
      <c r="C456" s="245"/>
      <c r="D456" s="26"/>
      <c r="E456" s="26"/>
      <c r="F456" s="26"/>
      <c r="G456" s="26"/>
      <c r="H456" s="5"/>
    </row>
    <row r="457" spans="3:8" ht="14.25" customHeight="1">
      <c r="C457" s="245"/>
      <c r="D457" s="26"/>
      <c r="E457" s="26"/>
      <c r="F457" s="26"/>
      <c r="G457" s="26"/>
      <c r="H457" s="5"/>
    </row>
    <row r="458" spans="3:8" ht="14.25" customHeight="1">
      <c r="C458" s="245"/>
      <c r="D458" s="26"/>
      <c r="E458" s="26"/>
      <c r="F458" s="26"/>
      <c r="G458" s="26"/>
      <c r="H458" s="5"/>
    </row>
    <row r="459" spans="3:8" ht="14.25" customHeight="1">
      <c r="C459" s="245"/>
      <c r="D459" s="26"/>
      <c r="E459" s="26"/>
      <c r="F459" s="26"/>
      <c r="G459" s="26"/>
      <c r="H459" s="5"/>
    </row>
    <row r="460" spans="3:8" ht="14.25" customHeight="1">
      <c r="C460" s="245"/>
      <c r="D460" s="26"/>
      <c r="E460" s="26"/>
      <c r="F460" s="26"/>
      <c r="G460" s="26"/>
      <c r="H460" s="5"/>
    </row>
    <row r="461" spans="3:8" ht="14.25" customHeight="1">
      <c r="C461" s="245"/>
      <c r="D461" s="26"/>
      <c r="E461" s="26"/>
      <c r="F461" s="26"/>
      <c r="G461" s="26"/>
      <c r="H461" s="5"/>
    </row>
    <row r="462" spans="3:8" ht="14.25" customHeight="1">
      <c r="C462" s="245"/>
      <c r="D462" s="26"/>
      <c r="E462" s="26"/>
      <c r="F462" s="26"/>
      <c r="G462" s="26"/>
      <c r="H462" s="5"/>
    </row>
    <row r="463" spans="3:8" ht="14.25" customHeight="1">
      <c r="C463" s="245"/>
      <c r="D463" s="26"/>
      <c r="E463" s="26"/>
      <c r="F463" s="26"/>
      <c r="G463" s="26"/>
      <c r="H463" s="5"/>
    </row>
    <row r="464" spans="3:8" ht="14.25" customHeight="1">
      <c r="C464" s="245"/>
      <c r="D464" s="26"/>
      <c r="E464" s="26"/>
      <c r="F464" s="26"/>
      <c r="G464" s="26"/>
      <c r="H464" s="5"/>
    </row>
    <row r="465" spans="1:47" ht="14.25" customHeight="1">
      <c r="C465" s="245"/>
      <c r="D465" s="26"/>
      <c r="E465" s="26"/>
      <c r="F465" s="26"/>
      <c r="G465" s="26"/>
      <c r="H465" s="5"/>
    </row>
    <row r="466" spans="1:47" ht="14.25" customHeight="1">
      <c r="C466" s="245"/>
      <c r="D466" s="26"/>
      <c r="E466" s="26"/>
      <c r="F466" s="26"/>
      <c r="G466" s="26"/>
      <c r="H466" s="5"/>
    </row>
    <row r="467" spans="1:47" ht="14.25" customHeight="1">
      <c r="C467" s="245"/>
      <c r="D467" s="26"/>
      <c r="E467" s="26"/>
      <c r="F467" s="26"/>
      <c r="G467" s="26"/>
      <c r="H467" s="5"/>
    </row>
    <row r="468" spans="1:47" ht="14.25" customHeight="1">
      <c r="C468" s="245"/>
      <c r="D468" s="26"/>
      <c r="E468" s="26"/>
      <c r="F468" s="26"/>
      <c r="G468" s="26"/>
      <c r="H468" s="5"/>
    </row>
    <row r="469" spans="1:47" ht="14.25" customHeight="1">
      <c r="C469" s="245"/>
      <c r="D469" s="26"/>
      <c r="E469" s="26"/>
      <c r="F469" s="26"/>
      <c r="G469" s="26"/>
      <c r="H469" s="5"/>
    </row>
    <row r="470" spans="1:47" ht="14.25" customHeight="1">
      <c r="C470" s="245"/>
      <c r="D470" s="26"/>
      <c r="E470" s="26"/>
      <c r="F470" s="26"/>
      <c r="G470" s="26"/>
      <c r="H470" s="5"/>
    </row>
    <row r="471" spans="1:47" ht="14.25" customHeight="1">
      <c r="C471" s="245"/>
      <c r="D471" s="26"/>
      <c r="E471" s="26"/>
      <c r="F471" s="26"/>
      <c r="G471" s="26"/>
      <c r="H471" s="5"/>
    </row>
    <row r="472" spans="1:47" ht="14.25" customHeight="1">
      <c r="C472" s="245"/>
      <c r="D472" s="26"/>
      <c r="E472" s="26"/>
      <c r="F472" s="26"/>
      <c r="G472" s="26"/>
      <c r="H472" s="5"/>
    </row>
    <row r="473" spans="1:47" ht="14.25" customHeight="1">
      <c r="C473" s="245"/>
      <c r="D473" s="26"/>
      <c r="E473" s="26"/>
      <c r="F473" s="26"/>
      <c r="G473" s="26"/>
      <c r="H473" s="5"/>
    </row>
    <row r="474" spans="1:47" s="8" customFormat="1">
      <c r="B474" s="518" t="str">
        <f>TITLE!C14</f>
        <v>Полотна збірні: КЛАСІК</v>
      </c>
      <c r="C474" s="518"/>
      <c r="D474" s="118"/>
      <c r="E474" s="118"/>
      <c r="F474" s="118"/>
      <c r="G474" s="118"/>
      <c r="H474" s="520"/>
      <c r="I474" s="520"/>
      <c r="J474" s="121"/>
      <c r="K474" s="121"/>
      <c r="L474" s="121"/>
      <c r="M474" s="121"/>
      <c r="N474" s="121"/>
      <c r="O474" s="121"/>
      <c r="P474" s="121"/>
      <c r="Q474" s="121"/>
      <c r="R474" s="121"/>
      <c r="S474" s="521" t="str">
        <f>IF($C$1="ENG",CONCATENATE("up to: ",B326),CONCATENATE("вгору до: ",B326))</f>
        <v xml:space="preserve">вгору до: </v>
      </c>
      <c r="T474" s="550"/>
      <c r="U474" s="550"/>
      <c r="V474" s="550"/>
      <c r="W474" s="550"/>
      <c r="AN474" s="280"/>
      <c r="AO474" s="280"/>
      <c r="AP474" s="280"/>
      <c r="AQ474" s="280"/>
      <c r="AR474" s="280"/>
      <c r="AS474" s="280"/>
      <c r="AT474" s="280"/>
    </row>
    <row r="475" spans="1:47" s="8" customFormat="1" ht="5.0999999999999996" customHeight="1">
      <c r="B475" s="117"/>
      <c r="C475" s="419"/>
      <c r="D475" s="9"/>
      <c r="E475" s="9"/>
      <c r="F475" s="9"/>
      <c r="G475" s="9"/>
      <c r="H475" s="120"/>
      <c r="S475" s="413"/>
      <c r="T475" s="413"/>
      <c r="U475" s="413"/>
      <c r="V475" s="413"/>
      <c r="AM475" s="280"/>
      <c r="AN475" s="280"/>
      <c r="AO475" s="280"/>
      <c r="AP475" s="280"/>
      <c r="AQ475" s="280"/>
      <c r="AR475" s="280"/>
      <c r="AS475" s="280"/>
    </row>
    <row r="476" spans="1:47" s="8" customFormat="1" ht="12.75" customHeight="1">
      <c r="B476" s="536" t="str">
        <f>IF($C$1="ENG","model","модель")</f>
        <v>модель</v>
      </c>
      <c r="C476" s="122" t="str">
        <f>IF($C$1="ENG","cover:","покриття:")</f>
        <v>покриття:</v>
      </c>
      <c r="D476" s="522" t="str">
        <f>IF($C$1="ENG","UNI-MAT","UNI-MAT")</f>
        <v>UNI-MAT</v>
      </c>
      <c r="E476" s="524"/>
      <c r="F476" s="522" t="str">
        <f>IF($C$1="ENG","RESIST","RESIST")</f>
        <v>RESIST</v>
      </c>
      <c r="G476" s="524"/>
      <c r="H476" s="1"/>
      <c r="T476" s="413"/>
      <c r="U476" s="413"/>
      <c r="V476" s="413"/>
      <c r="W476" s="413"/>
      <c r="AN476" s="280"/>
      <c r="AO476" s="280"/>
      <c r="AP476" s="280"/>
      <c r="AQ476" s="280"/>
      <c r="AR476" s="280"/>
      <c r="AS476" s="280"/>
      <c r="AT476" s="280"/>
    </row>
    <row r="477" spans="1:47" s="8" customFormat="1" ht="24.95" customHeight="1">
      <c r="B477" s="537"/>
      <c r="C477" s="123" t="str">
        <f>IF($C$1="ENG","filling:","заповнення:")</f>
        <v>заповнення:</v>
      </c>
      <c r="D477" s="527" t="str">
        <f>IF($C$1="ENG","softwood","клеєний сосновий брус")</f>
        <v>клеєний сосновий брус</v>
      </c>
      <c r="E477" s="528"/>
      <c r="F477" s="527" t="str">
        <f>IF($C$1="ENG","softwood","клеєний сосновий брус")</f>
        <v>клеєний сосновий брус</v>
      </c>
      <c r="G477" s="528"/>
      <c r="H477" s="1"/>
      <c r="I477" s="1"/>
      <c r="U477" s="413"/>
      <c r="V477" s="413"/>
      <c r="W477" s="413"/>
      <c r="X477" s="413"/>
      <c r="AE477" s="382" t="e">
        <f>AD479/AC479-1</f>
        <v>#DIV/0!</v>
      </c>
      <c r="AF477" s="382">
        <f>AE479/AD479-1</f>
        <v>3.9886039886039892E-2</v>
      </c>
      <c r="AG477" s="382">
        <f>AF479/AE479-1</f>
        <v>0.10273972602739723</v>
      </c>
      <c r="AH477" s="382">
        <f>AG479/AF479-1</f>
        <v>5.2173913043478182E-2</v>
      </c>
      <c r="AO477" s="280"/>
      <c r="AP477" s="280"/>
      <c r="AQ477" s="280"/>
      <c r="AR477" s="280"/>
      <c r="AS477" s="280"/>
      <c r="AT477" s="280"/>
      <c r="AU477" s="280"/>
    </row>
    <row r="478" spans="1:47" ht="12.75" customHeight="1">
      <c r="A478" s="8"/>
      <c r="B478" s="538"/>
      <c r="C478" s="124" t="str">
        <f>IF($C$1="ENG","glazing:","скління:")</f>
        <v>скління:</v>
      </c>
      <c r="D478" s="513" t="str">
        <f>IF($C$1="ENG","Satin","Сатин")</f>
        <v>Сатин</v>
      </c>
      <c r="E478" s="516"/>
      <c r="F478" s="513" t="str">
        <f>IF($C$1="ENG","Satin","Сатин")</f>
        <v>Сатин</v>
      </c>
      <c r="G478" s="516"/>
      <c r="AN478" s="1"/>
      <c r="AU478" s="30"/>
    </row>
    <row r="479" spans="1:47" ht="35.1" customHeight="1">
      <c r="A479" s="8"/>
      <c r="B479" s="16" t="s">
        <v>70</v>
      </c>
      <c r="C479" s="17"/>
      <c r="D479" s="18">
        <f>IF(AD479="","",(1-$W$2)*(AD479/1.2))</f>
        <v>5850</v>
      </c>
      <c r="E479" s="66">
        <f>IF($W$5=0.2,D479*1.2,D479)/$W$4</f>
        <v>7020</v>
      </c>
      <c r="F479" s="18">
        <f>IF(AE479="","",(1-$W$2)*(AE479/1.2))</f>
        <v>6083.3333333333339</v>
      </c>
      <c r="G479" s="66">
        <f>IF($W$5=0.2,F479*1.2,F479)/$W$4</f>
        <v>7300.0000000000009</v>
      </c>
      <c r="L479" s="104"/>
      <c r="M479" s="104"/>
      <c r="N479" s="104"/>
      <c r="O479" s="104"/>
      <c r="P479" s="104"/>
      <c r="Q479" s="104"/>
      <c r="R479" s="104"/>
      <c r="S479" s="104"/>
      <c r="U479" s="104"/>
      <c r="V479" s="20"/>
      <c r="W479" s="104"/>
      <c r="X479" s="20"/>
      <c r="Y479" s="104"/>
      <c r="Z479" s="104"/>
      <c r="AA479" s="104"/>
      <c r="AB479" s="104"/>
      <c r="AC479" s="332"/>
      <c r="AD479" s="390">
        <v>7020</v>
      </c>
      <c r="AE479" s="332">
        <v>7300</v>
      </c>
      <c r="AF479" s="332">
        <v>8050</v>
      </c>
      <c r="AG479" s="332">
        <v>8470</v>
      </c>
      <c r="AH479" s="289">
        <v>6230</v>
      </c>
      <c r="AI479" s="289" t="e">
        <f>AH479/AC479-1</f>
        <v>#DIV/0!</v>
      </c>
      <c r="AJ479" s="289">
        <v>7100</v>
      </c>
      <c r="AK479" s="289">
        <f>AJ479/AD479-1</f>
        <v>1.139601139601143E-2</v>
      </c>
      <c r="AL479" s="289">
        <v>7390</v>
      </c>
      <c r="AM479" s="289">
        <f>AL479/AE479-1</f>
        <v>1.2328767123287676E-2</v>
      </c>
      <c r="AN479" s="289">
        <v>8050</v>
      </c>
      <c r="AO479" s="289">
        <f>AN479/AF479-1</f>
        <v>0</v>
      </c>
      <c r="AP479" s="289">
        <v>8470</v>
      </c>
      <c r="AQ479" s="289">
        <f>AP479/AG479-1</f>
        <v>0</v>
      </c>
    </row>
    <row r="480" spans="1:47" ht="35.1" customHeight="1">
      <c r="A480" s="8"/>
      <c r="B480" s="16" t="s">
        <v>71</v>
      </c>
      <c r="C480" s="17"/>
      <c r="D480" s="18">
        <f>IF(AD480="","",(1-$W$2)*(AD480/1.2))</f>
        <v>5691.666666666667</v>
      </c>
      <c r="E480" s="66">
        <f>IF($W$5=0.2,D480*1.2,D480)/$W$4</f>
        <v>6830</v>
      </c>
      <c r="F480" s="18">
        <f>IF(AE480="","",(1-$W$2)*(AE480/1.2))</f>
        <v>5916.666666666667</v>
      </c>
      <c r="G480" s="66">
        <f>IF($W$5=0.2,F480*1.2,F480)/$W$4</f>
        <v>7100</v>
      </c>
      <c r="L480" s="104"/>
      <c r="M480" s="104"/>
      <c r="N480" s="104"/>
      <c r="O480" s="104"/>
      <c r="P480" s="104"/>
      <c r="Q480" s="104"/>
      <c r="R480" s="104"/>
      <c r="S480" s="104"/>
      <c r="U480" s="104"/>
      <c r="V480" s="20"/>
      <c r="W480" s="104"/>
      <c r="X480" s="20"/>
      <c r="Y480" s="104"/>
      <c r="Z480" s="104"/>
      <c r="AA480" s="104"/>
      <c r="AB480" s="104"/>
      <c r="AC480" s="332"/>
      <c r="AD480" s="390">
        <v>6830</v>
      </c>
      <c r="AE480" s="332">
        <v>7100</v>
      </c>
      <c r="AF480" s="332">
        <v>8050</v>
      </c>
      <c r="AG480" s="332">
        <v>8470</v>
      </c>
      <c r="AH480" s="289">
        <v>6230</v>
      </c>
      <c r="AI480" s="289" t="e">
        <f t="shared" ref="AI480:AI483" si="52">AH480/AC480-1</f>
        <v>#DIV/0!</v>
      </c>
      <c r="AJ480" s="289">
        <v>7100</v>
      </c>
      <c r="AK480" s="289">
        <f>AJ480/AD480-1</f>
        <v>3.9531478770131745E-2</v>
      </c>
      <c r="AL480" s="289">
        <v>7390</v>
      </c>
      <c r="AM480" s="289">
        <f t="shared" ref="AM480:AM483" si="53">AL480/AE480-1</f>
        <v>4.0845070422535157E-2</v>
      </c>
      <c r="AN480" s="289">
        <v>8050</v>
      </c>
      <c r="AO480" s="289">
        <f t="shared" ref="AO480:AO483" si="54">AN480/AF480-1</f>
        <v>0</v>
      </c>
      <c r="AP480" s="289">
        <v>8470</v>
      </c>
      <c r="AQ480" s="289">
        <f t="shared" ref="AQ480:AQ483" si="55">AP480/AG480-1</f>
        <v>0</v>
      </c>
    </row>
    <row r="481" spans="1:43" ht="35.1" customHeight="1">
      <c r="A481" s="8"/>
      <c r="B481" s="107" t="s">
        <v>72</v>
      </c>
      <c r="C481" s="322"/>
      <c r="D481" s="18">
        <f t="shared" ref="D481:D482" si="56">IF(AD481="","",(1-$W$2)*(AD481/1.2))</f>
        <v>6075</v>
      </c>
      <c r="E481" s="66">
        <f t="shared" ref="E481:E482" si="57">IF($W$5=0.2,D481*1.2,D481)/$W$4</f>
        <v>7290</v>
      </c>
      <c r="F481" s="18">
        <f t="shared" ref="F481:F482" si="58">IF(AE481="","",(1-$W$2)*(AE481/1.2))</f>
        <v>6316.666666666667</v>
      </c>
      <c r="G481" s="66">
        <f t="shared" ref="G481:G482" si="59">IF($W$5=0.2,F481*1.2,F481)/$W$4</f>
        <v>7580</v>
      </c>
      <c r="L481" s="104"/>
      <c r="M481" s="104"/>
      <c r="N481" s="104"/>
      <c r="O481" s="104"/>
      <c r="P481" s="104"/>
      <c r="Q481" s="104"/>
      <c r="R481" s="104"/>
      <c r="S481" s="104"/>
      <c r="U481" s="104"/>
      <c r="V481" s="20"/>
      <c r="W481" s="104"/>
      <c r="X481" s="20"/>
      <c r="Y481" s="104"/>
      <c r="Z481" s="104"/>
      <c r="AA481" s="104"/>
      <c r="AB481" s="104"/>
      <c r="AC481" s="332"/>
      <c r="AD481" s="390">
        <v>7290</v>
      </c>
      <c r="AE481" s="332">
        <v>7580</v>
      </c>
      <c r="AF481" s="332"/>
      <c r="AG481" s="332"/>
      <c r="AH481" s="289"/>
      <c r="AI481" s="289"/>
      <c r="AJ481" s="289"/>
      <c r="AK481" s="289"/>
      <c r="AL481" s="289"/>
      <c r="AM481" s="289"/>
      <c r="AN481" s="289"/>
      <c r="AO481" s="289"/>
      <c r="AP481" s="289"/>
      <c r="AQ481" s="289"/>
    </row>
    <row r="482" spans="1:43" ht="35.1" customHeight="1">
      <c r="A482" s="8"/>
      <c r="B482" s="107" t="s">
        <v>73</v>
      </c>
      <c r="C482" s="322"/>
      <c r="D482" s="18">
        <f t="shared" si="56"/>
        <v>5883.3333333333339</v>
      </c>
      <c r="E482" s="66">
        <f t="shared" si="57"/>
        <v>7060.0000000000009</v>
      </c>
      <c r="F482" s="18">
        <f t="shared" si="58"/>
        <v>6116.666666666667</v>
      </c>
      <c r="G482" s="66">
        <f t="shared" si="59"/>
        <v>7340</v>
      </c>
      <c r="L482" s="104"/>
      <c r="M482" s="104"/>
      <c r="N482" s="104"/>
      <c r="O482" s="104"/>
      <c r="P482" s="104"/>
      <c r="Q482" s="104"/>
      <c r="R482" s="104"/>
      <c r="S482" s="104"/>
      <c r="U482" s="104"/>
      <c r="V482" s="20"/>
      <c r="W482" s="104"/>
      <c r="X482" s="20"/>
      <c r="Y482" s="104"/>
      <c r="Z482" s="104"/>
      <c r="AA482" s="104"/>
      <c r="AB482" s="104"/>
      <c r="AC482" s="332"/>
      <c r="AD482" s="390">
        <v>7060</v>
      </c>
      <c r="AE482" s="332">
        <v>7340</v>
      </c>
      <c r="AF482" s="332"/>
      <c r="AG482" s="332"/>
      <c r="AH482" s="289"/>
      <c r="AI482" s="289"/>
      <c r="AJ482" s="289"/>
      <c r="AK482" s="289"/>
      <c r="AL482" s="289"/>
      <c r="AM482" s="289"/>
      <c r="AN482" s="289"/>
      <c r="AO482" s="289"/>
      <c r="AP482" s="289"/>
      <c r="AQ482" s="289"/>
    </row>
    <row r="483" spans="1:43" ht="35.1" customHeight="1">
      <c r="A483" s="8"/>
      <c r="B483" s="23" t="s">
        <v>74</v>
      </c>
      <c r="C483" s="24"/>
      <c r="D483" s="25">
        <f>IF(AD483="","",(1-$W$2)*(AD483/1.2))</f>
        <v>6325</v>
      </c>
      <c r="E483" s="69">
        <f>IF($W$5=0.2,D483*1.2,D483)/$W$4</f>
        <v>7590</v>
      </c>
      <c r="F483" s="25">
        <f>IF(AE483="","",(1-$W$2)*(AE483/1.2))</f>
        <v>6583.3333333333339</v>
      </c>
      <c r="G483" s="69">
        <f>IF($W$5=0.2,F483*1.2,F483)/$W$4</f>
        <v>7900</v>
      </c>
      <c r="L483" s="104"/>
      <c r="M483" s="104"/>
      <c r="N483" s="104"/>
      <c r="O483" s="104"/>
      <c r="P483" s="104"/>
      <c r="Q483" s="104"/>
      <c r="R483" s="104"/>
      <c r="S483" s="104"/>
      <c r="U483" s="104"/>
      <c r="V483" s="20"/>
      <c r="W483" s="104"/>
      <c r="X483" s="20"/>
      <c r="Y483" s="104"/>
      <c r="Z483" s="104"/>
      <c r="AA483" s="104"/>
      <c r="AB483" s="104"/>
      <c r="AC483" s="332"/>
      <c r="AD483" s="390">
        <v>7590</v>
      </c>
      <c r="AE483" s="332">
        <v>7900</v>
      </c>
      <c r="AF483" s="332">
        <v>8050</v>
      </c>
      <c r="AG483" s="332">
        <v>8470</v>
      </c>
      <c r="AH483" s="289">
        <v>6230</v>
      </c>
      <c r="AI483" s="289" t="e">
        <f t="shared" si="52"/>
        <v>#DIV/0!</v>
      </c>
      <c r="AJ483" s="289">
        <v>7100</v>
      </c>
      <c r="AK483" s="289">
        <f t="shared" ref="AK483" si="60">AJ483/AD483-1</f>
        <v>-6.4558629776021115E-2</v>
      </c>
      <c r="AL483" s="289">
        <v>7390</v>
      </c>
      <c r="AM483" s="289">
        <f t="shared" si="53"/>
        <v>-6.4556962025316467E-2</v>
      </c>
      <c r="AN483" s="289">
        <v>8050</v>
      </c>
      <c r="AO483" s="289">
        <f t="shared" si="54"/>
        <v>0</v>
      </c>
      <c r="AP483" s="289">
        <v>8470</v>
      </c>
      <c r="AQ483" s="289">
        <f t="shared" si="55"/>
        <v>0</v>
      </c>
    </row>
    <row r="484" spans="1:43">
      <c r="C484" s="245"/>
      <c r="D484" s="26"/>
      <c r="E484" s="57"/>
      <c r="F484" s="26"/>
      <c r="G484" s="57"/>
      <c r="H484" s="10"/>
      <c r="I484" s="8"/>
      <c r="J484" s="8"/>
      <c r="K484" s="8"/>
    </row>
    <row r="485" spans="1:43">
      <c r="B485" s="212" t="str">
        <f>IF($C$1="ENG","For additonal charge:","Послуги за додаткову плату:")</f>
        <v>Послуги за додаткову плату:</v>
      </c>
      <c r="C485" s="420"/>
      <c r="D485" s="213"/>
      <c r="E485" s="214"/>
      <c r="F485" s="26"/>
      <c r="G485" s="57"/>
      <c r="H485" s="10"/>
      <c r="I485" s="8"/>
      <c r="J485" s="8"/>
      <c r="K485" s="8"/>
    </row>
    <row r="486" spans="1:43" ht="5.0999999999999996" customHeight="1">
      <c r="B486" s="27"/>
      <c r="C486" s="245"/>
      <c r="D486" s="26"/>
      <c r="E486" s="57"/>
      <c r="F486" s="26"/>
      <c r="G486" s="57"/>
      <c r="H486" s="10"/>
      <c r="I486" s="8"/>
      <c r="J486" s="8"/>
      <c r="K486" s="8"/>
    </row>
    <row r="487" spans="1:43">
      <c r="B487" s="539" t="str">
        <f>IF($C$1="ENG","door leaf with width 100","полотно розміром 100")</f>
        <v>полотно розміром 100</v>
      </c>
      <c r="C487" s="540"/>
      <c r="D487" s="409">
        <f t="shared" ref="D487:D498" si="61">IF(AC487="","",(1-$W$2)*(AC487/1.2))</f>
        <v>600</v>
      </c>
      <c r="E487" s="92">
        <f>IF($W$5=0.2,D487*1.2,D487)/$W$4</f>
        <v>720</v>
      </c>
      <c r="F487" s="26"/>
      <c r="G487" s="26"/>
      <c r="H487" s="10"/>
      <c r="I487" s="8"/>
      <c r="J487" s="8"/>
      <c r="K487" s="8"/>
      <c r="AC487" s="298">
        <v>720</v>
      </c>
      <c r="AD487" s="289">
        <v>720</v>
      </c>
      <c r="AE487" s="289">
        <f>AD487/AC487-1</f>
        <v>0</v>
      </c>
      <c r="AF487" s="289"/>
      <c r="AG487" s="289"/>
      <c r="AH487" s="289"/>
      <c r="AI487" s="289"/>
      <c r="AJ487" s="289"/>
      <c r="AK487" s="289"/>
      <c r="AL487" s="289"/>
    </row>
    <row r="488" spans="1:43">
      <c r="B488" s="539" t="str">
        <f>IF($C$1="ENG","Ventilation cut","вентиляційний підріз")</f>
        <v>вентиляційний підріз</v>
      </c>
      <c r="C488" s="540"/>
      <c r="D488" s="404">
        <f t="shared" si="61"/>
        <v>141.66666666666669</v>
      </c>
      <c r="E488" s="66">
        <f t="shared" ref="E488:E497" si="62">IF($W$5=0.2,D488*1.2,D488)/$W$4</f>
        <v>170.00000000000003</v>
      </c>
      <c r="F488" s="26"/>
      <c r="G488" s="26"/>
      <c r="I488" s="59"/>
      <c r="J488" s="28"/>
      <c r="AC488" s="298">
        <v>170</v>
      </c>
      <c r="AD488" s="289">
        <v>170</v>
      </c>
      <c r="AE488" s="289">
        <f t="shared" ref="AE488:AE497" si="63">AD488/AC488-1</f>
        <v>0</v>
      </c>
      <c r="AF488" s="289"/>
      <c r="AG488" s="289"/>
      <c r="AH488" s="289"/>
      <c r="AI488" s="289"/>
      <c r="AJ488" s="289"/>
      <c r="AK488" s="289"/>
      <c r="AL488" s="289"/>
    </row>
    <row r="489" spans="1:43">
      <c r="B489" s="532" t="str">
        <f>IF($C$1="ENG","glazing Graphite / Bronze","скло Графіт / Бронза")</f>
        <v>скло Графіт / Бронза</v>
      </c>
      <c r="C489" s="533"/>
      <c r="D489" s="406">
        <f t="shared" si="61"/>
        <v>458.33333333333337</v>
      </c>
      <c r="E489" s="93">
        <f t="shared" si="62"/>
        <v>550</v>
      </c>
      <c r="F489" s="26"/>
      <c r="G489" s="26"/>
      <c r="H489" s="5"/>
      <c r="AC489" s="298">
        <v>550</v>
      </c>
      <c r="AD489" s="289">
        <v>550</v>
      </c>
      <c r="AE489" s="289">
        <f t="shared" si="63"/>
        <v>0</v>
      </c>
      <c r="AF489" s="289"/>
      <c r="AG489" s="289"/>
      <c r="AH489" s="289"/>
      <c r="AI489" s="289"/>
      <c r="AJ489" s="289"/>
      <c r="AK489" s="289"/>
      <c r="AL489" s="289"/>
    </row>
    <row r="490" spans="1:43">
      <c r="B490" s="532" t="str">
        <f>IF($C$1="ENG","door lock Soft","замок Soft")</f>
        <v>замок Soft</v>
      </c>
      <c r="C490" s="533"/>
      <c r="D490" s="406">
        <f t="shared" si="61"/>
        <v>458.33333333333337</v>
      </c>
      <c r="E490" s="93">
        <f t="shared" si="62"/>
        <v>550</v>
      </c>
      <c r="F490" s="26"/>
      <c r="G490" s="26"/>
      <c r="H490" s="5"/>
      <c r="AC490" s="298">
        <v>550</v>
      </c>
      <c r="AD490" s="289">
        <v>550</v>
      </c>
      <c r="AE490" s="289">
        <f t="shared" si="63"/>
        <v>0</v>
      </c>
      <c r="AF490" s="289"/>
      <c r="AG490" s="289"/>
      <c r="AH490" s="289"/>
      <c r="AI490" s="289"/>
      <c r="AJ490" s="289"/>
      <c r="AK490" s="289"/>
      <c r="AL490" s="289"/>
    </row>
    <row r="491" spans="1:43">
      <c r="B491" s="532" t="str">
        <f>IF($C$1="ENG","door lock Soft black","замок Soft чорн.")</f>
        <v>замок Soft чорн.</v>
      </c>
      <c r="C491" s="533"/>
      <c r="D491" s="406">
        <f t="shared" ref="D491" si="64">IF(AC491="","",(1-$W$2)*(AC491/1.2))</f>
        <v>566.66666666666674</v>
      </c>
      <c r="E491" s="93">
        <f t="shared" ref="E491" si="65">IF($W$5=0.2,D491*1.2,D491)/$W$4</f>
        <v>680.00000000000011</v>
      </c>
      <c r="F491" s="26"/>
      <c r="G491" s="26"/>
      <c r="H491" s="5"/>
      <c r="AC491" s="298">
        <v>680</v>
      </c>
      <c r="AD491" s="289"/>
      <c r="AE491" s="289"/>
      <c r="AF491" s="289"/>
      <c r="AG491" s="289"/>
      <c r="AH491" s="289"/>
      <c r="AI491" s="289"/>
      <c r="AJ491" s="289"/>
      <c r="AK491" s="289"/>
      <c r="AL491" s="289"/>
    </row>
    <row r="492" spans="1:43">
      <c r="B492" s="532" t="str">
        <f>IF($C$1="ENG","door lock Magnet","замок Magnet")</f>
        <v>замок Magnet</v>
      </c>
      <c r="C492" s="533"/>
      <c r="D492" s="406">
        <f t="shared" si="61"/>
        <v>666.66666666666674</v>
      </c>
      <c r="E492" s="93">
        <f t="shared" si="62"/>
        <v>800.00000000000011</v>
      </c>
      <c r="F492" s="26"/>
      <c r="G492" s="26"/>
      <c r="H492" s="5"/>
      <c r="AC492" s="298">
        <v>800</v>
      </c>
      <c r="AD492" s="289">
        <v>800</v>
      </c>
      <c r="AE492" s="289">
        <f t="shared" si="63"/>
        <v>0</v>
      </c>
      <c r="AF492" s="289"/>
      <c r="AG492" s="289"/>
      <c r="AH492" s="289"/>
      <c r="AI492" s="289"/>
      <c r="AJ492" s="289"/>
      <c r="AK492" s="289"/>
      <c r="AL492" s="289"/>
    </row>
    <row r="493" spans="1:43">
      <c r="B493" s="532" t="s">
        <v>75</v>
      </c>
      <c r="C493" s="533"/>
      <c r="D493" s="406">
        <f t="shared" ref="D493" si="66">IF(AC493="","",(1-$W$2)*(AC493/1.2))</f>
        <v>833.33333333333337</v>
      </c>
      <c r="E493" s="93">
        <f t="shared" ref="E493" si="67">IF($W$5=0.2,D493*1.2,D493)/$W$4</f>
        <v>1000</v>
      </c>
      <c r="F493" s="26"/>
      <c r="G493" s="26"/>
      <c r="H493" s="5"/>
      <c r="AC493" s="298">
        <v>1000</v>
      </c>
      <c r="AD493" s="289"/>
      <c r="AE493" s="289"/>
      <c r="AF493" s="289"/>
      <c r="AG493" s="289"/>
      <c r="AH493" s="289"/>
      <c r="AI493" s="289"/>
      <c r="AJ493" s="289"/>
      <c r="AK493" s="289"/>
      <c r="AL493" s="289"/>
    </row>
    <row r="494" spans="1:43">
      <c r="B494" s="532" t="str">
        <f>IF($C$1="ENG","door handle-lock (for sliding doors)","ручка-замок (для дверей купе)")</f>
        <v>ручка-замок (для дверей купе)</v>
      </c>
      <c r="C494" s="533"/>
      <c r="D494" s="404">
        <f t="shared" si="61"/>
        <v>466.66666666666669</v>
      </c>
      <c r="E494" s="93">
        <f t="shared" si="62"/>
        <v>560</v>
      </c>
      <c r="F494" s="26"/>
      <c r="G494" s="26"/>
      <c r="I494" s="11"/>
      <c r="J494" s="11"/>
      <c r="K494" s="19"/>
      <c r="AC494" s="298">
        <v>560</v>
      </c>
      <c r="AD494" s="289">
        <v>560</v>
      </c>
      <c r="AE494" s="289">
        <f t="shared" si="63"/>
        <v>0</v>
      </c>
      <c r="AF494" s="289"/>
      <c r="AG494" s="289"/>
      <c r="AH494" s="289"/>
      <c r="AI494" s="289"/>
      <c r="AJ494" s="289"/>
      <c r="AK494" s="289"/>
      <c r="AL494" s="289"/>
    </row>
    <row r="495" spans="1:43">
      <c r="B495" s="532" t="str">
        <f>IF($C$1="ENG","cylinder incert","циліндр несиметричний")</f>
        <v>циліндр несиметричний</v>
      </c>
      <c r="C495" s="533"/>
      <c r="D495" s="404">
        <f t="shared" si="61"/>
        <v>325</v>
      </c>
      <c r="E495" s="93">
        <f t="shared" si="62"/>
        <v>390</v>
      </c>
      <c r="F495" s="26"/>
      <c r="G495" s="26"/>
      <c r="AC495" s="298">
        <v>390</v>
      </c>
      <c r="AD495" s="289">
        <v>390</v>
      </c>
      <c r="AE495" s="289">
        <f t="shared" si="63"/>
        <v>0</v>
      </c>
      <c r="AF495" s="289"/>
      <c r="AG495" s="289"/>
      <c r="AH495" s="289"/>
      <c r="AI495" s="289"/>
      <c r="AJ495" s="289"/>
      <c r="AK495" s="289"/>
      <c r="AL495" s="289"/>
    </row>
    <row r="496" spans="1:43">
      <c r="B496" s="532" t="str">
        <f>IF($C$1="ENG","door hindge Prestige (1 unit)","завіса Prestige (1 шт)")</f>
        <v>завіса Prestige (1 шт)</v>
      </c>
      <c r="C496" s="533"/>
      <c r="D496" s="407">
        <f t="shared" si="61"/>
        <v>216.66666666666669</v>
      </c>
      <c r="E496" s="93">
        <f t="shared" si="62"/>
        <v>260</v>
      </c>
      <c r="F496" s="26"/>
      <c r="G496" s="26"/>
      <c r="AC496" s="298">
        <v>260</v>
      </c>
      <c r="AD496" s="289">
        <v>260</v>
      </c>
      <c r="AE496" s="289">
        <f t="shared" si="63"/>
        <v>0</v>
      </c>
      <c r="AF496" s="289"/>
      <c r="AG496" s="289"/>
      <c r="AH496" s="289"/>
      <c r="AI496" s="289"/>
      <c r="AJ496" s="289"/>
      <c r="AK496" s="289"/>
      <c r="AL496" s="289"/>
    </row>
    <row r="497" spans="2:38">
      <c r="B497" s="532" t="str">
        <f>IF($C$1="ENG","door hinge caps (1 set)","накладка на завіси (1 к-т)")</f>
        <v>накладка на завіси (1 к-т)</v>
      </c>
      <c r="C497" s="533"/>
      <c r="D497" s="407">
        <f t="shared" si="61"/>
        <v>66.666666666666671</v>
      </c>
      <c r="E497" s="93">
        <f t="shared" si="62"/>
        <v>80</v>
      </c>
      <c r="F497" s="26"/>
      <c r="G497" s="26"/>
      <c r="AC497" s="298">
        <v>80</v>
      </c>
      <c r="AD497" s="289">
        <v>80</v>
      </c>
      <c r="AE497" s="289">
        <f t="shared" si="63"/>
        <v>0</v>
      </c>
      <c r="AF497" s="289"/>
      <c r="AG497" s="289"/>
      <c r="AH497" s="289"/>
      <c r="AI497" s="289"/>
      <c r="AJ497" s="289"/>
      <c r="AK497" s="289"/>
      <c r="AL497" s="289"/>
    </row>
    <row r="498" spans="2:38">
      <c r="B498" s="532" t="str">
        <f>IF($C$1="ENG","door handle","дверна ручка")</f>
        <v>дверна ручка</v>
      </c>
      <c r="C498" s="533"/>
      <c r="D498" s="408" t="str">
        <f t="shared" si="61"/>
        <v/>
      </c>
      <c r="E498" s="247" t="str">
        <f>IF($C$1="ENG","see Handles Price","див. Таблицю Ручки")</f>
        <v>див. Таблицю Ручки</v>
      </c>
      <c r="F498" s="26"/>
      <c r="G498" s="26"/>
      <c r="AC498" s="289"/>
      <c r="AD498" s="289"/>
      <c r="AE498" s="289"/>
      <c r="AF498" s="289"/>
      <c r="AG498" s="289"/>
      <c r="AH498" s="289"/>
      <c r="AI498" s="289"/>
      <c r="AJ498" s="289"/>
      <c r="AK498" s="289"/>
      <c r="AL498" s="289"/>
    </row>
    <row r="499" spans="2:38" ht="14.25" customHeight="1">
      <c r="C499" s="245"/>
      <c r="D499" s="26"/>
      <c r="E499" s="26"/>
      <c r="F499" s="26"/>
      <c r="G499" s="26"/>
      <c r="H499" s="5"/>
      <c r="T499" s="525" t="str">
        <f>IF($C$1="ENG",CONCATENATE("down to: ",B609),CONCATENATE("вниз до: ",B609))</f>
        <v xml:space="preserve">вниз до: </v>
      </c>
      <c r="U499" s="525"/>
      <c r="V499" s="525"/>
      <c r="W499" s="525"/>
    </row>
    <row r="500" spans="2:38" ht="14.25" customHeight="1">
      <c r="C500" s="245"/>
      <c r="D500" s="26"/>
      <c r="E500" s="26"/>
      <c r="F500" s="26"/>
      <c r="G500" s="26"/>
      <c r="H500" s="5"/>
    </row>
    <row r="501" spans="2:38" ht="14.25" customHeight="1">
      <c r="C501" s="245"/>
      <c r="D501" s="26"/>
      <c r="E501" s="26"/>
      <c r="F501" s="26"/>
      <c r="G501" s="26"/>
      <c r="H501" s="5"/>
    </row>
    <row r="502" spans="2:38" ht="14.25" customHeight="1">
      <c r="C502" s="245"/>
      <c r="D502" s="26"/>
      <c r="E502" s="26"/>
      <c r="F502" s="26"/>
      <c r="G502" s="26"/>
      <c r="H502" s="5"/>
    </row>
    <row r="503" spans="2:38" ht="14.25" customHeight="1">
      <c r="C503" s="245"/>
      <c r="D503" s="26"/>
      <c r="E503" s="26"/>
      <c r="F503" s="26"/>
      <c r="G503" s="26"/>
      <c r="H503" s="5"/>
    </row>
    <row r="504" spans="2:38" ht="14.25" customHeight="1">
      <c r="C504" s="245"/>
      <c r="D504" s="26"/>
      <c r="E504" s="26"/>
      <c r="F504" s="26"/>
      <c r="G504" s="26"/>
      <c r="H504" s="5"/>
    </row>
    <row r="505" spans="2:38" ht="14.25" customHeight="1">
      <c r="C505" s="245"/>
      <c r="D505" s="26"/>
      <c r="E505" s="26"/>
      <c r="F505" s="26"/>
      <c r="G505" s="26"/>
      <c r="H505" s="5"/>
    </row>
    <row r="506" spans="2:38" ht="14.25" customHeight="1">
      <c r="C506" s="245"/>
      <c r="D506" s="26"/>
      <c r="E506" s="26"/>
      <c r="F506" s="26"/>
      <c r="G506" s="26"/>
      <c r="H506" s="5"/>
    </row>
    <row r="507" spans="2:38" ht="14.25" customHeight="1">
      <c r="C507" s="245"/>
      <c r="D507" s="26"/>
      <c r="E507" s="26"/>
      <c r="F507" s="26"/>
      <c r="G507" s="26"/>
      <c r="H507" s="5"/>
    </row>
    <row r="508" spans="2:38" ht="14.25" customHeight="1">
      <c r="C508" s="245"/>
      <c r="D508" s="26"/>
      <c r="E508" s="26"/>
      <c r="F508" s="26"/>
      <c r="G508" s="26"/>
      <c r="H508" s="5"/>
    </row>
    <row r="509" spans="2:38" ht="14.25" customHeight="1">
      <c r="C509" s="245"/>
      <c r="D509" s="26"/>
      <c r="E509" s="26"/>
      <c r="F509" s="26"/>
      <c r="G509" s="26"/>
      <c r="H509" s="5"/>
    </row>
    <row r="510" spans="2:38" ht="14.25" customHeight="1">
      <c r="C510" s="245"/>
      <c r="D510" s="26"/>
      <c r="E510" s="26"/>
      <c r="F510" s="26"/>
      <c r="G510" s="26"/>
      <c r="H510" s="5"/>
    </row>
    <row r="511" spans="2:38" ht="14.25" customHeight="1">
      <c r="C511" s="245"/>
      <c r="D511" s="26"/>
      <c r="E511" s="26"/>
      <c r="F511" s="26"/>
      <c r="G511" s="26"/>
      <c r="H511" s="5"/>
    </row>
    <row r="512" spans="2:38" ht="14.25" customHeight="1">
      <c r="C512" s="245"/>
      <c r="D512" s="26"/>
      <c r="E512" s="26"/>
      <c r="F512" s="26"/>
      <c r="G512" s="26"/>
      <c r="H512" s="5"/>
    </row>
    <row r="513" spans="1:47" ht="14.25" customHeight="1">
      <c r="C513" s="245"/>
      <c r="D513" s="26"/>
      <c r="E513" s="26"/>
      <c r="F513" s="26"/>
      <c r="G513" s="26"/>
      <c r="H513" s="5"/>
    </row>
    <row r="514" spans="1:47" ht="14.25" customHeight="1">
      <c r="C514" s="245"/>
      <c r="D514" s="26"/>
      <c r="E514" s="26"/>
      <c r="F514" s="26"/>
      <c r="G514" s="26"/>
      <c r="H514" s="5"/>
    </row>
    <row r="515" spans="1:47" ht="14.25" customHeight="1">
      <c r="C515" s="245"/>
      <c r="D515" s="26"/>
      <c r="E515" s="26"/>
      <c r="F515" s="26"/>
      <c r="G515" s="26"/>
      <c r="H515" s="5"/>
    </row>
    <row r="516" spans="1:47" ht="14.25" customHeight="1">
      <c r="C516" s="245"/>
      <c r="D516" s="26"/>
      <c r="E516" s="26"/>
      <c r="F516" s="26"/>
      <c r="G516" s="26"/>
      <c r="H516" s="5"/>
    </row>
    <row r="517" spans="1:47" ht="14.25" customHeight="1">
      <c r="C517" s="245"/>
      <c r="D517" s="26"/>
      <c r="E517" s="26"/>
      <c r="F517" s="26"/>
      <c r="G517" s="26"/>
      <c r="H517" s="5"/>
    </row>
    <row r="518" spans="1:47" ht="14.25" customHeight="1">
      <c r="C518" s="245"/>
      <c r="D518" s="26"/>
      <c r="E518" s="26"/>
      <c r="F518" s="26"/>
      <c r="G518" s="26"/>
      <c r="H518" s="5"/>
    </row>
    <row r="519" spans="1:47" ht="14.25" customHeight="1">
      <c r="C519" s="245"/>
      <c r="D519" s="26"/>
      <c r="E519" s="26"/>
      <c r="F519" s="26"/>
      <c r="G519" s="26"/>
      <c r="H519" s="5"/>
    </row>
    <row r="520" spans="1:47" ht="14.25" customHeight="1">
      <c r="C520" s="245"/>
      <c r="D520" s="26"/>
      <c r="E520" s="26"/>
      <c r="F520" s="26"/>
      <c r="G520" s="26"/>
      <c r="H520" s="5"/>
    </row>
    <row r="521" spans="1:47" ht="14.25" customHeight="1">
      <c r="C521" s="245"/>
      <c r="D521" s="26"/>
      <c r="E521" s="26"/>
      <c r="F521" s="26"/>
      <c r="G521" s="26"/>
      <c r="H521" s="5"/>
    </row>
    <row r="522" spans="1:47" ht="14.25" customHeight="1">
      <c r="C522" s="245"/>
      <c r="D522" s="26"/>
      <c r="E522" s="26"/>
      <c r="F522" s="26"/>
      <c r="G522" s="26"/>
      <c r="H522" s="5"/>
    </row>
    <row r="523" spans="1:47" ht="14.25" customHeight="1">
      <c r="C523" s="245"/>
      <c r="D523" s="26"/>
      <c r="E523" s="26"/>
      <c r="F523" s="26"/>
      <c r="G523" s="26"/>
      <c r="H523" s="5"/>
    </row>
    <row r="524" spans="1:47" s="8" customFormat="1">
      <c r="B524" s="518" t="str">
        <f>TITLE!C15</f>
        <v>Полотна збірні: ПРОВАНС</v>
      </c>
      <c r="C524" s="518"/>
      <c r="D524" s="118"/>
      <c r="E524" s="118"/>
      <c r="F524" s="118"/>
      <c r="G524" s="118"/>
      <c r="H524" s="520"/>
      <c r="I524" s="520"/>
      <c r="J524" s="121"/>
      <c r="K524" s="121"/>
      <c r="L524" s="121"/>
      <c r="M524" s="121"/>
      <c r="N524" s="121"/>
      <c r="O524" s="121"/>
      <c r="P524" s="121"/>
      <c r="Q524" s="121"/>
      <c r="R524" s="121"/>
      <c r="S524" s="521" t="str">
        <f>IF($C$1="ENG",CONCATENATE("up to: ",B376),CONCATENATE("вгору до: ",B376))</f>
        <v>вгору до: замок Soft</v>
      </c>
      <c r="T524" s="550"/>
      <c r="U524" s="550"/>
      <c r="V524" s="550"/>
      <c r="W524" s="550"/>
      <c r="AN524" s="280"/>
      <c r="AO524" s="280"/>
      <c r="AP524" s="280"/>
      <c r="AQ524" s="280"/>
      <c r="AR524" s="280"/>
      <c r="AS524" s="280"/>
      <c r="AT524" s="280"/>
    </row>
    <row r="525" spans="1:47" s="8" customFormat="1" ht="5.0999999999999996" customHeight="1">
      <c r="B525" s="117"/>
      <c r="C525" s="419"/>
      <c r="D525" s="9"/>
      <c r="E525" s="9"/>
      <c r="F525" s="9"/>
      <c r="G525" s="9"/>
      <c r="H525" s="120"/>
      <c r="S525" s="465"/>
      <c r="T525" s="465"/>
      <c r="U525" s="465"/>
      <c r="V525" s="465"/>
      <c r="AM525" s="280"/>
      <c r="AN525" s="280"/>
      <c r="AO525" s="280"/>
      <c r="AP525" s="280"/>
      <c r="AQ525" s="280"/>
      <c r="AR525" s="280"/>
      <c r="AS525" s="280"/>
    </row>
    <row r="526" spans="1:47" s="8" customFormat="1" ht="12.75" customHeight="1">
      <c r="B526" s="536" t="str">
        <f>IF($C$1="ENG","model","модель")</f>
        <v>модель</v>
      </c>
      <c r="C526" s="122" t="str">
        <f>IF($C$1="ENG","cover:","покриття:")</f>
        <v>покриття:</v>
      </c>
      <c r="D526" s="522" t="str">
        <f>IF($C$1="ENG","UNI-MAT","UNI-MAT")</f>
        <v>UNI-MAT</v>
      </c>
      <c r="E526" s="524"/>
      <c r="F526" s="522" t="str">
        <f>IF($C$1="ENG","RESIST","RESIST")</f>
        <v>RESIST</v>
      </c>
      <c r="G526" s="524"/>
      <c r="H526" s="1"/>
      <c r="T526" s="465"/>
      <c r="U526" s="465"/>
      <c r="V526" s="465"/>
      <c r="W526" s="465"/>
      <c r="AN526" s="280"/>
      <c r="AO526" s="280"/>
      <c r="AP526" s="280"/>
      <c r="AQ526" s="280"/>
      <c r="AR526" s="280"/>
      <c r="AS526" s="280"/>
      <c r="AT526" s="280"/>
    </row>
    <row r="527" spans="1:47" s="8" customFormat="1" ht="24.95" customHeight="1">
      <c r="B527" s="537"/>
      <c r="C527" s="123" t="str">
        <f>IF($C$1="ENG","filling:","заповнення:")</f>
        <v>заповнення:</v>
      </c>
      <c r="D527" s="527" t="str">
        <f>IF($C$1="ENG","softwood","клеєний сосновий брус")</f>
        <v>клеєний сосновий брус</v>
      </c>
      <c r="E527" s="528"/>
      <c r="F527" s="527" t="str">
        <f>IF($C$1="ENG","softwood","клеєний сосновий брус")</f>
        <v>клеєний сосновий брус</v>
      </c>
      <c r="G527" s="528"/>
      <c r="H527" s="1"/>
      <c r="I527" s="1"/>
      <c r="U527" s="465"/>
      <c r="V527" s="465"/>
      <c r="W527" s="465"/>
      <c r="X527" s="465"/>
      <c r="AE527" s="382" t="e">
        <f>AD529/AC529-1</f>
        <v>#DIV/0!</v>
      </c>
      <c r="AF527" s="382">
        <f>AE529/AD529-1</f>
        <v>3.9886039886039892E-2</v>
      </c>
      <c r="AG527" s="382">
        <f>AF529/AE529-1</f>
        <v>0.10273972602739723</v>
      </c>
      <c r="AH527" s="382">
        <f>AG529/AF529-1</f>
        <v>5.2173913043478182E-2</v>
      </c>
      <c r="AO527" s="280"/>
      <c r="AP527" s="280"/>
      <c r="AQ527" s="280"/>
      <c r="AR527" s="280"/>
      <c r="AS527" s="280"/>
      <c r="AT527" s="280"/>
      <c r="AU527" s="280"/>
    </row>
    <row r="528" spans="1:47" ht="12.75" customHeight="1">
      <c r="A528" s="8"/>
      <c r="B528" s="538"/>
      <c r="C528" s="124" t="str">
        <f>IF($C$1="ENG","glazing:","скління:")</f>
        <v>скління:</v>
      </c>
      <c r="D528" s="513" t="str">
        <f>IF($C$1="ENG","Satin","Сатин")</f>
        <v>Сатин</v>
      </c>
      <c r="E528" s="516"/>
      <c r="F528" s="513" t="str">
        <f>IF($C$1="ENG","Satin","Сатин")</f>
        <v>Сатин</v>
      </c>
      <c r="G528" s="516"/>
      <c r="AN528" s="1"/>
      <c r="AU528" s="30"/>
    </row>
    <row r="529" spans="1:43" ht="35.1" customHeight="1">
      <c r="A529" s="8"/>
      <c r="B529" s="16" t="s">
        <v>70</v>
      </c>
      <c r="C529" s="17"/>
      <c r="D529" s="18">
        <f>IF(AD529="","",(1-$W$2)*(AD529/1.2))</f>
        <v>5850</v>
      </c>
      <c r="E529" s="66">
        <f>IF($W$5=0.2,D529*1.2,D529)/$W$4</f>
        <v>7020</v>
      </c>
      <c r="F529" s="18">
        <f>IF(AE529="","",(1-$W$2)*(AE529/1.2))</f>
        <v>6083.3333333333339</v>
      </c>
      <c r="G529" s="66">
        <f>IF($W$5=0.2,F529*1.2,F529)/$W$4</f>
        <v>7300.0000000000009</v>
      </c>
      <c r="L529" s="104"/>
      <c r="M529" s="104"/>
      <c r="N529" s="104"/>
      <c r="O529" s="104"/>
      <c r="P529" s="104"/>
      <c r="Q529" s="104"/>
      <c r="R529" s="104"/>
      <c r="S529" s="104"/>
      <c r="U529" s="104"/>
      <c r="V529" s="20"/>
      <c r="W529" s="104"/>
      <c r="X529" s="20"/>
      <c r="Y529" s="104"/>
      <c r="Z529" s="104"/>
      <c r="AA529" s="104"/>
      <c r="AB529" s="104"/>
      <c r="AC529" s="332"/>
      <c r="AD529" s="390">
        <v>7020</v>
      </c>
      <c r="AE529" s="332">
        <v>7300</v>
      </c>
      <c r="AF529" s="332">
        <v>8050</v>
      </c>
      <c r="AG529" s="332">
        <v>8470</v>
      </c>
      <c r="AH529" s="289">
        <v>6230</v>
      </c>
      <c r="AI529" s="289" t="e">
        <f>AH529/AC529-1</f>
        <v>#DIV/0!</v>
      </c>
      <c r="AJ529" s="289">
        <v>7100</v>
      </c>
      <c r="AK529" s="289">
        <f>AJ529/AD529-1</f>
        <v>1.139601139601143E-2</v>
      </c>
      <c r="AL529" s="289">
        <v>7390</v>
      </c>
      <c r="AM529" s="289">
        <f>AL529/AE529-1</f>
        <v>1.2328767123287676E-2</v>
      </c>
      <c r="AN529" s="289">
        <v>8050</v>
      </c>
      <c r="AO529" s="289">
        <f>AN529/AF529-1</f>
        <v>0</v>
      </c>
      <c r="AP529" s="289">
        <v>8470</v>
      </c>
      <c r="AQ529" s="289">
        <f>AP529/AG529-1</f>
        <v>0</v>
      </c>
    </row>
    <row r="530" spans="1:43" ht="35.1" customHeight="1">
      <c r="A530" s="8"/>
      <c r="B530" s="107" t="s">
        <v>72</v>
      </c>
      <c r="C530" s="322"/>
      <c r="D530" s="18">
        <f t="shared" ref="D530:D531" si="68">IF(AD530="","",(1-$W$2)*(AD530/1.2))</f>
        <v>6075</v>
      </c>
      <c r="E530" s="66">
        <f t="shared" ref="E530:E531" si="69">IF($W$5=0.2,D530*1.2,D530)/$W$4</f>
        <v>7290</v>
      </c>
      <c r="F530" s="18">
        <f t="shared" ref="F530:F531" si="70">IF(AE530="","",(1-$W$2)*(AE530/1.2))</f>
        <v>6316.666666666667</v>
      </c>
      <c r="G530" s="66">
        <f t="shared" ref="G530:G531" si="71">IF($W$5=0.2,F530*1.2,F530)/$W$4</f>
        <v>7580</v>
      </c>
      <c r="L530" s="104"/>
      <c r="M530" s="104"/>
      <c r="N530" s="104"/>
      <c r="O530" s="104"/>
      <c r="P530" s="104"/>
      <c r="Q530" s="104"/>
      <c r="R530" s="104"/>
      <c r="S530" s="104"/>
      <c r="U530" s="104"/>
      <c r="V530" s="20"/>
      <c r="W530" s="104"/>
      <c r="X530" s="20"/>
      <c r="Y530" s="104"/>
      <c r="Z530" s="104"/>
      <c r="AA530" s="104"/>
      <c r="AB530" s="104"/>
      <c r="AC530" s="332"/>
      <c r="AD530" s="390">
        <v>7290</v>
      </c>
      <c r="AE530" s="332">
        <v>7580</v>
      </c>
      <c r="AF530" s="332"/>
      <c r="AG530" s="332"/>
      <c r="AH530" s="289"/>
      <c r="AI530" s="289"/>
      <c r="AJ530" s="289"/>
      <c r="AK530" s="289"/>
      <c r="AL530" s="289"/>
      <c r="AM530" s="289"/>
      <c r="AN530" s="289"/>
      <c r="AO530" s="289"/>
      <c r="AP530" s="289"/>
      <c r="AQ530" s="289"/>
    </row>
    <row r="531" spans="1:43" ht="35.1" customHeight="1">
      <c r="A531" s="8"/>
      <c r="B531" s="107" t="s">
        <v>73</v>
      </c>
      <c r="C531" s="322"/>
      <c r="D531" s="18">
        <f t="shared" si="68"/>
        <v>5883.3333333333339</v>
      </c>
      <c r="E531" s="66">
        <f t="shared" si="69"/>
        <v>7060.0000000000009</v>
      </c>
      <c r="F531" s="18">
        <f t="shared" si="70"/>
        <v>6116.666666666667</v>
      </c>
      <c r="G531" s="66">
        <f t="shared" si="71"/>
        <v>7340</v>
      </c>
      <c r="L531" s="104"/>
      <c r="M531" s="104"/>
      <c r="N531" s="104"/>
      <c r="O531" s="104"/>
      <c r="P531" s="104"/>
      <c r="Q531" s="104"/>
      <c r="R531" s="104"/>
      <c r="S531" s="104"/>
      <c r="U531" s="104"/>
      <c r="V531" s="20"/>
      <c r="W531" s="104"/>
      <c r="X531" s="20"/>
      <c r="Y531" s="104"/>
      <c r="Z531" s="104"/>
      <c r="AA531" s="104"/>
      <c r="AB531" s="104"/>
      <c r="AC531" s="332"/>
      <c r="AD531" s="390">
        <v>7060</v>
      </c>
      <c r="AE531" s="332">
        <v>7340</v>
      </c>
      <c r="AF531" s="332"/>
      <c r="AG531" s="332"/>
      <c r="AH531" s="289"/>
      <c r="AI531" s="289"/>
      <c r="AJ531" s="289"/>
      <c r="AK531" s="289"/>
      <c r="AL531" s="289"/>
      <c r="AM531" s="289"/>
      <c r="AN531" s="289"/>
      <c r="AO531" s="289"/>
      <c r="AP531" s="289"/>
      <c r="AQ531" s="289"/>
    </row>
    <row r="532" spans="1:43" ht="35.1" customHeight="1">
      <c r="A532" s="8"/>
      <c r="B532" s="23" t="s">
        <v>74</v>
      </c>
      <c r="C532" s="24"/>
      <c r="D532" s="25">
        <f>IF(AD532="","",(1-$W$2)*(AD532/1.2))</f>
        <v>6325</v>
      </c>
      <c r="E532" s="69">
        <f>IF($W$5=0.2,D532*1.2,D532)/$W$4</f>
        <v>7590</v>
      </c>
      <c r="F532" s="25">
        <f>IF(AE532="","",(1-$W$2)*(AE532/1.2))</f>
        <v>6583.3333333333339</v>
      </c>
      <c r="G532" s="69">
        <f>IF($W$5=0.2,F532*1.2,F532)/$W$4</f>
        <v>7900</v>
      </c>
      <c r="L532" s="104"/>
      <c r="M532" s="104"/>
      <c r="N532" s="104"/>
      <c r="O532" s="104"/>
      <c r="P532" s="104"/>
      <c r="Q532" s="104"/>
      <c r="R532" s="104"/>
      <c r="S532" s="104"/>
      <c r="U532" s="104"/>
      <c r="V532" s="20"/>
      <c r="W532" s="104"/>
      <c r="X532" s="20"/>
      <c r="Y532" s="104"/>
      <c r="Z532" s="104"/>
      <c r="AA532" s="104"/>
      <c r="AB532" s="104"/>
      <c r="AC532" s="332"/>
      <c r="AD532" s="390">
        <v>7590</v>
      </c>
      <c r="AE532" s="332">
        <v>7900</v>
      </c>
      <c r="AF532" s="332">
        <v>8050</v>
      </c>
      <c r="AG532" s="332">
        <v>8470</v>
      </c>
      <c r="AH532" s="289">
        <v>6230</v>
      </c>
      <c r="AI532" s="289" t="e">
        <f t="shared" ref="AI532" si="72">AH532/AC532-1</f>
        <v>#DIV/0!</v>
      </c>
      <c r="AJ532" s="289">
        <v>7100</v>
      </c>
      <c r="AK532" s="289">
        <f t="shared" ref="AK532" si="73">AJ532/AD532-1</f>
        <v>-6.4558629776021115E-2</v>
      </c>
      <c r="AL532" s="289">
        <v>7390</v>
      </c>
      <c r="AM532" s="289">
        <f t="shared" ref="AM532" si="74">AL532/AE532-1</f>
        <v>-6.4556962025316467E-2</v>
      </c>
      <c r="AN532" s="289">
        <v>8050</v>
      </c>
      <c r="AO532" s="289">
        <f t="shared" ref="AO532" si="75">AN532/AF532-1</f>
        <v>0</v>
      </c>
      <c r="AP532" s="289">
        <v>8470</v>
      </c>
      <c r="AQ532" s="289">
        <f t="shared" ref="AQ532" si="76">AP532/AG532-1</f>
        <v>0</v>
      </c>
    </row>
    <row r="533" spans="1:43">
      <c r="C533" s="245"/>
      <c r="D533" s="26"/>
      <c r="E533" s="57"/>
      <c r="F533" s="26"/>
      <c r="G533" s="57"/>
      <c r="H533" s="10"/>
      <c r="I533" s="8"/>
      <c r="J533" s="8"/>
      <c r="K533" s="8"/>
    </row>
    <row r="534" spans="1:43">
      <c r="B534" s="212" t="str">
        <f>IF($C$1="ENG","For additonal charge:","Послуги за додаткову плату:")</f>
        <v>Послуги за додаткову плату:</v>
      </c>
      <c r="C534" s="420"/>
      <c r="D534" s="213"/>
      <c r="E534" s="214"/>
      <c r="F534" s="26"/>
      <c r="G534" s="57"/>
      <c r="H534" s="10"/>
      <c r="I534" s="8"/>
      <c r="J534" s="8"/>
      <c r="K534" s="8"/>
    </row>
    <row r="535" spans="1:43" ht="5.0999999999999996" customHeight="1">
      <c r="B535" s="27"/>
      <c r="C535" s="245"/>
      <c r="D535" s="26"/>
      <c r="E535" s="57"/>
      <c r="F535" s="26"/>
      <c r="G535" s="57"/>
      <c r="H535" s="10"/>
      <c r="I535" s="8"/>
      <c r="J535" s="8"/>
      <c r="K535" s="8"/>
    </row>
    <row r="536" spans="1:43">
      <c r="B536" s="539" t="str">
        <f>IF($C$1="ENG","door leaf with width 100","полотно розміром 100")</f>
        <v>полотно розміром 100</v>
      </c>
      <c r="C536" s="540"/>
      <c r="D536" s="409">
        <f t="shared" ref="D536:D547" si="77">IF(AC536="","",(1-$W$2)*(AC536/1.2))</f>
        <v>600</v>
      </c>
      <c r="E536" s="92">
        <f>IF($W$5=0.2,D536*1.2,D536)/$W$4</f>
        <v>720</v>
      </c>
      <c r="F536" s="26"/>
      <c r="G536" s="26"/>
      <c r="H536" s="10"/>
      <c r="I536" s="8"/>
      <c r="J536" s="8"/>
      <c r="K536" s="8"/>
      <c r="AC536" s="298">
        <v>720</v>
      </c>
      <c r="AD536" s="289">
        <v>720</v>
      </c>
      <c r="AE536" s="289">
        <f>AD536/AC536-1</f>
        <v>0</v>
      </c>
      <c r="AF536" s="289"/>
      <c r="AG536" s="289"/>
      <c r="AH536" s="289"/>
      <c r="AI536" s="289"/>
      <c r="AJ536" s="289"/>
      <c r="AK536" s="289"/>
      <c r="AL536" s="289"/>
    </row>
    <row r="537" spans="1:43">
      <c r="B537" s="539" t="str">
        <f>IF($C$1="ENG","Ventilation cut","вентиляційний підріз")</f>
        <v>вентиляційний підріз</v>
      </c>
      <c r="C537" s="540"/>
      <c r="D537" s="404">
        <f t="shared" si="77"/>
        <v>141.66666666666669</v>
      </c>
      <c r="E537" s="66">
        <f t="shared" ref="E537:E546" si="78">IF($W$5=0.2,D537*1.2,D537)/$W$4</f>
        <v>170.00000000000003</v>
      </c>
      <c r="F537" s="26"/>
      <c r="G537" s="26"/>
      <c r="I537" s="59"/>
      <c r="J537" s="28"/>
      <c r="AC537" s="298">
        <v>170</v>
      </c>
      <c r="AD537" s="289">
        <v>170</v>
      </c>
      <c r="AE537" s="289">
        <f t="shared" ref="AE537:AE539" si="79">AD537/AC537-1</f>
        <v>0</v>
      </c>
      <c r="AF537" s="289"/>
      <c r="AG537" s="289"/>
      <c r="AH537" s="289"/>
      <c r="AI537" s="289"/>
      <c r="AJ537" s="289"/>
      <c r="AK537" s="289"/>
      <c r="AL537" s="289"/>
    </row>
    <row r="538" spans="1:43">
      <c r="B538" s="532" t="str">
        <f>IF($C$1="ENG","glazing Graphite / Bronze","скло Графіт / Бронза")</f>
        <v>скло Графіт / Бронза</v>
      </c>
      <c r="C538" s="533"/>
      <c r="D538" s="406">
        <f t="shared" si="77"/>
        <v>458.33333333333337</v>
      </c>
      <c r="E538" s="93">
        <f t="shared" si="78"/>
        <v>550</v>
      </c>
      <c r="F538" s="26"/>
      <c r="G538" s="26"/>
      <c r="H538" s="5"/>
      <c r="AC538" s="298">
        <v>550</v>
      </c>
      <c r="AD538" s="289">
        <v>550</v>
      </c>
      <c r="AE538" s="289">
        <f t="shared" si="79"/>
        <v>0</v>
      </c>
      <c r="AF538" s="289"/>
      <c r="AG538" s="289"/>
      <c r="AH538" s="289"/>
      <c r="AI538" s="289"/>
      <c r="AJ538" s="289"/>
      <c r="AK538" s="289"/>
      <c r="AL538" s="289"/>
    </row>
    <row r="539" spans="1:43">
      <c r="B539" s="532" t="str">
        <f>IF($C$1="ENG","door lock Soft","замок Soft")</f>
        <v>замок Soft</v>
      </c>
      <c r="C539" s="533"/>
      <c r="D539" s="406">
        <f t="shared" si="77"/>
        <v>458.33333333333337</v>
      </c>
      <c r="E539" s="93">
        <f t="shared" si="78"/>
        <v>550</v>
      </c>
      <c r="F539" s="26"/>
      <c r="G539" s="26"/>
      <c r="H539" s="5"/>
      <c r="AC539" s="298">
        <v>550</v>
      </c>
      <c r="AD539" s="289">
        <v>550</v>
      </c>
      <c r="AE539" s="289">
        <f t="shared" si="79"/>
        <v>0</v>
      </c>
      <c r="AF539" s="289"/>
      <c r="AG539" s="289"/>
      <c r="AH539" s="289"/>
      <c r="AI539" s="289"/>
      <c r="AJ539" s="289"/>
      <c r="AK539" s="289"/>
      <c r="AL539" s="289"/>
    </row>
    <row r="540" spans="1:43">
      <c r="B540" s="532" t="str">
        <f>IF($C$1="ENG","door lock Soft black","замок Soft чорн.")</f>
        <v>замок Soft чорн.</v>
      </c>
      <c r="C540" s="533"/>
      <c r="D540" s="406">
        <f t="shared" si="77"/>
        <v>566.66666666666674</v>
      </c>
      <c r="E540" s="93">
        <f t="shared" si="78"/>
        <v>680.00000000000011</v>
      </c>
      <c r="F540" s="26"/>
      <c r="G540" s="26"/>
      <c r="H540" s="5"/>
      <c r="AC540" s="298">
        <v>680</v>
      </c>
      <c r="AD540" s="289"/>
      <c r="AE540" s="289"/>
      <c r="AF540" s="289"/>
      <c r="AG540" s="289"/>
      <c r="AH540" s="289"/>
      <c r="AI540" s="289"/>
      <c r="AJ540" s="289"/>
      <c r="AK540" s="289"/>
      <c r="AL540" s="289"/>
    </row>
    <row r="541" spans="1:43">
      <c r="B541" s="532" t="str">
        <f>IF($C$1="ENG","door lock Magnet","замок Magnet")</f>
        <v>замок Magnet</v>
      </c>
      <c r="C541" s="533"/>
      <c r="D541" s="406">
        <f t="shared" si="77"/>
        <v>666.66666666666674</v>
      </c>
      <c r="E541" s="93">
        <f t="shared" si="78"/>
        <v>800.00000000000011</v>
      </c>
      <c r="F541" s="26"/>
      <c r="G541" s="26"/>
      <c r="H541" s="5"/>
      <c r="AC541" s="298">
        <v>800</v>
      </c>
      <c r="AD541" s="289">
        <v>800</v>
      </c>
      <c r="AE541" s="289">
        <f t="shared" ref="AE541" si="80">AD541/AC541-1</f>
        <v>0</v>
      </c>
      <c r="AF541" s="289"/>
      <c r="AG541" s="289"/>
      <c r="AH541" s="289"/>
      <c r="AI541" s="289"/>
      <c r="AJ541" s="289"/>
      <c r="AK541" s="289"/>
      <c r="AL541" s="289"/>
    </row>
    <row r="542" spans="1:43">
      <c r="B542" s="532" t="s">
        <v>75</v>
      </c>
      <c r="C542" s="533"/>
      <c r="D542" s="406">
        <f t="shared" si="77"/>
        <v>833.33333333333337</v>
      </c>
      <c r="E542" s="93">
        <f t="shared" si="78"/>
        <v>1000</v>
      </c>
      <c r="F542" s="26"/>
      <c r="G542" s="26"/>
      <c r="H542" s="5"/>
      <c r="AC542" s="298">
        <v>1000</v>
      </c>
      <c r="AD542" s="289"/>
      <c r="AE542" s="289"/>
      <c r="AF542" s="289"/>
      <c r="AG542" s="289"/>
      <c r="AH542" s="289"/>
      <c r="AI542" s="289"/>
      <c r="AJ542" s="289"/>
      <c r="AK542" s="289"/>
      <c r="AL542" s="289"/>
    </row>
    <row r="543" spans="1:43">
      <c r="B543" s="532" t="str">
        <f>IF($C$1="ENG","door handle-lock (for sliding doors)","ручка-замок (для дверей купе)")</f>
        <v>ручка-замок (для дверей купе)</v>
      </c>
      <c r="C543" s="533"/>
      <c r="D543" s="404">
        <f t="shared" si="77"/>
        <v>466.66666666666669</v>
      </c>
      <c r="E543" s="93">
        <f t="shared" si="78"/>
        <v>560</v>
      </c>
      <c r="F543" s="26"/>
      <c r="G543" s="26"/>
      <c r="I543" s="11"/>
      <c r="J543" s="11"/>
      <c r="K543" s="19"/>
      <c r="AC543" s="298">
        <v>560</v>
      </c>
      <c r="AD543" s="289">
        <v>560</v>
      </c>
      <c r="AE543" s="289">
        <f t="shared" ref="AE543:AE546" si="81">AD543/AC543-1</f>
        <v>0</v>
      </c>
      <c r="AF543" s="289"/>
      <c r="AG543" s="289"/>
      <c r="AH543" s="289"/>
      <c r="AI543" s="289"/>
      <c r="AJ543" s="289"/>
      <c r="AK543" s="289"/>
      <c r="AL543" s="289"/>
    </row>
    <row r="544" spans="1:43">
      <c r="B544" s="532" t="str">
        <f>IF($C$1="ENG","cylinder incert","циліндр несиметричний")</f>
        <v>циліндр несиметричний</v>
      </c>
      <c r="C544" s="533"/>
      <c r="D544" s="404">
        <f t="shared" si="77"/>
        <v>325</v>
      </c>
      <c r="E544" s="93">
        <f t="shared" si="78"/>
        <v>390</v>
      </c>
      <c r="F544" s="26"/>
      <c r="G544" s="26"/>
      <c r="AC544" s="298">
        <v>390</v>
      </c>
      <c r="AD544" s="289">
        <v>390</v>
      </c>
      <c r="AE544" s="289">
        <f t="shared" si="81"/>
        <v>0</v>
      </c>
      <c r="AF544" s="289"/>
      <c r="AG544" s="289"/>
      <c r="AH544" s="289"/>
      <c r="AI544" s="289"/>
      <c r="AJ544" s="289"/>
      <c r="AK544" s="289"/>
      <c r="AL544" s="289"/>
    </row>
    <row r="545" spans="2:38">
      <c r="B545" s="532" t="str">
        <f>IF($C$1="ENG","door hindge Prestige (1 unit)","завіса Prestige (1 шт)")</f>
        <v>завіса Prestige (1 шт)</v>
      </c>
      <c r="C545" s="533"/>
      <c r="D545" s="407">
        <f t="shared" si="77"/>
        <v>216.66666666666669</v>
      </c>
      <c r="E545" s="93">
        <f t="shared" si="78"/>
        <v>260</v>
      </c>
      <c r="F545" s="26"/>
      <c r="G545" s="26"/>
      <c r="AC545" s="298">
        <v>260</v>
      </c>
      <c r="AD545" s="289">
        <v>260</v>
      </c>
      <c r="AE545" s="289">
        <f t="shared" si="81"/>
        <v>0</v>
      </c>
      <c r="AF545" s="289"/>
      <c r="AG545" s="289"/>
      <c r="AH545" s="289"/>
      <c r="AI545" s="289"/>
      <c r="AJ545" s="289"/>
      <c r="AK545" s="289"/>
      <c r="AL545" s="289"/>
    </row>
    <row r="546" spans="2:38">
      <c r="B546" s="532" t="str">
        <f>IF($C$1="ENG","door hinge caps (1 set)","накладка на завіси (1 к-т)")</f>
        <v>накладка на завіси (1 к-т)</v>
      </c>
      <c r="C546" s="533"/>
      <c r="D546" s="407">
        <f t="shared" si="77"/>
        <v>66.666666666666671</v>
      </c>
      <c r="E546" s="93">
        <f t="shared" si="78"/>
        <v>80</v>
      </c>
      <c r="F546" s="26"/>
      <c r="G546" s="26"/>
      <c r="AC546" s="298">
        <v>80</v>
      </c>
      <c r="AD546" s="289">
        <v>80</v>
      </c>
      <c r="AE546" s="289">
        <f t="shared" si="81"/>
        <v>0</v>
      </c>
      <c r="AF546" s="289"/>
      <c r="AG546" s="289"/>
      <c r="AH546" s="289"/>
      <c r="AI546" s="289"/>
      <c r="AJ546" s="289"/>
      <c r="AK546" s="289"/>
      <c r="AL546" s="289"/>
    </row>
    <row r="547" spans="2:38">
      <c r="B547" s="532" t="str">
        <f>IF($C$1="ENG","door handle","дверна ручка")</f>
        <v>дверна ручка</v>
      </c>
      <c r="C547" s="533"/>
      <c r="D547" s="408" t="str">
        <f t="shared" si="77"/>
        <v/>
      </c>
      <c r="E547" s="247" t="str">
        <f>IF($C$1="ENG","see Handles Price","див. Таблицю Ручки")</f>
        <v>див. Таблицю Ручки</v>
      </c>
      <c r="F547" s="26"/>
      <c r="G547" s="26"/>
      <c r="AC547" s="289"/>
      <c r="AD547" s="289"/>
      <c r="AE547" s="289"/>
      <c r="AF547" s="289"/>
      <c r="AG547" s="289"/>
      <c r="AH547" s="289"/>
      <c r="AI547" s="289"/>
      <c r="AJ547" s="289"/>
      <c r="AK547" s="289"/>
      <c r="AL547" s="289"/>
    </row>
    <row r="548" spans="2:38" ht="14.25" customHeight="1">
      <c r="C548" s="245"/>
      <c r="D548" s="26"/>
      <c r="E548" s="26"/>
      <c r="F548" s="26"/>
      <c r="G548" s="26"/>
      <c r="H548" s="5"/>
      <c r="T548" s="525" t="str">
        <f>IF($C$1="ENG",CONCATENATE("down to: ",B659),CONCATENATE("вниз до: ",B659))</f>
        <v>вниз до: вентиляційний підріз</v>
      </c>
      <c r="U548" s="525"/>
      <c r="V548" s="525"/>
      <c r="W548" s="525"/>
    </row>
    <row r="549" spans="2:38" ht="14.25" customHeight="1">
      <c r="C549" s="245"/>
      <c r="D549" s="26"/>
      <c r="E549" s="26"/>
      <c r="F549" s="26"/>
      <c r="G549" s="26"/>
      <c r="H549" s="5"/>
    </row>
    <row r="550" spans="2:38" ht="14.25" customHeight="1">
      <c r="C550" s="245"/>
      <c r="D550" s="26"/>
      <c r="E550" s="26"/>
      <c r="F550" s="26"/>
      <c r="G550" s="26"/>
      <c r="H550" s="5"/>
    </row>
    <row r="551" spans="2:38" ht="14.25" customHeight="1">
      <c r="C551" s="245"/>
      <c r="D551" s="26"/>
      <c r="E551" s="26"/>
      <c r="F551" s="26"/>
      <c r="G551" s="26"/>
      <c r="H551" s="5"/>
    </row>
    <row r="552" spans="2:38" ht="14.25" customHeight="1">
      <c r="C552" s="245"/>
      <c r="D552" s="26"/>
      <c r="E552" s="26"/>
      <c r="F552" s="26"/>
      <c r="G552" s="26"/>
      <c r="H552" s="5"/>
    </row>
    <row r="553" spans="2:38" ht="14.25" customHeight="1">
      <c r="C553" s="245"/>
      <c r="D553" s="26"/>
      <c r="E553" s="26"/>
      <c r="F553" s="26"/>
      <c r="G553" s="26"/>
      <c r="H553" s="5"/>
    </row>
    <row r="554" spans="2:38" ht="14.25" customHeight="1">
      <c r="C554" s="245"/>
      <c r="D554" s="26"/>
      <c r="E554" s="26"/>
      <c r="F554" s="26"/>
      <c r="G554" s="26"/>
      <c r="H554" s="5"/>
    </row>
    <row r="555" spans="2:38" ht="14.25" customHeight="1">
      <c r="C555" s="245"/>
      <c r="D555" s="26"/>
      <c r="E555" s="26"/>
      <c r="F555" s="26"/>
      <c r="G555" s="26"/>
      <c r="H555" s="5"/>
    </row>
    <row r="556" spans="2:38" ht="14.25" customHeight="1">
      <c r="C556" s="245"/>
      <c r="D556" s="26"/>
      <c r="E556" s="26"/>
      <c r="F556" s="26"/>
      <c r="G556" s="26"/>
      <c r="H556" s="5"/>
    </row>
    <row r="557" spans="2:38" ht="14.25" customHeight="1">
      <c r="C557" s="245"/>
      <c r="D557" s="26"/>
      <c r="E557" s="26"/>
      <c r="F557" s="26"/>
      <c r="G557" s="26"/>
      <c r="H557" s="5"/>
    </row>
    <row r="558" spans="2:38" ht="14.25" customHeight="1">
      <c r="C558" s="245"/>
      <c r="D558" s="26"/>
      <c r="E558" s="26"/>
      <c r="F558" s="26"/>
      <c r="G558" s="26"/>
      <c r="H558" s="5"/>
    </row>
    <row r="559" spans="2:38" ht="14.25" customHeight="1">
      <c r="C559" s="245"/>
      <c r="D559" s="26"/>
      <c r="E559" s="26"/>
      <c r="F559" s="26"/>
      <c r="G559" s="26"/>
      <c r="H559" s="5"/>
    </row>
    <row r="560" spans="2:38" ht="14.25" customHeight="1">
      <c r="C560" s="245"/>
      <c r="D560" s="26"/>
      <c r="E560" s="26"/>
      <c r="F560" s="26"/>
      <c r="G560" s="26"/>
      <c r="H560" s="5"/>
    </row>
    <row r="561" spans="2:46" ht="14.25" customHeight="1">
      <c r="C561" s="245"/>
      <c r="D561" s="26"/>
      <c r="E561" s="26"/>
      <c r="F561" s="26"/>
      <c r="G561" s="26"/>
      <c r="H561" s="5"/>
    </row>
    <row r="562" spans="2:46" ht="14.25" customHeight="1">
      <c r="C562" s="245"/>
      <c r="D562" s="26"/>
      <c r="E562" s="26"/>
      <c r="F562" s="26"/>
      <c r="G562" s="26"/>
      <c r="H562" s="5"/>
    </row>
    <row r="563" spans="2:46" ht="14.25" customHeight="1">
      <c r="C563" s="245"/>
      <c r="D563" s="26"/>
      <c r="E563" s="26"/>
      <c r="F563" s="26"/>
      <c r="G563" s="26"/>
      <c r="H563" s="5"/>
    </row>
    <row r="564" spans="2:46" ht="14.25" customHeight="1">
      <c r="C564" s="245"/>
      <c r="D564" s="26"/>
      <c r="E564" s="26"/>
      <c r="F564" s="26"/>
      <c r="G564" s="26"/>
      <c r="H564" s="5"/>
    </row>
    <row r="565" spans="2:46" ht="14.25" customHeight="1">
      <c r="C565" s="245"/>
      <c r="D565" s="26"/>
      <c r="E565" s="26"/>
      <c r="F565" s="26"/>
      <c r="G565" s="26"/>
      <c r="H565" s="5"/>
    </row>
    <row r="566" spans="2:46" ht="14.25" customHeight="1">
      <c r="C566" s="245"/>
      <c r="D566" s="26"/>
      <c r="E566" s="26"/>
      <c r="F566" s="26"/>
      <c r="G566" s="26"/>
      <c r="H566" s="5"/>
    </row>
    <row r="567" spans="2:46" ht="14.25" customHeight="1">
      <c r="C567" s="245"/>
      <c r="D567" s="26"/>
      <c r="E567" s="26"/>
      <c r="F567" s="26"/>
      <c r="G567" s="26"/>
      <c r="H567" s="5"/>
    </row>
    <row r="568" spans="2:46" ht="14.25" customHeight="1">
      <c r="C568" s="245"/>
      <c r="D568" s="26"/>
      <c r="E568" s="26"/>
      <c r="F568" s="26"/>
      <c r="G568" s="26"/>
      <c r="H568" s="5"/>
    </row>
    <row r="569" spans="2:46" ht="14.25" customHeight="1">
      <c r="C569" s="245"/>
      <c r="D569" s="26"/>
      <c r="E569" s="26"/>
      <c r="F569" s="26"/>
      <c r="G569" s="26"/>
      <c r="H569" s="5"/>
    </row>
    <row r="570" spans="2:46" ht="14.25" customHeight="1">
      <c r="C570" s="245"/>
      <c r="D570" s="26"/>
      <c r="E570" s="26"/>
      <c r="F570" s="26"/>
      <c r="G570" s="26"/>
      <c r="H570" s="5"/>
    </row>
    <row r="571" spans="2:46" ht="14.25" customHeight="1">
      <c r="C571" s="245"/>
      <c r="D571" s="26"/>
      <c r="E571" s="26"/>
      <c r="F571" s="26"/>
      <c r="G571" s="26"/>
      <c r="H571" s="5"/>
    </row>
    <row r="572" spans="2:46" ht="14.25" customHeight="1">
      <c r="C572" s="245"/>
      <c r="D572" s="26"/>
      <c r="E572" s="26"/>
      <c r="F572" s="26"/>
      <c r="G572" s="26"/>
      <c r="H572" s="5"/>
    </row>
    <row r="573" spans="2:46" ht="14.25" customHeight="1">
      <c r="C573" s="245"/>
      <c r="D573" s="26"/>
      <c r="E573" s="26"/>
      <c r="F573" s="26"/>
      <c r="G573" s="26"/>
      <c r="H573" s="5"/>
    </row>
    <row r="574" spans="2:46" s="8" customFormat="1">
      <c r="B574" s="518" t="str">
        <f>TITLE!$C$16</f>
        <v>Полотна збірні: ЛАДА A</v>
      </c>
      <c r="C574" s="518"/>
      <c r="D574" s="118"/>
      <c r="E574" s="118"/>
      <c r="F574" s="118"/>
      <c r="G574" s="118"/>
      <c r="H574" s="520"/>
      <c r="I574" s="520"/>
      <c r="J574" s="121"/>
      <c r="K574" s="121"/>
      <c r="L574" s="121"/>
      <c r="M574" s="121"/>
      <c r="N574" s="121"/>
      <c r="O574" s="121"/>
      <c r="P574" s="121"/>
      <c r="Q574" s="121"/>
      <c r="R574" s="121"/>
      <c r="S574" s="521" t="str">
        <f>IF($C$1="ENG",CONCATENATE("up to: ",B364),CONCATENATE("вгору до: ",B364))</f>
        <v>вгору до: Полотна каркасно-щитові: ІДЕЯ-ЛОФТ</v>
      </c>
      <c r="T574" s="550"/>
      <c r="U574" s="550"/>
      <c r="V574" s="550"/>
      <c r="W574" s="550"/>
      <c r="AN574" s="280"/>
      <c r="AO574" s="280"/>
      <c r="AP574" s="280"/>
      <c r="AQ574" s="280"/>
      <c r="AR574" s="280"/>
      <c r="AS574" s="280"/>
      <c r="AT574" s="280"/>
    </row>
    <row r="575" spans="2:46" s="8" customFormat="1" ht="5.0999999999999996" customHeight="1">
      <c r="B575" s="117"/>
      <c r="C575" s="419"/>
      <c r="D575" s="9"/>
      <c r="E575" s="9"/>
      <c r="F575" s="9"/>
      <c r="G575" s="9"/>
      <c r="H575" s="120"/>
      <c r="I575" s="120"/>
      <c r="T575" s="115"/>
      <c r="U575" s="115"/>
      <c r="V575" s="115"/>
      <c r="W575" s="115"/>
      <c r="AN575" s="280"/>
      <c r="AO575" s="280"/>
      <c r="AP575" s="280"/>
      <c r="AQ575" s="280"/>
      <c r="AR575" s="280"/>
      <c r="AS575" s="280"/>
      <c r="AT575" s="280"/>
    </row>
    <row r="576" spans="2:46" s="8" customFormat="1" ht="12.75" customHeight="1">
      <c r="B576" s="536" t="str">
        <f>IF($C$1="ENG","model","модель")</f>
        <v>модель</v>
      </c>
      <c r="C576" s="122" t="str">
        <f>IF($C$1="ENG","cover:","покриття:")</f>
        <v>покриття:</v>
      </c>
      <c r="D576" s="522" t="str">
        <f>IF($C$1="ENG","Verto-CELL","Verto-CELL")</f>
        <v>Verto-CELL</v>
      </c>
      <c r="E576" s="524"/>
      <c r="F576" s="522" t="str">
        <f>IF($C$1="ENG","UNI-MAT","UNI-MAT")</f>
        <v>UNI-MAT</v>
      </c>
      <c r="G576" s="524"/>
      <c r="H576" s="522" t="str">
        <f>IF($C$1="ENG","RESIST","RESIST")</f>
        <v>RESIST</v>
      </c>
      <c r="I576" s="524"/>
      <c r="J576" s="522" t="str">
        <f>IF($C$1="ENG","Verto LINE-3D","Verto LINE-3D")</f>
        <v>Verto LINE-3D</v>
      </c>
      <c r="K576" s="524"/>
      <c r="L576" s="522" t="str">
        <f>IF($C$1="ENG","ECO Shpon","ЕКО Шпон")</f>
        <v>ЕКО Шпон</v>
      </c>
      <c r="M576" s="524"/>
      <c r="N576" s="1"/>
      <c r="O576" s="1"/>
      <c r="T576" s="115"/>
      <c r="U576" s="115"/>
      <c r="V576" s="115"/>
      <c r="W576" s="115"/>
      <c r="AN576" s="280"/>
      <c r="AO576" s="280"/>
      <c r="AP576" s="280"/>
      <c r="AQ576" s="280"/>
      <c r="AR576" s="280"/>
      <c r="AS576" s="280"/>
      <c r="AT576" s="280"/>
    </row>
    <row r="577" spans="1:46" s="8" customFormat="1" ht="24.95" customHeight="1">
      <c r="B577" s="537"/>
      <c r="C577" s="123" t="str">
        <f>IF($C$1="ENG","filling:","заповнення:")</f>
        <v>заповнення:</v>
      </c>
      <c r="D577" s="527" t="str">
        <f>IF($C$1="ENG","softwood","клеєний сосновий брус")</f>
        <v>клеєний сосновий брус</v>
      </c>
      <c r="E577" s="528"/>
      <c r="F577" s="527" t="str">
        <f>IF($C$1="ENG","softwood","клеєний сосновий брус")</f>
        <v>клеєний сосновий брус</v>
      </c>
      <c r="G577" s="528"/>
      <c r="H577" s="527" t="str">
        <f>IF($C$1="ENG","softwood","клеєний сосновий брус")</f>
        <v>клеєний сосновий брус</v>
      </c>
      <c r="I577" s="528"/>
      <c r="J577" s="527" t="str">
        <f>IF($C$1="ENG","softwood","клеєний сосновий брус")</f>
        <v>клеєний сосновий брус</v>
      </c>
      <c r="K577" s="528"/>
      <c r="L577" s="527" t="str">
        <f>IF($C$1="ENG","softwood","клеєний сосновий брус")</f>
        <v>клеєний сосновий брус</v>
      </c>
      <c r="M577" s="528"/>
      <c r="N577" s="1"/>
      <c r="O577" s="1"/>
      <c r="T577" s="115"/>
      <c r="U577" s="115"/>
      <c r="V577" s="115"/>
      <c r="W577" s="115"/>
      <c r="AD577" s="382">
        <f>AD579/AC579-1</f>
        <v>0.1396468699839486</v>
      </c>
      <c r="AE577" s="382">
        <f>AE579/AD579-1</f>
        <v>4.0845070422535157E-2</v>
      </c>
      <c r="AF577" s="382">
        <f>AF579/AE579-1</f>
        <v>8.9309878213802429E-2</v>
      </c>
      <c r="AG577" s="382">
        <f>AG579/AF579-1</f>
        <v>5.2173913043478182E-2</v>
      </c>
      <c r="AN577" s="280"/>
      <c r="AO577" s="280"/>
      <c r="AP577" s="280"/>
      <c r="AQ577" s="280"/>
      <c r="AR577" s="280"/>
      <c r="AS577" s="280"/>
      <c r="AT577" s="280"/>
    </row>
    <row r="578" spans="1:46" ht="12.75" customHeight="1">
      <c r="A578" s="8"/>
      <c r="B578" s="538"/>
      <c r="C578" s="124" t="str">
        <f>IF($C$1="ENG","glazing:","скління:")</f>
        <v>скління:</v>
      </c>
      <c r="D578" s="513" t="str">
        <f>IF($C$1="ENG","Satin","Сатин")</f>
        <v>Сатин</v>
      </c>
      <c r="E578" s="516"/>
      <c r="F578" s="513" t="str">
        <f>IF($C$1="ENG","Satin","Сатин")</f>
        <v>Сатин</v>
      </c>
      <c r="G578" s="516"/>
      <c r="H578" s="513" t="str">
        <f>IF($C$1="ENG","Satin","Сатин")</f>
        <v>Сатин</v>
      </c>
      <c r="I578" s="516"/>
      <c r="J578" s="513" t="str">
        <f>IF($C$1="ENG","Satin","Сатин")</f>
        <v>Сатин</v>
      </c>
      <c r="K578" s="516"/>
      <c r="L578" s="513" t="str">
        <f>IF($C$1="ENG","Satin","Сатин")</f>
        <v>Сатин</v>
      </c>
      <c r="M578" s="516"/>
    </row>
    <row r="579" spans="1:46" ht="35.1" customHeight="1">
      <c r="A579" s="8"/>
      <c r="B579" s="16" t="s">
        <v>29</v>
      </c>
      <c r="C579" s="17"/>
      <c r="D579" s="18">
        <f>IF(AC579="","",(1-$W$2)*(AC579/1.2))</f>
        <v>5191.666666666667</v>
      </c>
      <c r="E579" s="66">
        <f>IF($W$5=0.2,D579*1.2,D579)/$W$4</f>
        <v>6230</v>
      </c>
      <c r="F579" s="18">
        <f>IF(AD579="","",(1-$W$2)*(AD579/1.2))</f>
        <v>5916.666666666667</v>
      </c>
      <c r="G579" s="66">
        <f>IF($W$5=0.2,F579*1.2,F579)/$W$4</f>
        <v>7100</v>
      </c>
      <c r="H579" s="18">
        <f>IF(AE579="","",(1-$W$2)*(AE579/1.2))</f>
        <v>6158.3333333333339</v>
      </c>
      <c r="I579" s="66">
        <f>IF($W$5=0.2,H579*1.2,H579)/$W$4</f>
        <v>7390</v>
      </c>
      <c r="J579" s="18">
        <f>IF(AF579="","",(1-$W$2)*(AF579/1.2))</f>
        <v>6708.3333333333339</v>
      </c>
      <c r="K579" s="66">
        <f>IF($W$5=0.2,J579*1.2,J579)/$W$4</f>
        <v>8050</v>
      </c>
      <c r="L579" s="18">
        <f>IF(AG579="","",(1-$W$2)*(AG579/1.2))</f>
        <v>7058.3333333333339</v>
      </c>
      <c r="M579" s="66">
        <f>IF($W$5=0.2,L579*1.2,L579)/$W$4</f>
        <v>8470</v>
      </c>
      <c r="R579" s="104"/>
      <c r="T579" s="104"/>
      <c r="U579" s="20"/>
      <c r="V579" s="104"/>
      <c r="W579" s="20"/>
      <c r="X579" s="104"/>
      <c r="Y579" s="104"/>
      <c r="Z579" s="104"/>
      <c r="AA579" s="104"/>
      <c r="AB579" s="104"/>
      <c r="AC579" s="332">
        <v>6230</v>
      </c>
      <c r="AD579" s="390">
        <v>7100</v>
      </c>
      <c r="AE579" s="332">
        <v>7390</v>
      </c>
      <c r="AF579" s="332">
        <v>8050</v>
      </c>
      <c r="AG579" s="332">
        <v>8470</v>
      </c>
      <c r="AH579" s="289">
        <v>6230</v>
      </c>
      <c r="AI579" s="289">
        <f>AH579/AC579-1</f>
        <v>0</v>
      </c>
      <c r="AJ579" s="289">
        <v>7100</v>
      </c>
      <c r="AK579" s="289">
        <f>AJ579/AD579-1</f>
        <v>0</v>
      </c>
      <c r="AL579" s="289">
        <v>7390</v>
      </c>
      <c r="AM579" s="289">
        <f>AL579/AE579-1</f>
        <v>0</v>
      </c>
      <c r="AN579" s="289">
        <v>8050</v>
      </c>
      <c r="AO579" s="289">
        <f>AN579/AF579-1</f>
        <v>0</v>
      </c>
      <c r="AP579" s="289">
        <v>8470</v>
      </c>
      <c r="AQ579" s="289">
        <f>AP579/AG579-1</f>
        <v>0</v>
      </c>
    </row>
    <row r="580" spans="1:46" ht="35.1" customHeight="1">
      <c r="A580" s="8"/>
      <c r="B580" s="16" t="s">
        <v>30</v>
      </c>
      <c r="C580" s="17"/>
      <c r="D580" s="18">
        <f>IF(AC580="","",(1-$W$2)*(AC580/1.2))</f>
        <v>5191.666666666667</v>
      </c>
      <c r="E580" s="66">
        <f>IF($W$5=0.2,D580*1.2,D580)/$W$4</f>
        <v>6230</v>
      </c>
      <c r="F580" s="18">
        <f>IF(AD580="","",(1-$W$2)*(AD580/1.2))</f>
        <v>5916.666666666667</v>
      </c>
      <c r="G580" s="66">
        <f>IF($W$5=0.2,F580*1.2,F580)/$W$4</f>
        <v>7100</v>
      </c>
      <c r="H580" s="18">
        <f>IF(AE580="","",(1-$W$2)*(AE580/1.2))</f>
        <v>6158.3333333333339</v>
      </c>
      <c r="I580" s="66">
        <f>IF($W$5=0.2,H580*1.2,H580)/$W$4</f>
        <v>7390</v>
      </c>
      <c r="J580" s="18">
        <f>IF(AF580="","",(1-$W$2)*(AF580/1.2))</f>
        <v>6708.3333333333339</v>
      </c>
      <c r="K580" s="66">
        <f>IF($W$5=0.2,J580*1.2,J580)/$W$4</f>
        <v>8050</v>
      </c>
      <c r="L580" s="18">
        <f>IF(AG580="","",(1-$W$2)*(AG580/1.2))</f>
        <v>7058.3333333333339</v>
      </c>
      <c r="M580" s="66">
        <f>IF($W$5=0.2,L580*1.2,L580)/$W$4</f>
        <v>8470</v>
      </c>
      <c r="R580" s="104"/>
      <c r="T580" s="104"/>
      <c r="U580" s="20"/>
      <c r="V580" s="104"/>
      <c r="W580" s="20"/>
      <c r="X580" s="104"/>
      <c r="Y580" s="104"/>
      <c r="Z580" s="104"/>
      <c r="AA580" s="104"/>
      <c r="AB580" s="104"/>
      <c r="AC580" s="332">
        <v>6230</v>
      </c>
      <c r="AD580" s="390">
        <v>7100</v>
      </c>
      <c r="AE580" s="332">
        <v>7390</v>
      </c>
      <c r="AF580" s="332">
        <v>8050</v>
      </c>
      <c r="AG580" s="332">
        <v>8470</v>
      </c>
      <c r="AH580" s="289">
        <v>6230</v>
      </c>
      <c r="AI580" s="289">
        <f t="shared" ref="AI580:AI581" si="82">AH580/AC580-1</f>
        <v>0</v>
      </c>
      <c r="AJ580" s="289">
        <v>7100</v>
      </c>
      <c r="AK580" s="289">
        <f>AJ580/AD580-1</f>
        <v>0</v>
      </c>
      <c r="AL580" s="289">
        <v>7390</v>
      </c>
      <c r="AM580" s="289">
        <f t="shared" ref="AM580:AM581" si="83">AL580/AE580-1</f>
        <v>0</v>
      </c>
      <c r="AN580" s="289">
        <v>8050</v>
      </c>
      <c r="AO580" s="289">
        <f t="shared" ref="AO580:AO581" si="84">AN580/AF580-1</f>
        <v>0</v>
      </c>
      <c r="AP580" s="289">
        <v>8470</v>
      </c>
      <c r="AQ580" s="289">
        <f t="shared" ref="AQ580:AQ581" si="85">AP580/AG580-1</f>
        <v>0</v>
      </c>
    </row>
    <row r="581" spans="1:46" ht="35.1" customHeight="1">
      <c r="A581" s="8"/>
      <c r="B581" s="23" t="s">
        <v>43</v>
      </c>
      <c r="C581" s="24"/>
      <c r="D581" s="25">
        <f>IF(AC581="","",(1-$W$2)*(AC581/1.2))</f>
        <v>5191.666666666667</v>
      </c>
      <c r="E581" s="69">
        <f>IF($W$5=0.2,D581*1.2,D581)/$W$4</f>
        <v>6230</v>
      </c>
      <c r="F581" s="25">
        <f>IF(AD581="","",(1-$W$2)*(AD581/1.2))</f>
        <v>5916.666666666667</v>
      </c>
      <c r="G581" s="69">
        <f>IF($W$5=0.2,F581*1.2,F581)/$W$4</f>
        <v>7100</v>
      </c>
      <c r="H581" s="25">
        <f>IF(AE581="","",(1-$W$2)*(AE581/1.2))</f>
        <v>6158.3333333333339</v>
      </c>
      <c r="I581" s="69">
        <f>IF($W$5=0.2,H581*1.2,H581)/$W$4</f>
        <v>7390</v>
      </c>
      <c r="J581" s="25">
        <f>IF(AF581="","",(1-$W$2)*(AF581/1.2))</f>
        <v>6708.3333333333339</v>
      </c>
      <c r="K581" s="69">
        <f>IF($W$5=0.2,J581*1.2,J581)/$W$4</f>
        <v>8050</v>
      </c>
      <c r="L581" s="25">
        <f>IF(AG581="","",(1-$W$2)*(AG581/1.2))</f>
        <v>7058.3333333333339</v>
      </c>
      <c r="M581" s="69">
        <f>IF($W$5=0.2,L581*1.2,L581)/$W$4</f>
        <v>8470</v>
      </c>
      <c r="R581" s="104"/>
      <c r="T581" s="104"/>
      <c r="U581" s="20"/>
      <c r="V581" s="104"/>
      <c r="W581" s="20"/>
      <c r="X581" s="104"/>
      <c r="Y581" s="104"/>
      <c r="Z581" s="104"/>
      <c r="AA581" s="104"/>
      <c r="AB581" s="104"/>
      <c r="AC581" s="332">
        <v>6230</v>
      </c>
      <c r="AD581" s="390">
        <v>7100</v>
      </c>
      <c r="AE581" s="332">
        <v>7390</v>
      </c>
      <c r="AF581" s="332">
        <v>8050</v>
      </c>
      <c r="AG581" s="332">
        <v>8470</v>
      </c>
      <c r="AH581" s="289">
        <v>6230</v>
      </c>
      <c r="AI581" s="289">
        <f t="shared" si="82"/>
        <v>0</v>
      </c>
      <c r="AJ581" s="289">
        <v>7100</v>
      </c>
      <c r="AK581" s="289">
        <f t="shared" ref="AK581" si="86">AJ581/AD581-1</f>
        <v>0</v>
      </c>
      <c r="AL581" s="289">
        <v>7390</v>
      </c>
      <c r="AM581" s="289">
        <f t="shared" si="83"/>
        <v>0</v>
      </c>
      <c r="AN581" s="289">
        <v>8050</v>
      </c>
      <c r="AO581" s="289">
        <f t="shared" si="84"/>
        <v>0</v>
      </c>
      <c r="AP581" s="289">
        <v>8470</v>
      </c>
      <c r="AQ581" s="289">
        <f t="shared" si="85"/>
        <v>0</v>
      </c>
    </row>
    <row r="582" spans="1:46">
      <c r="C582" s="245"/>
      <c r="D582" s="26"/>
      <c r="E582" s="57"/>
      <c r="F582" s="26"/>
      <c r="G582" s="57"/>
      <c r="H582" s="10"/>
      <c r="I582" s="8"/>
      <c r="J582" s="8"/>
      <c r="K582" s="8"/>
    </row>
    <row r="583" spans="1:46">
      <c r="B583" s="212" t="str">
        <f>IF($C$1="ENG","For additonal charge:","Послуги за додаткову плату:")</f>
        <v>Послуги за додаткову плату:</v>
      </c>
      <c r="C583" s="420"/>
      <c r="D583" s="213"/>
      <c r="E583" s="214"/>
      <c r="F583" s="26"/>
      <c r="G583" s="57"/>
      <c r="H583" s="10"/>
      <c r="I583" s="8"/>
      <c r="J583" s="8"/>
      <c r="K583" s="8"/>
    </row>
    <row r="584" spans="1:46" ht="5.0999999999999996" customHeight="1">
      <c r="B584" s="27"/>
      <c r="C584" s="245"/>
      <c r="D584" s="26"/>
      <c r="E584" s="57"/>
      <c r="F584" s="26"/>
      <c r="G584" s="57"/>
      <c r="H584" s="10"/>
      <c r="I584" s="8"/>
      <c r="J584" s="8"/>
      <c r="K584" s="8"/>
    </row>
    <row r="585" spans="1:46">
      <c r="B585" s="539" t="str">
        <f>IF($C$1="ENG","door leaf with width 100","полотно розміром 100")</f>
        <v>полотно розміром 100</v>
      </c>
      <c r="C585" s="540"/>
      <c r="D585" s="409">
        <f t="shared" ref="D585:D596" si="87">IF(AC585="","",(1-$W$2)*(AC585/1.2))</f>
        <v>600</v>
      </c>
      <c r="E585" s="92">
        <f>IF($W$5=0.2,D585*1.2,D585)/$W$4</f>
        <v>720</v>
      </c>
      <c r="F585" s="26"/>
      <c r="G585" s="26"/>
      <c r="H585" s="10"/>
      <c r="I585" s="8"/>
      <c r="J585" s="8"/>
      <c r="K585" s="8"/>
      <c r="AC585" s="298">
        <v>720</v>
      </c>
      <c r="AD585" s="289">
        <v>720</v>
      </c>
      <c r="AE585" s="289">
        <f>AD585/AC585-1</f>
        <v>0</v>
      </c>
      <c r="AF585" s="289"/>
      <c r="AG585" s="289"/>
      <c r="AH585" s="289"/>
      <c r="AI585" s="289"/>
      <c r="AJ585" s="289"/>
      <c r="AK585" s="289"/>
      <c r="AL585" s="289"/>
    </row>
    <row r="586" spans="1:46">
      <c r="B586" s="539" t="str">
        <f>IF($C$1="ENG","Ventilation cut","вентиляційний підріз")</f>
        <v>вентиляційний підріз</v>
      </c>
      <c r="C586" s="540"/>
      <c r="D586" s="404">
        <f t="shared" si="87"/>
        <v>141.66666666666669</v>
      </c>
      <c r="E586" s="66">
        <f t="shared" ref="E586:E595" si="88">IF($W$5=0.2,D586*1.2,D586)/$W$4</f>
        <v>170.00000000000003</v>
      </c>
      <c r="F586" s="26"/>
      <c r="G586" s="26"/>
      <c r="I586" s="59"/>
      <c r="J586" s="28"/>
      <c r="AC586" s="298">
        <v>170</v>
      </c>
      <c r="AD586" s="289">
        <v>170</v>
      </c>
      <c r="AE586" s="289">
        <f t="shared" ref="AE586:AE595" si="89">AD586/AC586-1</f>
        <v>0</v>
      </c>
      <c r="AF586" s="289"/>
      <c r="AG586" s="289"/>
      <c r="AH586" s="289"/>
      <c r="AI586" s="289"/>
      <c r="AJ586" s="289"/>
      <c r="AK586" s="289"/>
      <c r="AL586" s="289"/>
    </row>
    <row r="587" spans="1:46">
      <c r="B587" s="532" t="str">
        <f>IF($C$1="ENG","glazing Graphite / Bronze","скло Графіт / Бронза")</f>
        <v>скло Графіт / Бронза</v>
      </c>
      <c r="C587" s="533"/>
      <c r="D587" s="406">
        <f t="shared" si="87"/>
        <v>458.33333333333337</v>
      </c>
      <c r="E587" s="93">
        <f t="shared" si="88"/>
        <v>550</v>
      </c>
      <c r="F587" s="26"/>
      <c r="G587" s="26"/>
      <c r="H587" s="5"/>
      <c r="AC587" s="298">
        <v>550</v>
      </c>
      <c r="AD587" s="289">
        <v>550</v>
      </c>
      <c r="AE587" s="289">
        <f t="shared" si="89"/>
        <v>0</v>
      </c>
      <c r="AF587" s="289"/>
      <c r="AG587" s="289"/>
      <c r="AH587" s="289"/>
      <c r="AI587" s="289"/>
      <c r="AJ587" s="289"/>
      <c r="AK587" s="289"/>
      <c r="AL587" s="289"/>
    </row>
    <row r="588" spans="1:46">
      <c r="B588" s="532" t="str">
        <f>IF($C$1="ENG","door lock Soft","замок Soft")</f>
        <v>замок Soft</v>
      </c>
      <c r="C588" s="533"/>
      <c r="D588" s="406">
        <f t="shared" si="87"/>
        <v>458.33333333333337</v>
      </c>
      <c r="E588" s="93">
        <f t="shared" si="88"/>
        <v>550</v>
      </c>
      <c r="F588" s="26"/>
      <c r="G588" s="26"/>
      <c r="H588" s="5"/>
      <c r="AC588" s="298">
        <v>550</v>
      </c>
      <c r="AD588" s="289">
        <v>550</v>
      </c>
      <c r="AE588" s="289">
        <f t="shared" si="89"/>
        <v>0</v>
      </c>
      <c r="AF588" s="289"/>
      <c r="AG588" s="289"/>
      <c r="AH588" s="289"/>
      <c r="AI588" s="289"/>
      <c r="AJ588" s="289"/>
      <c r="AK588" s="289"/>
      <c r="AL588" s="289"/>
    </row>
    <row r="589" spans="1:46">
      <c r="B589" s="532" t="str">
        <f>IF($C$1="ENG","door lock Soft black","замок Soft чорн.")</f>
        <v>замок Soft чорн.</v>
      </c>
      <c r="C589" s="533"/>
      <c r="D589" s="406">
        <f t="shared" ref="D589" si="90">IF(AC589="","",(1-$W$2)*(AC589/1.2))</f>
        <v>566.66666666666674</v>
      </c>
      <c r="E589" s="93">
        <f t="shared" ref="E589" si="91">IF($W$5=0.2,D589*1.2,D589)/$W$4</f>
        <v>680.00000000000011</v>
      </c>
      <c r="F589" s="26"/>
      <c r="G589" s="26"/>
      <c r="H589" s="5"/>
      <c r="AC589" s="298">
        <v>680</v>
      </c>
      <c r="AD589" s="289"/>
      <c r="AE589" s="289"/>
      <c r="AF589" s="289"/>
      <c r="AG589" s="289"/>
      <c r="AH589" s="289"/>
      <c r="AI589" s="289"/>
      <c r="AJ589" s="289"/>
      <c r="AK589" s="289"/>
      <c r="AL589" s="289"/>
    </row>
    <row r="590" spans="1:46">
      <c r="B590" s="532" t="str">
        <f>IF($C$1="ENG","door lock Magnet","замок Magnet")</f>
        <v>замок Magnet</v>
      </c>
      <c r="C590" s="533"/>
      <c r="D590" s="406">
        <f t="shared" si="87"/>
        <v>666.66666666666674</v>
      </c>
      <c r="E590" s="93">
        <f t="shared" si="88"/>
        <v>800.00000000000011</v>
      </c>
      <c r="F590" s="26"/>
      <c r="G590" s="26"/>
      <c r="H590" s="5"/>
      <c r="AC590" s="298">
        <v>800</v>
      </c>
      <c r="AD590" s="289">
        <v>800</v>
      </c>
      <c r="AE590" s="289">
        <f t="shared" si="89"/>
        <v>0</v>
      </c>
      <c r="AF590" s="289"/>
      <c r="AG590" s="289"/>
      <c r="AH590" s="289"/>
      <c r="AI590" s="289"/>
      <c r="AJ590" s="289"/>
      <c r="AK590" s="289"/>
      <c r="AL590" s="289"/>
    </row>
    <row r="591" spans="1:46">
      <c r="B591" s="532" t="s">
        <v>75</v>
      </c>
      <c r="C591" s="533"/>
      <c r="D591" s="406">
        <f t="shared" ref="D591" si="92">IF(AC591="","",(1-$W$2)*(AC591/1.2))</f>
        <v>833.33333333333337</v>
      </c>
      <c r="E591" s="93">
        <f t="shared" ref="E591" si="93">IF($W$5=0.2,D591*1.2,D591)/$W$4</f>
        <v>1000</v>
      </c>
      <c r="F591" s="26"/>
      <c r="G591" s="26"/>
      <c r="H591" s="5"/>
      <c r="AC591" s="298">
        <v>1000</v>
      </c>
      <c r="AD591" s="289"/>
      <c r="AE591" s="289"/>
      <c r="AF591" s="289"/>
      <c r="AG591" s="289"/>
      <c r="AH591" s="289"/>
      <c r="AI591" s="289"/>
      <c r="AJ591" s="289"/>
      <c r="AK591" s="289"/>
      <c r="AL591" s="289"/>
    </row>
    <row r="592" spans="1:46">
      <c r="B592" s="532" t="str">
        <f>IF($C$1="ENG","door handle-lock (for sliding doors)","ручка-замок (для дверей купе)")</f>
        <v>ручка-замок (для дверей купе)</v>
      </c>
      <c r="C592" s="533"/>
      <c r="D592" s="404">
        <f t="shared" si="87"/>
        <v>466.66666666666669</v>
      </c>
      <c r="E592" s="93">
        <f t="shared" si="88"/>
        <v>560</v>
      </c>
      <c r="F592" s="26"/>
      <c r="G592" s="26"/>
      <c r="I592" s="11"/>
      <c r="J592" s="11"/>
      <c r="K592" s="19"/>
      <c r="AC592" s="298">
        <v>560</v>
      </c>
      <c r="AD592" s="289">
        <v>560</v>
      </c>
      <c r="AE592" s="289">
        <f t="shared" si="89"/>
        <v>0</v>
      </c>
      <c r="AF592" s="289"/>
      <c r="AG592" s="289"/>
      <c r="AH592" s="289"/>
      <c r="AI592" s="289"/>
      <c r="AJ592" s="289"/>
      <c r="AK592" s="289"/>
      <c r="AL592" s="289"/>
    </row>
    <row r="593" spans="2:38">
      <c r="B593" s="532" t="str">
        <f>IF($C$1="ENG","cylinder incert","циліндр несиметричний")</f>
        <v>циліндр несиметричний</v>
      </c>
      <c r="C593" s="533"/>
      <c r="D593" s="404">
        <f t="shared" si="87"/>
        <v>325</v>
      </c>
      <c r="E593" s="93">
        <f t="shared" si="88"/>
        <v>390</v>
      </c>
      <c r="F593" s="26"/>
      <c r="G593" s="26"/>
      <c r="AC593" s="298">
        <v>390</v>
      </c>
      <c r="AD593" s="289">
        <v>390</v>
      </c>
      <c r="AE593" s="289">
        <f t="shared" si="89"/>
        <v>0</v>
      </c>
      <c r="AF593" s="289"/>
      <c r="AG593" s="289"/>
      <c r="AH593" s="289"/>
      <c r="AI593" s="289"/>
      <c r="AJ593" s="289"/>
      <c r="AK593" s="289"/>
      <c r="AL593" s="289"/>
    </row>
    <row r="594" spans="2:38">
      <c r="B594" s="532" t="str">
        <f>IF($C$1="ENG","door hindge Prestige (1 unit)","завіса Prestige (1 шт)")</f>
        <v>завіса Prestige (1 шт)</v>
      </c>
      <c r="C594" s="533"/>
      <c r="D594" s="407">
        <f t="shared" si="87"/>
        <v>216.66666666666669</v>
      </c>
      <c r="E594" s="93">
        <f t="shared" si="88"/>
        <v>260</v>
      </c>
      <c r="F594" s="26"/>
      <c r="G594" s="26"/>
      <c r="AC594" s="298">
        <v>260</v>
      </c>
      <c r="AD594" s="289">
        <v>260</v>
      </c>
      <c r="AE594" s="289">
        <f t="shared" si="89"/>
        <v>0</v>
      </c>
      <c r="AF594" s="289"/>
      <c r="AG594" s="289"/>
      <c r="AH594" s="289"/>
      <c r="AI594" s="289"/>
      <c r="AJ594" s="289"/>
      <c r="AK594" s="289"/>
      <c r="AL594" s="289"/>
    </row>
    <row r="595" spans="2:38">
      <c r="B595" s="532" t="str">
        <f>IF($C$1="ENG","door hinge caps (1 set)","накладка на завіси (1 к-т)")</f>
        <v>накладка на завіси (1 к-т)</v>
      </c>
      <c r="C595" s="533"/>
      <c r="D595" s="407">
        <f t="shared" si="87"/>
        <v>66.666666666666671</v>
      </c>
      <c r="E595" s="93">
        <f t="shared" si="88"/>
        <v>80</v>
      </c>
      <c r="F595" s="26"/>
      <c r="G595" s="26"/>
      <c r="AC595" s="298">
        <v>80</v>
      </c>
      <c r="AD595" s="289">
        <v>80</v>
      </c>
      <c r="AE595" s="289">
        <f t="shared" si="89"/>
        <v>0</v>
      </c>
      <c r="AF595" s="289"/>
      <c r="AG595" s="289"/>
      <c r="AH595" s="289"/>
      <c r="AI595" s="289"/>
      <c r="AJ595" s="289"/>
      <c r="AK595" s="289"/>
      <c r="AL595" s="289"/>
    </row>
    <row r="596" spans="2:38">
      <c r="B596" s="532" t="str">
        <f>IF($C$1="ENG","door handle","дверна ручка")</f>
        <v>дверна ручка</v>
      </c>
      <c r="C596" s="533"/>
      <c r="D596" s="408" t="str">
        <f t="shared" si="87"/>
        <v/>
      </c>
      <c r="E596" s="247" t="str">
        <f>IF($C$1="ENG","see Handles Price","див. Таблицю Ручки")</f>
        <v>див. Таблицю Ручки</v>
      </c>
      <c r="F596" s="26"/>
      <c r="G596" s="26"/>
      <c r="AC596" s="289"/>
      <c r="AD596" s="289"/>
      <c r="AE596" s="289"/>
      <c r="AF596" s="289"/>
      <c r="AG596" s="289"/>
      <c r="AH596" s="289"/>
      <c r="AI596" s="289"/>
      <c r="AJ596" s="289"/>
      <c r="AK596" s="289"/>
      <c r="AL596" s="289"/>
    </row>
    <row r="597" spans="2:38" ht="14.25" customHeight="1">
      <c r="C597" s="245"/>
      <c r="D597" s="26"/>
      <c r="E597" s="26"/>
      <c r="F597" s="26"/>
      <c r="G597" s="26"/>
      <c r="H597" s="5"/>
      <c r="T597" s="525" t="str">
        <f>IF($C$1="ENG",CONCATENATE("down to: ",B647),CONCATENATE("вниз до: ",B647))</f>
        <v>вниз до: Полотна збірні: ЛАДА B</v>
      </c>
      <c r="U597" s="525"/>
      <c r="V597" s="525"/>
      <c r="W597" s="525"/>
    </row>
    <row r="598" spans="2:38" ht="14.25" customHeight="1">
      <c r="C598" s="245"/>
      <c r="D598" s="26"/>
      <c r="E598" s="26"/>
      <c r="F598" s="26"/>
      <c r="G598" s="26"/>
      <c r="H598" s="5"/>
    </row>
    <row r="599" spans="2:38" ht="14.25" customHeight="1">
      <c r="C599" s="245"/>
      <c r="D599" s="26"/>
      <c r="E599" s="26"/>
      <c r="F599" s="26"/>
      <c r="G599" s="26"/>
      <c r="H599" s="5"/>
    </row>
    <row r="600" spans="2:38" ht="14.25" customHeight="1">
      <c r="C600" s="245"/>
      <c r="D600" s="26"/>
      <c r="E600" s="26"/>
      <c r="F600" s="26"/>
      <c r="G600" s="26"/>
      <c r="H600" s="5"/>
    </row>
    <row r="601" spans="2:38" ht="14.25" customHeight="1">
      <c r="C601" s="245"/>
      <c r="D601" s="26"/>
      <c r="E601" s="26"/>
      <c r="F601" s="26"/>
      <c r="G601" s="26"/>
      <c r="H601" s="5"/>
    </row>
    <row r="602" spans="2:38" ht="14.25" customHeight="1">
      <c r="C602" s="245"/>
      <c r="D602" s="26"/>
      <c r="E602" s="26"/>
      <c r="F602" s="26"/>
      <c r="G602" s="26"/>
      <c r="H602" s="5"/>
    </row>
    <row r="603" spans="2:38" ht="14.25" customHeight="1">
      <c r="C603" s="245"/>
      <c r="D603" s="26"/>
      <c r="E603" s="26"/>
      <c r="F603" s="26"/>
      <c r="G603" s="26"/>
      <c r="H603" s="5"/>
    </row>
    <row r="604" spans="2:38" ht="14.25" customHeight="1">
      <c r="C604" s="245"/>
      <c r="D604" s="26"/>
      <c r="E604" s="26"/>
      <c r="F604" s="26"/>
      <c r="G604" s="26"/>
      <c r="H604" s="5"/>
    </row>
    <row r="605" spans="2:38" ht="14.25" customHeight="1">
      <c r="C605" s="245"/>
      <c r="D605" s="26"/>
      <c r="E605" s="26"/>
      <c r="F605" s="26"/>
      <c r="G605" s="26"/>
      <c r="H605" s="5"/>
    </row>
    <row r="606" spans="2:38" ht="14.25" customHeight="1">
      <c r="C606" s="245"/>
      <c r="D606" s="26"/>
      <c r="E606" s="26"/>
      <c r="F606" s="26"/>
      <c r="G606" s="26"/>
      <c r="H606" s="5"/>
    </row>
    <row r="607" spans="2:38" ht="14.25" customHeight="1">
      <c r="C607" s="245"/>
      <c r="D607" s="26"/>
      <c r="E607" s="26"/>
      <c r="F607" s="26"/>
      <c r="G607" s="26"/>
      <c r="H607" s="5"/>
    </row>
    <row r="608" spans="2:38" ht="14.25" customHeight="1">
      <c r="C608" s="245"/>
      <c r="D608" s="26"/>
      <c r="E608" s="26"/>
      <c r="F608" s="26"/>
      <c r="G608" s="26"/>
      <c r="H608" s="5"/>
    </row>
    <row r="609" spans="3:8" ht="14.25" customHeight="1">
      <c r="C609" s="245"/>
      <c r="D609" s="26"/>
      <c r="E609" s="26"/>
      <c r="F609" s="26"/>
      <c r="G609" s="26"/>
      <c r="H609" s="5"/>
    </row>
    <row r="610" spans="3:8" ht="14.25" customHeight="1">
      <c r="C610" s="245"/>
      <c r="D610" s="26"/>
      <c r="E610" s="26"/>
      <c r="F610" s="26"/>
      <c r="G610" s="26"/>
      <c r="H610" s="5"/>
    </row>
    <row r="611" spans="3:8" ht="14.25" customHeight="1">
      <c r="C611" s="245"/>
      <c r="D611" s="26"/>
      <c r="E611" s="26"/>
      <c r="F611" s="26"/>
      <c r="G611" s="26"/>
      <c r="H611" s="5"/>
    </row>
    <row r="612" spans="3:8" ht="14.25" customHeight="1">
      <c r="C612" s="245"/>
      <c r="D612" s="26"/>
      <c r="E612" s="26"/>
      <c r="F612" s="26"/>
      <c r="G612" s="26"/>
      <c r="H612" s="5"/>
    </row>
    <row r="613" spans="3:8" ht="14.25" customHeight="1">
      <c r="C613" s="245"/>
      <c r="D613" s="26"/>
      <c r="E613" s="26"/>
      <c r="F613" s="26"/>
      <c r="G613" s="26"/>
      <c r="H613" s="5"/>
    </row>
    <row r="614" spans="3:8" ht="14.25" customHeight="1">
      <c r="C614" s="245"/>
      <c r="D614" s="26"/>
      <c r="E614" s="26"/>
      <c r="F614" s="26"/>
      <c r="G614" s="26"/>
      <c r="H614" s="5"/>
    </row>
    <row r="615" spans="3:8" ht="14.25" customHeight="1">
      <c r="C615" s="245"/>
      <c r="D615" s="26"/>
      <c r="E615" s="26"/>
      <c r="F615" s="26"/>
      <c r="G615" s="26"/>
      <c r="H615" s="5"/>
    </row>
    <row r="616" spans="3:8" ht="14.25" customHeight="1">
      <c r="C616" s="245"/>
      <c r="D616" s="26"/>
      <c r="E616" s="26"/>
      <c r="F616" s="26"/>
      <c r="G616" s="26"/>
      <c r="H616" s="5"/>
    </row>
    <row r="617" spans="3:8" ht="14.25" customHeight="1">
      <c r="C617" s="245"/>
      <c r="D617" s="26"/>
      <c r="E617" s="26"/>
      <c r="F617" s="26"/>
      <c r="G617" s="26"/>
      <c r="H617" s="5"/>
    </row>
    <row r="618" spans="3:8" ht="14.25" customHeight="1">
      <c r="C618" s="245"/>
      <c r="D618" s="26"/>
      <c r="E618" s="26"/>
      <c r="F618" s="26"/>
      <c r="G618" s="26"/>
      <c r="H618" s="5"/>
    </row>
    <row r="619" spans="3:8" ht="14.25" customHeight="1">
      <c r="C619" s="245"/>
      <c r="D619" s="26"/>
      <c r="E619" s="26"/>
      <c r="F619" s="26"/>
      <c r="G619" s="26"/>
      <c r="H619" s="5"/>
    </row>
    <row r="620" spans="3:8" ht="14.25" customHeight="1">
      <c r="C620" s="245"/>
      <c r="D620" s="26"/>
      <c r="E620" s="26"/>
      <c r="F620" s="26"/>
      <c r="G620" s="26"/>
      <c r="H620" s="5"/>
    </row>
    <row r="621" spans="3:8" ht="14.25" customHeight="1">
      <c r="C621" s="245"/>
      <c r="D621" s="26"/>
      <c r="E621" s="26"/>
      <c r="F621" s="26"/>
      <c r="G621" s="26"/>
      <c r="H621" s="5"/>
    </row>
    <row r="622" spans="3:8" ht="14.25" customHeight="1">
      <c r="C622" s="245"/>
      <c r="D622" s="26"/>
      <c r="E622" s="26"/>
      <c r="F622" s="26"/>
      <c r="G622" s="26"/>
      <c r="H622" s="5"/>
    </row>
    <row r="623" spans="3:8" ht="14.25" customHeight="1">
      <c r="C623" s="245"/>
      <c r="D623" s="26"/>
      <c r="E623" s="26"/>
      <c r="F623" s="26"/>
      <c r="G623" s="26"/>
      <c r="H623" s="5"/>
    </row>
    <row r="624" spans="3:8" ht="14.25" customHeight="1">
      <c r="C624" s="245"/>
      <c r="D624" s="26"/>
      <c r="E624" s="26"/>
      <c r="F624" s="26"/>
      <c r="G624" s="26"/>
      <c r="H624" s="5"/>
    </row>
    <row r="625" spans="3:8" ht="14.25" customHeight="1">
      <c r="C625" s="245"/>
      <c r="D625" s="26"/>
      <c r="E625" s="26"/>
      <c r="F625" s="26"/>
      <c r="G625" s="26"/>
      <c r="H625" s="5"/>
    </row>
    <row r="626" spans="3:8" ht="14.25" customHeight="1">
      <c r="C626" s="245"/>
      <c r="D626" s="26"/>
      <c r="E626" s="26"/>
      <c r="F626" s="26"/>
      <c r="G626" s="26"/>
      <c r="H626" s="5"/>
    </row>
    <row r="627" spans="3:8" ht="14.25" customHeight="1">
      <c r="C627" s="245"/>
      <c r="D627" s="26"/>
      <c r="E627" s="26"/>
      <c r="F627" s="26"/>
      <c r="G627" s="26"/>
      <c r="H627" s="5"/>
    </row>
    <row r="628" spans="3:8" ht="14.25" customHeight="1">
      <c r="C628" s="245"/>
      <c r="D628" s="26"/>
      <c r="E628" s="26"/>
      <c r="F628" s="26"/>
      <c r="G628" s="26"/>
      <c r="H628" s="5"/>
    </row>
    <row r="629" spans="3:8" ht="14.25" customHeight="1">
      <c r="C629" s="245"/>
      <c r="D629" s="26"/>
      <c r="E629" s="26"/>
      <c r="F629" s="26"/>
      <c r="G629" s="26"/>
      <c r="H629" s="5"/>
    </row>
    <row r="630" spans="3:8" ht="14.25" customHeight="1">
      <c r="C630" s="245"/>
      <c r="D630" s="26"/>
      <c r="E630" s="26"/>
      <c r="F630" s="26"/>
      <c r="G630" s="26"/>
      <c r="H630" s="5"/>
    </row>
    <row r="631" spans="3:8" ht="14.25" customHeight="1">
      <c r="C631" s="245"/>
      <c r="D631" s="26"/>
      <c r="E631" s="26"/>
      <c r="F631" s="26"/>
      <c r="G631" s="26"/>
      <c r="H631" s="5"/>
    </row>
    <row r="632" spans="3:8" ht="14.25" customHeight="1">
      <c r="C632" s="245"/>
      <c r="D632" s="26"/>
      <c r="E632" s="26"/>
      <c r="F632" s="26"/>
      <c r="G632" s="26"/>
      <c r="H632" s="5"/>
    </row>
    <row r="633" spans="3:8" ht="14.25" customHeight="1">
      <c r="C633" s="245"/>
      <c r="D633" s="26"/>
      <c r="E633" s="26"/>
      <c r="F633" s="26"/>
      <c r="G633" s="26"/>
      <c r="H633" s="5"/>
    </row>
    <row r="634" spans="3:8" ht="14.25" customHeight="1">
      <c r="C634" s="245"/>
      <c r="D634" s="26"/>
      <c r="E634" s="26"/>
      <c r="F634" s="26"/>
      <c r="G634" s="26"/>
      <c r="H634" s="5"/>
    </row>
    <row r="635" spans="3:8" ht="14.25" customHeight="1">
      <c r="C635" s="245"/>
      <c r="D635" s="26"/>
      <c r="E635" s="26"/>
      <c r="F635" s="26"/>
      <c r="G635" s="26"/>
      <c r="H635" s="5"/>
    </row>
    <row r="636" spans="3:8" ht="14.25" customHeight="1">
      <c r="C636" s="245"/>
      <c r="D636" s="26"/>
      <c r="E636" s="26"/>
      <c r="F636" s="26"/>
      <c r="G636" s="26"/>
      <c r="H636" s="5"/>
    </row>
    <row r="637" spans="3:8" ht="14.25" customHeight="1">
      <c r="C637" s="245"/>
      <c r="D637" s="26"/>
      <c r="E637" s="26"/>
      <c r="F637" s="26"/>
      <c r="G637" s="26"/>
      <c r="H637" s="5"/>
    </row>
    <row r="638" spans="3:8" ht="14.25" customHeight="1">
      <c r="C638" s="245"/>
      <c r="D638" s="26"/>
      <c r="E638" s="26"/>
      <c r="F638" s="26"/>
      <c r="G638" s="26"/>
      <c r="H638" s="5"/>
    </row>
    <row r="639" spans="3:8" ht="14.25" customHeight="1">
      <c r="C639" s="245"/>
      <c r="D639" s="26"/>
      <c r="E639" s="26"/>
      <c r="F639" s="26"/>
      <c r="G639" s="26"/>
      <c r="H639" s="5"/>
    </row>
    <row r="640" spans="3:8" ht="14.25" customHeight="1">
      <c r="C640" s="245"/>
      <c r="D640" s="26"/>
      <c r="E640" s="26"/>
      <c r="F640" s="26"/>
      <c r="G640" s="26"/>
      <c r="H640" s="5"/>
    </row>
    <row r="641" spans="1:46" ht="14.25" customHeight="1">
      <c r="C641" s="245"/>
      <c r="D641" s="26"/>
      <c r="E641" s="26"/>
      <c r="F641" s="26"/>
      <c r="G641" s="26"/>
      <c r="H641" s="5"/>
    </row>
    <row r="642" spans="1:46" ht="14.25" customHeight="1">
      <c r="C642" s="245"/>
      <c r="D642" s="26"/>
      <c r="E642" s="26"/>
      <c r="F642" s="26"/>
      <c r="G642" s="26"/>
      <c r="H642" s="5"/>
    </row>
    <row r="643" spans="1:46" ht="14.25" customHeight="1">
      <c r="C643" s="245"/>
      <c r="D643" s="26"/>
      <c r="E643" s="26"/>
      <c r="F643" s="26"/>
      <c r="G643" s="26"/>
      <c r="H643" s="5"/>
    </row>
    <row r="644" spans="1:46" ht="14.25" customHeight="1">
      <c r="C644" s="245"/>
      <c r="D644" s="26"/>
      <c r="E644" s="26"/>
      <c r="F644" s="26"/>
      <c r="G644" s="26"/>
      <c r="H644" s="5"/>
    </row>
    <row r="645" spans="1:46" ht="14.25" customHeight="1">
      <c r="C645" s="245"/>
      <c r="D645" s="26"/>
      <c r="E645" s="26"/>
      <c r="F645" s="26"/>
      <c r="G645" s="26"/>
      <c r="H645" s="5"/>
    </row>
    <row r="646" spans="1:46" ht="14.25" customHeight="1">
      <c r="C646" s="245"/>
      <c r="D646" s="26"/>
      <c r="E646" s="26"/>
      <c r="F646" s="26"/>
      <c r="G646" s="26"/>
      <c r="H646" s="5"/>
    </row>
    <row r="647" spans="1:46" s="8" customFormat="1">
      <c r="B647" s="518" t="str">
        <f>TITLE!C17</f>
        <v>Полотна збірні: ЛАДА B</v>
      </c>
      <c r="C647" s="518"/>
      <c r="D647" s="118"/>
      <c r="E647" s="118"/>
      <c r="F647" s="118"/>
      <c r="G647" s="118"/>
      <c r="H647" s="520"/>
      <c r="I647" s="520"/>
      <c r="J647" s="121"/>
      <c r="K647" s="121"/>
      <c r="L647" s="121"/>
      <c r="M647" s="121"/>
      <c r="N647" s="121"/>
      <c r="O647" s="121"/>
      <c r="P647" s="121"/>
      <c r="Q647" s="121"/>
      <c r="R647" s="121"/>
      <c r="S647" s="121"/>
      <c r="T647" s="529" t="str">
        <f>IF($C$1="ENG",CONCATENATE("up to: ",B574),CONCATENATE("вгору до: ",B574))</f>
        <v>вгору до: Полотна збірні: ЛАДА A</v>
      </c>
      <c r="U647" s="529"/>
      <c r="V647" s="529"/>
      <c r="W647" s="529"/>
      <c r="AN647" s="280"/>
      <c r="AO647" s="280"/>
      <c r="AP647" s="280"/>
      <c r="AQ647" s="280"/>
      <c r="AR647" s="280"/>
      <c r="AS647" s="280"/>
      <c r="AT647" s="280"/>
    </row>
    <row r="648" spans="1:46" s="8" customFormat="1" ht="5.0999999999999996" customHeight="1">
      <c r="B648" s="117"/>
      <c r="C648" s="419"/>
      <c r="D648" s="9"/>
      <c r="E648" s="9"/>
      <c r="F648" s="9"/>
      <c r="G648" s="9"/>
      <c r="H648" s="120"/>
      <c r="I648" s="120"/>
      <c r="T648" s="115"/>
      <c r="U648" s="115"/>
      <c r="V648" s="115"/>
      <c r="W648" s="115"/>
      <c r="AN648" s="280"/>
      <c r="AO648" s="280"/>
      <c r="AP648" s="280"/>
      <c r="AQ648" s="280"/>
      <c r="AR648" s="280"/>
      <c r="AS648" s="280"/>
      <c r="AT648" s="280"/>
    </row>
    <row r="649" spans="1:46" s="8" customFormat="1" ht="12.75" customHeight="1">
      <c r="B649" s="536" t="str">
        <f>IF($C$1="ENG","model","модель")</f>
        <v>модель</v>
      </c>
      <c r="C649" s="122" t="str">
        <f>IF($C$1="ENG","cover:","покриття:")</f>
        <v>покриття:</v>
      </c>
      <c r="D649" s="522" t="str">
        <f>IF($C$1="ENG","Verto-CELL","Verto-CELL")</f>
        <v>Verto-CELL</v>
      </c>
      <c r="E649" s="524"/>
      <c r="F649" s="522" t="str">
        <f>IF($C$1="ENG","UNI-MAT","UNI-MAT")</f>
        <v>UNI-MAT</v>
      </c>
      <c r="G649" s="524"/>
      <c r="H649" s="522" t="str">
        <f>IF($C$1="ENG","RESIST","RESIST")</f>
        <v>RESIST</v>
      </c>
      <c r="I649" s="524"/>
      <c r="J649" s="522" t="str">
        <f>IF($C$1="ENG","Verto LINE-3D","Verto LINE-3D")</f>
        <v>Verto LINE-3D</v>
      </c>
      <c r="K649" s="524"/>
      <c r="L649" s="522" t="str">
        <f>IF($C$1="ENG","ECO Shpon","ЕКО Шпон")</f>
        <v>ЕКО Шпон</v>
      </c>
      <c r="M649" s="524"/>
      <c r="P649" s="1"/>
      <c r="Q649" s="1"/>
      <c r="T649" s="115"/>
      <c r="U649" s="115"/>
      <c r="V649" s="115"/>
      <c r="W649" s="115"/>
      <c r="AN649" s="280"/>
      <c r="AO649" s="280"/>
      <c r="AP649" s="280"/>
      <c r="AQ649" s="280"/>
      <c r="AR649" s="280"/>
      <c r="AS649" s="280"/>
      <c r="AT649" s="280"/>
    </row>
    <row r="650" spans="1:46" s="8" customFormat="1" ht="24.75" customHeight="1">
      <c r="B650" s="537"/>
      <c r="C650" s="123" t="str">
        <f>IF($C$1="ENG","filling:","заповнення:")</f>
        <v>заповнення:</v>
      </c>
      <c r="D650" s="527" t="str">
        <f>IF($C$1="ENG","softwood","клеєний сосновий брус")</f>
        <v>клеєний сосновий брус</v>
      </c>
      <c r="E650" s="528"/>
      <c r="F650" s="527" t="str">
        <f>IF($C$1="ENG","softwood","клеєний сосновий брус")</f>
        <v>клеєний сосновий брус</v>
      </c>
      <c r="G650" s="528"/>
      <c r="H650" s="527" t="str">
        <f>IF($C$1="ENG","softwood","клеєний сосновий брус")</f>
        <v>клеєний сосновий брус</v>
      </c>
      <c r="I650" s="528"/>
      <c r="J650" s="527" t="str">
        <f>IF($C$1="ENG","softwood","клеєний сосновий брус")</f>
        <v>клеєний сосновий брус</v>
      </c>
      <c r="K650" s="528"/>
      <c r="L650" s="527" t="str">
        <f>IF($C$1="ENG","softwood","клеєний сосновий брус")</f>
        <v>клеєний сосновий брус</v>
      </c>
      <c r="M650" s="528"/>
      <c r="P650" s="1"/>
      <c r="Q650" s="1"/>
      <c r="T650" s="115"/>
      <c r="U650" s="115"/>
      <c r="V650" s="115"/>
      <c r="W650" s="115"/>
      <c r="AD650" s="382">
        <f>AD652/AC652-1</f>
        <v>0.1396468699839486</v>
      </c>
      <c r="AE650" s="382">
        <f>AE652/AD652-1</f>
        <v>4.2253521126760507E-2</v>
      </c>
      <c r="AF650" s="382">
        <f>AF652/AE652-1</f>
        <v>8.783783783783794E-2</v>
      </c>
      <c r="AG650" s="382">
        <f>AG652/AF652-1</f>
        <v>5.2173913043478182E-2</v>
      </c>
      <c r="AN650" s="280"/>
      <c r="AO650" s="280"/>
      <c r="AP650" s="280"/>
      <c r="AQ650" s="280"/>
      <c r="AR650" s="280"/>
      <c r="AS650" s="280"/>
      <c r="AT650" s="280"/>
    </row>
    <row r="651" spans="1:46" ht="12.75" customHeight="1">
      <c r="A651" s="8"/>
      <c r="B651" s="538"/>
      <c r="C651" s="124" t="str">
        <f>IF($C$1="ENG","glazing:","скління:")</f>
        <v>скління:</v>
      </c>
      <c r="D651" s="513" t="str">
        <f>IF($C$1="ENG","Satin","Сатин")</f>
        <v>Сатин</v>
      </c>
      <c r="E651" s="516"/>
      <c r="F651" s="513" t="str">
        <f>IF($C$1="ENG","Satin","Сатин")</f>
        <v>Сатин</v>
      </c>
      <c r="G651" s="516"/>
      <c r="H651" s="513" t="str">
        <f>IF($C$1="ENG","Satin","Сатин")</f>
        <v>Сатин</v>
      </c>
      <c r="I651" s="516"/>
      <c r="J651" s="513" t="str">
        <f>IF($C$1="ENG","Satin","Сатин")</f>
        <v>Сатин</v>
      </c>
      <c r="K651" s="516"/>
      <c r="L651" s="513" t="str">
        <f>IF($C$1="ENG","Satin","Сатин")</f>
        <v>Сатин</v>
      </c>
      <c r="M651" s="516"/>
    </row>
    <row r="652" spans="1:46" ht="35.1" customHeight="1">
      <c r="A652" s="8"/>
      <c r="B652" s="13" t="s">
        <v>38</v>
      </c>
      <c r="C652" s="14"/>
      <c r="D652" s="15">
        <f>IF(AC652="","",(1-$W$2)*(AC652/1.2))</f>
        <v>5191.666666666667</v>
      </c>
      <c r="E652" s="64">
        <f>IF($W$5=0.2,D652*1.2,D652)/$W$4</f>
        <v>6230</v>
      </c>
      <c r="F652" s="15">
        <f>IF(AD652="","",(1-$W$2)*(AD652/1.2))</f>
        <v>5916.666666666667</v>
      </c>
      <c r="G652" s="64">
        <f>IF($W$5=0.2,F652*1.2,F652)/$W$4</f>
        <v>7100</v>
      </c>
      <c r="H652" s="15">
        <f>IF(AE652="","",(1-$W$2)*(AE652/1.2))</f>
        <v>6166.666666666667</v>
      </c>
      <c r="I652" s="64">
        <f>IF($W$5=0.2,H652*1.2,H652)/$W$4</f>
        <v>7400</v>
      </c>
      <c r="J652" s="15">
        <f>IF(AF652="","",(1-$W$2)*(AF652/1.2))</f>
        <v>6708.3333333333339</v>
      </c>
      <c r="K652" s="64">
        <f>IF($W$5=0.2,J652*1.2,J652)/$W$4</f>
        <v>8050</v>
      </c>
      <c r="L652" s="15">
        <f>IF(AG652="","",(1-$W$2)*(AG652/1.2))</f>
        <v>7058.3333333333339</v>
      </c>
      <c r="M652" s="64">
        <f>IF($W$5=0.2,L652*1.2,L652)/$W$4</f>
        <v>8470</v>
      </c>
      <c r="N652" s="104"/>
      <c r="R652" s="104"/>
      <c r="T652" s="104"/>
      <c r="U652" s="20"/>
      <c r="V652" s="104"/>
      <c r="W652" s="20"/>
      <c r="X652" s="104"/>
      <c r="Y652" s="104"/>
      <c r="Z652" s="104"/>
      <c r="AA652" s="104"/>
      <c r="AB652" s="104"/>
      <c r="AC652" s="332">
        <v>6230</v>
      </c>
      <c r="AD652" s="390">
        <v>7100</v>
      </c>
      <c r="AE652" s="332">
        <v>7400</v>
      </c>
      <c r="AF652" s="332">
        <v>8050</v>
      </c>
      <c r="AG652" s="332">
        <v>8470</v>
      </c>
      <c r="AH652" s="289">
        <v>6230</v>
      </c>
      <c r="AI652" s="289">
        <f>AH652/AC652-1</f>
        <v>0</v>
      </c>
      <c r="AJ652" s="289">
        <v>7100</v>
      </c>
      <c r="AK652" s="289">
        <f>AJ652/AD652-1</f>
        <v>0</v>
      </c>
      <c r="AL652" s="289">
        <v>7400</v>
      </c>
      <c r="AM652" s="1">
        <f>AL652/AE652-1</f>
        <v>0</v>
      </c>
      <c r="AN652" s="30">
        <v>8050</v>
      </c>
      <c r="AO652" s="1">
        <f>AN652/AF652-1</f>
        <v>0</v>
      </c>
      <c r="AP652" s="1">
        <v>8470</v>
      </c>
      <c r="AQ652" s="1">
        <f>AP652/AG652-1</f>
        <v>0</v>
      </c>
    </row>
    <row r="653" spans="1:46" ht="35.1" customHeight="1">
      <c r="A653" s="8"/>
      <c r="B653" s="16" t="s">
        <v>28</v>
      </c>
      <c r="C653" s="17"/>
      <c r="D653" s="18">
        <f>IF(AC653="","",(1-$W$2)*(AC653/1.2))</f>
        <v>5191.666666666667</v>
      </c>
      <c r="E653" s="66">
        <f>IF($W$5=0.2,D653*1.2,D653)/$W$4</f>
        <v>6230</v>
      </c>
      <c r="F653" s="18">
        <f>IF(AD653="","",(1-$W$2)*(AD653/1.2))</f>
        <v>5916.666666666667</v>
      </c>
      <c r="G653" s="66">
        <f>IF($W$5=0.2,F653*1.2,F653)/$W$4</f>
        <v>7100</v>
      </c>
      <c r="H653" s="18">
        <f>IF(AE653="","",(1-$W$2)*(AE653/1.2))</f>
        <v>6166.666666666667</v>
      </c>
      <c r="I653" s="66">
        <f>IF($W$5=0.2,H653*1.2,H653)/$W$4</f>
        <v>7400</v>
      </c>
      <c r="J653" s="18">
        <f>IF(AF653="","",(1-$W$2)*(AF653/1.2))</f>
        <v>6708.3333333333339</v>
      </c>
      <c r="K653" s="66">
        <f>IF($W$5=0.2,J653*1.2,J653)/$W$4</f>
        <v>8050</v>
      </c>
      <c r="L653" s="18">
        <f>IF(AG653="","",(1-$W$2)*(AG653/1.2))</f>
        <v>7058.3333333333339</v>
      </c>
      <c r="M653" s="66">
        <f>IF($W$5=0.2,L653*1.2,L653)/$W$4</f>
        <v>8470</v>
      </c>
      <c r="N653" s="104"/>
      <c r="R653" s="104"/>
      <c r="T653" s="104"/>
      <c r="U653" s="20"/>
      <c r="V653" s="104"/>
      <c r="W653" s="20"/>
      <c r="X653" s="104"/>
      <c r="Y653" s="104"/>
      <c r="Z653" s="104"/>
      <c r="AA653" s="104"/>
      <c r="AB653" s="104"/>
      <c r="AC653" s="332">
        <v>6230</v>
      </c>
      <c r="AD653" s="390">
        <v>7100</v>
      </c>
      <c r="AE653" s="332">
        <v>7400</v>
      </c>
      <c r="AF653" s="332">
        <v>8050</v>
      </c>
      <c r="AG653" s="332">
        <v>8470</v>
      </c>
      <c r="AH653" s="289">
        <v>6230</v>
      </c>
      <c r="AI653" s="289">
        <f t="shared" ref="AI653:AI654" si="94">AH653/AC653-1</f>
        <v>0</v>
      </c>
      <c r="AJ653" s="289">
        <v>7100</v>
      </c>
      <c r="AK653" s="289">
        <f t="shared" ref="AK653:AK654" si="95">AJ653/AD653-1</f>
        <v>0</v>
      </c>
      <c r="AL653" s="289">
        <v>7400</v>
      </c>
      <c r="AM653" s="1">
        <f t="shared" ref="AM653:AM654" si="96">AL653/AE653-1</f>
        <v>0</v>
      </c>
      <c r="AN653" s="30">
        <v>8050</v>
      </c>
      <c r="AO653" s="1">
        <f t="shared" ref="AO653:AO654" si="97">AN653/AF653-1</f>
        <v>0</v>
      </c>
      <c r="AP653" s="1">
        <v>8470</v>
      </c>
      <c r="AQ653" s="1">
        <f t="shared" ref="AQ653:AQ654" si="98">AP653/AG653-1</f>
        <v>0</v>
      </c>
    </row>
    <row r="654" spans="1:46" ht="35.1" customHeight="1">
      <c r="A654" s="8"/>
      <c r="B654" s="23" t="s">
        <v>39</v>
      </c>
      <c r="C654" s="24"/>
      <c r="D654" s="25">
        <f>IF(AC654="","",(1-$W$2)*(AC654/1.2))</f>
        <v>5416.666666666667</v>
      </c>
      <c r="E654" s="69">
        <f>IF($W$5=0.2,D654*1.2,D654)/$W$4</f>
        <v>6500</v>
      </c>
      <c r="F654" s="25">
        <f>IF(AD654="","",(1-$W$2)*(AD654/1.2))</f>
        <v>6166.666666666667</v>
      </c>
      <c r="G654" s="69">
        <f>IF($W$5=0.2,F654*1.2,F654)/$W$4</f>
        <v>7400</v>
      </c>
      <c r="H654" s="25">
        <f>IF(AE654="","",(1-$W$2)*(AE654/1.2))</f>
        <v>6441.666666666667</v>
      </c>
      <c r="I654" s="69">
        <f>IF($W$5=0.2,H654*1.2,H654)/$W$4</f>
        <v>7730</v>
      </c>
      <c r="J654" s="25">
        <f>IF(AF654="","",(1-$W$2)*(AF654/1.2))</f>
        <v>6950</v>
      </c>
      <c r="K654" s="69">
        <f>IF($W$5=0.2,J654*1.2,J654)/$W$4</f>
        <v>8340</v>
      </c>
      <c r="L654" s="25">
        <f>IF(AG654="","",(1-$W$2)*(AG654/1.2))</f>
        <v>7375</v>
      </c>
      <c r="M654" s="69">
        <f>IF($W$5=0.2,L654*1.2,L654)/$W$4</f>
        <v>8850</v>
      </c>
      <c r="N654" s="104"/>
      <c r="R654" s="104"/>
      <c r="T654" s="104"/>
      <c r="V654" s="104"/>
      <c r="X654" s="104"/>
      <c r="Y654" s="104"/>
      <c r="Z654" s="104"/>
      <c r="AA654" s="104"/>
      <c r="AB654" s="104"/>
      <c r="AC654" s="332">
        <v>6500</v>
      </c>
      <c r="AD654" s="390">
        <v>7400</v>
      </c>
      <c r="AE654" s="332">
        <v>7730</v>
      </c>
      <c r="AF654" s="332">
        <v>8340</v>
      </c>
      <c r="AG654" s="332">
        <v>8850</v>
      </c>
      <c r="AH654" s="289">
        <v>6500</v>
      </c>
      <c r="AI654" s="289">
        <f t="shared" si="94"/>
        <v>0</v>
      </c>
      <c r="AJ654" s="289">
        <v>7400</v>
      </c>
      <c r="AK654" s="289">
        <f t="shared" si="95"/>
        <v>0</v>
      </c>
      <c r="AL654" s="289">
        <v>7730</v>
      </c>
      <c r="AM654" s="1">
        <f t="shared" si="96"/>
        <v>0</v>
      </c>
      <c r="AN654" s="30">
        <v>8340</v>
      </c>
      <c r="AO654" s="1">
        <f t="shared" si="97"/>
        <v>0</v>
      </c>
      <c r="AP654" s="1">
        <v>8850</v>
      </c>
      <c r="AQ654" s="1">
        <f t="shared" si="98"/>
        <v>0</v>
      </c>
    </row>
    <row r="655" spans="1:46">
      <c r="C655" s="245"/>
      <c r="D655" s="26"/>
      <c r="E655" s="57"/>
      <c r="F655" s="26"/>
      <c r="G655" s="57"/>
      <c r="H655" s="10"/>
      <c r="I655" s="8"/>
      <c r="J655" s="8"/>
      <c r="K655" s="8"/>
    </row>
    <row r="656" spans="1:46">
      <c r="B656" s="212" t="str">
        <f>IF($C$1="ENG","For additonal charge:","Послуги за додаткову плату:")</f>
        <v>Послуги за додаткову плату:</v>
      </c>
      <c r="C656" s="420"/>
      <c r="D656" s="213"/>
      <c r="E656" s="214"/>
      <c r="F656" s="26"/>
      <c r="G656" s="57"/>
      <c r="H656" s="10"/>
      <c r="I656" s="8"/>
      <c r="J656" s="8"/>
      <c r="K656" s="8"/>
    </row>
    <row r="657" spans="2:38" ht="5.0999999999999996" customHeight="1">
      <c r="B657" s="27"/>
      <c r="C657" s="245"/>
      <c r="D657" s="26"/>
      <c r="E657" s="57"/>
      <c r="F657" s="26"/>
      <c r="G657" s="57"/>
      <c r="H657" s="10"/>
      <c r="I657" s="8"/>
      <c r="J657" s="8"/>
      <c r="K657" s="8"/>
    </row>
    <row r="658" spans="2:38">
      <c r="B658" s="539" t="str">
        <f>IF($C$1="ENG","door leaf with width 100","полотно розміром 100")</f>
        <v>полотно розміром 100</v>
      </c>
      <c r="C658" s="540"/>
      <c r="D658" s="409">
        <f t="shared" ref="D658:D670" si="99">IF(AC658="","",(1-$W$2)*(AC658/1.2))</f>
        <v>600</v>
      </c>
      <c r="E658" s="92">
        <f t="shared" ref="E658:E669" si="100">IF($W$5=0.2,D658*1.2,D658)/$W$4</f>
        <v>720</v>
      </c>
      <c r="F658" s="26"/>
      <c r="G658" s="26"/>
      <c r="H658" s="10"/>
      <c r="I658" s="8"/>
      <c r="J658" s="8"/>
      <c r="K658" s="8"/>
      <c r="AC658" s="298">
        <v>720</v>
      </c>
      <c r="AD658" s="298">
        <v>720</v>
      </c>
      <c r="AE658" s="289">
        <f>AD658/AC658-1</f>
        <v>0</v>
      </c>
      <c r="AF658" s="289"/>
      <c r="AG658" s="289"/>
      <c r="AH658" s="289"/>
      <c r="AI658" s="289"/>
      <c r="AJ658" s="289"/>
      <c r="AK658" s="289"/>
      <c r="AL658" s="289"/>
    </row>
    <row r="659" spans="2:38">
      <c r="B659" s="539" t="str">
        <f>IF($C$1="ENG","Ventilation cut","вентиляційний підріз")</f>
        <v>вентиляційний підріз</v>
      </c>
      <c r="C659" s="540"/>
      <c r="D659" s="404">
        <f t="shared" si="99"/>
        <v>141.66666666666669</v>
      </c>
      <c r="E659" s="66">
        <f t="shared" si="100"/>
        <v>170.00000000000003</v>
      </c>
      <c r="F659" s="26"/>
      <c r="G659" s="26"/>
      <c r="I659" s="59"/>
      <c r="J659" s="28"/>
      <c r="AC659" s="298">
        <v>170</v>
      </c>
      <c r="AD659" s="298">
        <v>170</v>
      </c>
      <c r="AE659" s="289">
        <f t="shared" ref="AE659:AE669" si="101">AD659/AC659-1</f>
        <v>0</v>
      </c>
      <c r="AF659" s="289"/>
      <c r="AG659" s="289"/>
      <c r="AH659" s="289"/>
      <c r="AI659" s="289"/>
      <c r="AJ659" s="289"/>
      <c r="AK659" s="289"/>
      <c r="AL659" s="289"/>
    </row>
    <row r="660" spans="2:38">
      <c r="B660" s="532" t="str">
        <f>IF($C$1="ENG","glazing Graphite / Bronze","скло Графіт / Бронза")</f>
        <v>скло Графіт / Бронза</v>
      </c>
      <c r="C660" s="533"/>
      <c r="D660" s="406">
        <f t="shared" si="99"/>
        <v>458.33333333333337</v>
      </c>
      <c r="E660" s="93">
        <f>IF($W$5=0.2,D660*1.2,D660)/$W$4</f>
        <v>550</v>
      </c>
      <c r="F660" s="26"/>
      <c r="G660" s="26"/>
      <c r="H660" s="5"/>
      <c r="AC660" s="298">
        <v>550</v>
      </c>
      <c r="AD660" s="298">
        <v>550</v>
      </c>
      <c r="AE660" s="289">
        <f t="shared" si="101"/>
        <v>0</v>
      </c>
      <c r="AF660" s="289"/>
      <c r="AG660" s="289"/>
      <c r="AH660" s="289"/>
      <c r="AI660" s="289"/>
      <c r="AJ660" s="289"/>
      <c r="AK660" s="289"/>
      <c r="AL660" s="289"/>
    </row>
    <row r="661" spans="2:38">
      <c r="B661" s="532" t="str">
        <f>IF($C$1="ENG","glazing Lacobel black ","скло Lacobel чорне")</f>
        <v>скло Lacobel чорне</v>
      </c>
      <c r="C661" s="533"/>
      <c r="D661" s="406">
        <f t="shared" si="99"/>
        <v>458.33333333333337</v>
      </c>
      <c r="E661" s="93">
        <f>IF($W$5=0.2,D661*1.2,D661)/$W$4</f>
        <v>550</v>
      </c>
      <c r="F661" s="26"/>
      <c r="G661" s="26"/>
      <c r="H661" s="5"/>
      <c r="AC661" s="298">
        <v>550</v>
      </c>
      <c r="AD661" s="298">
        <v>550</v>
      </c>
      <c r="AE661" s="289"/>
      <c r="AF661" s="289"/>
      <c r="AG661" s="289"/>
      <c r="AH661" s="289"/>
      <c r="AI661" s="289"/>
      <c r="AJ661" s="289"/>
      <c r="AK661" s="289"/>
      <c r="AL661" s="289"/>
    </row>
    <row r="662" spans="2:38">
      <c r="B662" s="532" t="str">
        <f>IF($C$1="ENG","door lock Soft","замок Soft")</f>
        <v>замок Soft</v>
      </c>
      <c r="C662" s="533"/>
      <c r="D662" s="406">
        <f t="shared" si="99"/>
        <v>458.33333333333337</v>
      </c>
      <c r="E662" s="93">
        <f t="shared" si="100"/>
        <v>550</v>
      </c>
      <c r="F662" s="26"/>
      <c r="G662" s="26"/>
      <c r="H662" s="5"/>
      <c r="AC662" s="298">
        <v>550</v>
      </c>
      <c r="AD662" s="298">
        <v>550</v>
      </c>
      <c r="AE662" s="289">
        <f t="shared" si="101"/>
        <v>0</v>
      </c>
      <c r="AF662" s="289"/>
      <c r="AG662" s="289"/>
      <c r="AH662" s="289"/>
      <c r="AI662" s="289"/>
      <c r="AJ662" s="289"/>
      <c r="AK662" s="289"/>
      <c r="AL662" s="289"/>
    </row>
    <row r="663" spans="2:38">
      <c r="B663" s="532" t="str">
        <f>IF($C$1="ENG","door lock Soft black","замок Soft чорн.")</f>
        <v>замок Soft чорн.</v>
      </c>
      <c r="C663" s="533"/>
      <c r="D663" s="406">
        <f t="shared" ref="D663" si="102">IF(AC663="","",(1-$W$2)*(AC663/1.2))</f>
        <v>566.66666666666674</v>
      </c>
      <c r="E663" s="93">
        <f t="shared" ref="E663" si="103">IF($W$5=0.2,D663*1.2,D663)/$W$4</f>
        <v>680.00000000000011</v>
      </c>
      <c r="F663" s="26"/>
      <c r="G663" s="26"/>
      <c r="H663" s="5"/>
      <c r="AC663" s="298">
        <v>680</v>
      </c>
      <c r="AD663" s="298"/>
      <c r="AE663" s="289"/>
      <c r="AF663" s="289"/>
      <c r="AG663" s="289"/>
      <c r="AH663" s="289"/>
      <c r="AI663" s="289"/>
      <c r="AJ663" s="289"/>
      <c r="AK663" s="289"/>
      <c r="AL663" s="289"/>
    </row>
    <row r="664" spans="2:38">
      <c r="B664" s="532" t="str">
        <f>IF($C$1="ENG","door lock Magnet","замок Magnet")</f>
        <v>замок Magnet</v>
      </c>
      <c r="C664" s="533"/>
      <c r="D664" s="406">
        <f t="shared" si="99"/>
        <v>666.66666666666674</v>
      </c>
      <c r="E664" s="93">
        <f t="shared" si="100"/>
        <v>800.00000000000011</v>
      </c>
      <c r="F664" s="26"/>
      <c r="G664" s="26"/>
      <c r="H664" s="5"/>
      <c r="AC664" s="298">
        <v>800</v>
      </c>
      <c r="AD664" s="298">
        <v>800</v>
      </c>
      <c r="AE664" s="289">
        <f t="shared" si="101"/>
        <v>0</v>
      </c>
      <c r="AF664" s="289"/>
      <c r="AG664" s="289"/>
      <c r="AH664" s="289"/>
      <c r="AI664" s="289"/>
      <c r="AJ664" s="289"/>
      <c r="AK664" s="289"/>
      <c r="AL664" s="289"/>
    </row>
    <row r="665" spans="2:38">
      <c r="B665" s="532" t="s">
        <v>75</v>
      </c>
      <c r="C665" s="533"/>
      <c r="D665" s="406">
        <f t="shared" ref="D665" si="104">IF(AC665="","",(1-$W$2)*(AC665/1.2))</f>
        <v>833.33333333333337</v>
      </c>
      <c r="E665" s="93">
        <f t="shared" ref="E665" si="105">IF($W$5=0.2,D665*1.2,D665)/$W$4</f>
        <v>1000</v>
      </c>
      <c r="F665" s="26"/>
      <c r="G665" s="26"/>
      <c r="H665" s="5"/>
      <c r="AC665" s="298">
        <v>1000</v>
      </c>
      <c r="AD665" s="298"/>
      <c r="AE665" s="289"/>
      <c r="AF665" s="289"/>
      <c r="AG665" s="289"/>
      <c r="AH665" s="289"/>
      <c r="AI665" s="289"/>
      <c r="AJ665" s="289"/>
      <c r="AK665" s="289"/>
      <c r="AL665" s="289"/>
    </row>
    <row r="666" spans="2:38">
      <c r="B666" s="532" t="str">
        <f>IF($C$1="ENG","door handle-lock (for sliding doors)","ручка-замок (для дверей купе)")</f>
        <v>ручка-замок (для дверей купе)</v>
      </c>
      <c r="C666" s="533"/>
      <c r="D666" s="404">
        <f t="shared" si="99"/>
        <v>466.66666666666669</v>
      </c>
      <c r="E666" s="93">
        <f t="shared" si="100"/>
        <v>560</v>
      </c>
      <c r="F666" s="26"/>
      <c r="G666" s="26"/>
      <c r="I666" s="11"/>
      <c r="J666" s="11"/>
      <c r="K666" s="19"/>
      <c r="AC666" s="298">
        <v>560</v>
      </c>
      <c r="AD666" s="298">
        <v>560</v>
      </c>
      <c r="AE666" s="289">
        <f t="shared" si="101"/>
        <v>0</v>
      </c>
      <c r="AF666" s="289"/>
      <c r="AG666" s="289"/>
      <c r="AH666" s="289"/>
      <c r="AI666" s="289"/>
      <c r="AJ666" s="289"/>
      <c r="AK666" s="289"/>
      <c r="AL666" s="289"/>
    </row>
    <row r="667" spans="2:38">
      <c r="B667" s="532" t="str">
        <f>IF($C$1="ENG","cylinder incert","циліндр несиметричний")</f>
        <v>циліндр несиметричний</v>
      </c>
      <c r="C667" s="533"/>
      <c r="D667" s="404">
        <f t="shared" si="99"/>
        <v>325</v>
      </c>
      <c r="E667" s="93">
        <f t="shared" si="100"/>
        <v>390</v>
      </c>
      <c r="F667" s="26"/>
      <c r="G667" s="26"/>
      <c r="AC667" s="298">
        <v>390</v>
      </c>
      <c r="AD667" s="298">
        <v>390</v>
      </c>
      <c r="AE667" s="289">
        <f t="shared" si="101"/>
        <v>0</v>
      </c>
      <c r="AF667" s="289"/>
      <c r="AG667" s="289"/>
      <c r="AH667" s="289"/>
      <c r="AI667" s="289"/>
      <c r="AJ667" s="289"/>
      <c r="AK667" s="289"/>
      <c r="AL667" s="289"/>
    </row>
    <row r="668" spans="2:38">
      <c r="B668" s="532" t="str">
        <f>IF($C$1="ENG","door hindge Prestige (1 unit)","завіса Prestige (1 шт)")</f>
        <v>завіса Prestige (1 шт)</v>
      </c>
      <c r="C668" s="533"/>
      <c r="D668" s="407">
        <f t="shared" si="99"/>
        <v>216.66666666666669</v>
      </c>
      <c r="E668" s="93">
        <f t="shared" si="100"/>
        <v>260</v>
      </c>
      <c r="F668" s="26"/>
      <c r="G668" s="26"/>
      <c r="AC668" s="298">
        <v>260</v>
      </c>
      <c r="AD668" s="298">
        <v>260</v>
      </c>
      <c r="AE668" s="289">
        <f t="shared" si="101"/>
        <v>0</v>
      </c>
      <c r="AF668" s="289"/>
      <c r="AG668" s="289"/>
      <c r="AH668" s="289"/>
      <c r="AI668" s="289"/>
      <c r="AJ668" s="289"/>
      <c r="AK668" s="289"/>
      <c r="AL668" s="289"/>
    </row>
    <row r="669" spans="2:38">
      <c r="B669" s="532" t="str">
        <f>IF($C$1="ENG","door hinge caps (1 set)","накладка на завіси (1 к-т)")</f>
        <v>накладка на завіси (1 к-т)</v>
      </c>
      <c r="C669" s="533"/>
      <c r="D669" s="407">
        <f t="shared" si="99"/>
        <v>66.666666666666671</v>
      </c>
      <c r="E669" s="93">
        <f t="shared" si="100"/>
        <v>80</v>
      </c>
      <c r="F669" s="26"/>
      <c r="G669" s="26"/>
      <c r="AC669" s="298">
        <v>80</v>
      </c>
      <c r="AD669" s="298">
        <v>80</v>
      </c>
      <c r="AE669" s="289">
        <f t="shared" si="101"/>
        <v>0</v>
      </c>
      <c r="AF669" s="289"/>
      <c r="AG669" s="289"/>
      <c r="AH669" s="289"/>
      <c r="AI669" s="289"/>
      <c r="AJ669" s="289"/>
      <c r="AK669" s="289"/>
      <c r="AL669" s="289"/>
    </row>
    <row r="670" spans="2:38">
      <c r="B670" s="532" t="str">
        <f>IF($C$1="ENG","door handle","дверна ручка")</f>
        <v>дверна ручка</v>
      </c>
      <c r="C670" s="533"/>
      <c r="D670" s="408" t="str">
        <f t="shared" si="99"/>
        <v/>
      </c>
      <c r="E670" s="247" t="str">
        <f>IF($C$1="ENG","see Handles Price","див. Таблицю Ручки")</f>
        <v>див. Таблицю Ручки</v>
      </c>
      <c r="F670" s="26"/>
      <c r="G670" s="26"/>
      <c r="AC670" s="289"/>
      <c r="AD670" s="289"/>
      <c r="AE670" s="289"/>
      <c r="AF670" s="289"/>
      <c r="AG670" s="289"/>
      <c r="AH670" s="289"/>
      <c r="AI670" s="289"/>
      <c r="AJ670" s="289"/>
      <c r="AK670" s="289"/>
      <c r="AL670" s="289"/>
    </row>
    <row r="671" spans="2:38" ht="14.25" customHeight="1">
      <c r="C671" s="245"/>
      <c r="D671" s="26"/>
      <c r="E671" s="26"/>
      <c r="F671" s="26"/>
      <c r="G671" s="26"/>
      <c r="H671" s="5"/>
      <c r="T671" s="525" t="str">
        <f>IF($C$1="ENG",CONCATENATE("down to: ",B721),CONCATENATE("вниз до: ",B721))</f>
        <v>вниз до: Полотна збірні: ЛАДА C</v>
      </c>
      <c r="U671" s="525"/>
      <c r="V671" s="525"/>
      <c r="W671" s="525"/>
    </row>
    <row r="672" spans="2:38" ht="14.25" customHeight="1">
      <c r="C672" s="245"/>
      <c r="D672" s="26"/>
      <c r="E672" s="26"/>
      <c r="F672" s="26"/>
      <c r="G672" s="26"/>
      <c r="H672" s="5"/>
    </row>
    <row r="673" spans="3:8" ht="14.25" customHeight="1">
      <c r="C673" s="245"/>
      <c r="D673" s="26"/>
      <c r="E673" s="26"/>
      <c r="F673" s="26"/>
      <c r="G673" s="26"/>
      <c r="H673" s="5"/>
    </row>
    <row r="674" spans="3:8" ht="14.25" customHeight="1">
      <c r="C674" s="245"/>
      <c r="D674" s="26"/>
      <c r="E674" s="26"/>
      <c r="F674" s="26"/>
      <c r="G674" s="26"/>
      <c r="H674" s="5"/>
    </row>
    <row r="675" spans="3:8" ht="14.25" customHeight="1">
      <c r="C675" s="245"/>
      <c r="D675" s="26"/>
      <c r="E675" s="26"/>
      <c r="F675" s="26"/>
      <c r="G675" s="26"/>
      <c r="H675" s="5"/>
    </row>
    <row r="676" spans="3:8" ht="14.25" customHeight="1">
      <c r="C676" s="245"/>
      <c r="D676" s="26"/>
      <c r="E676" s="26"/>
      <c r="F676" s="26"/>
      <c r="G676" s="26"/>
      <c r="H676" s="5"/>
    </row>
    <row r="677" spans="3:8" ht="14.25" customHeight="1">
      <c r="C677" s="245"/>
      <c r="D677" s="26"/>
      <c r="E677" s="26"/>
      <c r="F677" s="26"/>
      <c r="G677" s="26"/>
      <c r="H677" s="5"/>
    </row>
    <row r="678" spans="3:8" ht="14.25" customHeight="1">
      <c r="C678" s="245"/>
      <c r="D678" s="26"/>
      <c r="E678" s="26"/>
      <c r="F678" s="26"/>
      <c r="G678" s="26"/>
      <c r="H678" s="5"/>
    </row>
    <row r="679" spans="3:8" ht="14.25" customHeight="1">
      <c r="C679" s="245"/>
      <c r="D679" s="26"/>
      <c r="E679" s="26"/>
      <c r="F679" s="26"/>
      <c r="G679" s="26"/>
      <c r="H679" s="5"/>
    </row>
    <row r="680" spans="3:8" ht="14.25" customHeight="1">
      <c r="C680" s="245"/>
      <c r="D680" s="26"/>
      <c r="E680" s="26"/>
      <c r="F680" s="26"/>
      <c r="G680" s="26"/>
      <c r="H680" s="5"/>
    </row>
    <row r="681" spans="3:8" ht="14.25" customHeight="1">
      <c r="C681" s="245"/>
      <c r="D681" s="26"/>
      <c r="E681" s="26"/>
      <c r="F681" s="26"/>
      <c r="G681" s="26"/>
      <c r="H681" s="5"/>
    </row>
    <row r="682" spans="3:8" ht="14.25" customHeight="1">
      <c r="C682" s="245"/>
      <c r="D682" s="26"/>
      <c r="E682" s="26"/>
      <c r="F682" s="26"/>
      <c r="G682" s="26"/>
      <c r="H682" s="5"/>
    </row>
    <row r="683" spans="3:8" ht="14.25" customHeight="1">
      <c r="C683" s="245"/>
      <c r="D683" s="26"/>
      <c r="E683" s="26"/>
      <c r="F683" s="26"/>
      <c r="G683" s="26"/>
      <c r="H683" s="5"/>
    </row>
    <row r="684" spans="3:8" ht="14.25" customHeight="1">
      <c r="C684" s="245"/>
      <c r="D684" s="26"/>
      <c r="E684" s="26"/>
      <c r="F684" s="26"/>
      <c r="G684" s="26"/>
      <c r="H684" s="5"/>
    </row>
    <row r="685" spans="3:8" ht="14.25" customHeight="1">
      <c r="C685" s="245"/>
      <c r="D685" s="26"/>
      <c r="E685" s="26"/>
      <c r="F685" s="26"/>
      <c r="G685" s="26"/>
      <c r="H685" s="5"/>
    </row>
    <row r="686" spans="3:8" ht="14.25" customHeight="1">
      <c r="C686" s="245"/>
      <c r="D686" s="26"/>
      <c r="E686" s="26"/>
      <c r="F686" s="26"/>
      <c r="G686" s="26"/>
      <c r="H686" s="5"/>
    </row>
    <row r="687" spans="3:8" ht="14.25" customHeight="1">
      <c r="C687" s="245"/>
      <c r="D687" s="26"/>
      <c r="E687" s="26"/>
      <c r="F687" s="26"/>
      <c r="G687" s="26"/>
      <c r="H687" s="5"/>
    </row>
    <row r="688" spans="3:8" ht="14.25" customHeight="1">
      <c r="C688" s="245"/>
      <c r="D688" s="26"/>
      <c r="E688" s="26"/>
      <c r="F688" s="26"/>
      <c r="G688" s="26"/>
      <c r="H688" s="5"/>
    </row>
    <row r="689" spans="3:8" ht="14.25" customHeight="1">
      <c r="C689" s="245"/>
      <c r="D689" s="26"/>
      <c r="E689" s="26"/>
      <c r="F689" s="26"/>
      <c r="G689" s="26"/>
      <c r="H689" s="5"/>
    </row>
    <row r="690" spans="3:8" ht="14.25" customHeight="1">
      <c r="C690" s="245"/>
      <c r="D690" s="26"/>
      <c r="E690" s="26"/>
      <c r="F690" s="26"/>
      <c r="G690" s="26"/>
      <c r="H690" s="5"/>
    </row>
    <row r="691" spans="3:8" ht="14.25" customHeight="1">
      <c r="C691" s="245"/>
      <c r="D691" s="26"/>
      <c r="E691" s="26"/>
      <c r="F691" s="26"/>
      <c r="G691" s="26"/>
      <c r="H691" s="5"/>
    </row>
    <row r="692" spans="3:8" ht="14.25" customHeight="1">
      <c r="C692" s="245"/>
      <c r="D692" s="26"/>
      <c r="E692" s="26"/>
      <c r="F692" s="26"/>
      <c r="G692" s="26"/>
      <c r="H692" s="5"/>
    </row>
    <row r="693" spans="3:8" ht="14.25" customHeight="1">
      <c r="C693" s="245"/>
      <c r="D693" s="26"/>
      <c r="E693" s="26"/>
      <c r="F693" s="26"/>
      <c r="G693" s="26"/>
      <c r="H693" s="5"/>
    </row>
    <row r="694" spans="3:8" ht="14.25" customHeight="1">
      <c r="C694" s="245"/>
      <c r="D694" s="26"/>
      <c r="E694" s="26"/>
      <c r="F694" s="26"/>
      <c r="G694" s="26"/>
      <c r="H694" s="5"/>
    </row>
    <row r="695" spans="3:8" ht="14.25" customHeight="1">
      <c r="C695" s="245"/>
      <c r="D695" s="26"/>
      <c r="E695" s="26"/>
      <c r="F695" s="26"/>
      <c r="G695" s="26"/>
      <c r="H695" s="5"/>
    </row>
    <row r="696" spans="3:8" ht="14.25" customHeight="1">
      <c r="C696" s="245"/>
      <c r="D696" s="26"/>
      <c r="E696" s="26"/>
      <c r="F696" s="26"/>
      <c r="G696" s="26"/>
      <c r="H696" s="5"/>
    </row>
    <row r="697" spans="3:8" ht="14.25" customHeight="1">
      <c r="C697" s="245"/>
      <c r="D697" s="26"/>
      <c r="E697" s="26"/>
      <c r="F697" s="26"/>
      <c r="G697" s="26"/>
      <c r="H697" s="5"/>
    </row>
    <row r="698" spans="3:8" ht="14.25" customHeight="1">
      <c r="C698" s="245"/>
      <c r="D698" s="26"/>
      <c r="E698" s="26"/>
      <c r="F698" s="26"/>
      <c r="G698" s="26"/>
      <c r="H698" s="5"/>
    </row>
    <row r="699" spans="3:8" ht="14.25" customHeight="1">
      <c r="C699" s="245"/>
      <c r="D699" s="26"/>
      <c r="E699" s="26"/>
      <c r="F699" s="26"/>
      <c r="G699" s="26"/>
      <c r="H699" s="5"/>
    </row>
    <row r="700" spans="3:8" ht="14.25" customHeight="1">
      <c r="C700" s="245"/>
      <c r="D700" s="26"/>
      <c r="E700" s="26"/>
      <c r="F700" s="26"/>
      <c r="G700" s="26"/>
      <c r="H700" s="5"/>
    </row>
    <row r="701" spans="3:8" ht="14.25" customHeight="1">
      <c r="C701" s="245"/>
      <c r="D701" s="26"/>
      <c r="E701" s="26"/>
      <c r="F701" s="26"/>
      <c r="G701" s="26"/>
      <c r="H701" s="5"/>
    </row>
    <row r="702" spans="3:8" ht="14.25" customHeight="1">
      <c r="C702" s="245"/>
      <c r="D702" s="26"/>
      <c r="E702" s="26"/>
      <c r="F702" s="26"/>
      <c r="G702" s="26"/>
      <c r="H702" s="5"/>
    </row>
    <row r="703" spans="3:8" ht="14.25" customHeight="1">
      <c r="C703" s="245"/>
      <c r="D703" s="26"/>
      <c r="E703" s="26"/>
      <c r="F703" s="26"/>
      <c r="G703" s="26"/>
      <c r="H703" s="5"/>
    </row>
    <row r="704" spans="3:8" ht="14.25" customHeight="1">
      <c r="C704" s="245"/>
      <c r="D704" s="26"/>
      <c r="E704" s="26"/>
      <c r="F704" s="26"/>
      <c r="G704" s="26"/>
      <c r="H704" s="5"/>
    </row>
    <row r="705" spans="3:8" ht="14.25" customHeight="1">
      <c r="C705" s="245"/>
      <c r="D705" s="26"/>
      <c r="E705" s="26"/>
      <c r="F705" s="26"/>
      <c r="G705" s="26"/>
      <c r="H705" s="5"/>
    </row>
    <row r="706" spans="3:8" ht="14.25" customHeight="1">
      <c r="C706" s="245"/>
      <c r="D706" s="26"/>
      <c r="E706" s="26"/>
      <c r="F706" s="26"/>
      <c r="G706" s="26"/>
      <c r="H706" s="5"/>
    </row>
    <row r="707" spans="3:8" ht="14.25" customHeight="1">
      <c r="C707" s="245"/>
      <c r="D707" s="26"/>
      <c r="E707" s="26"/>
      <c r="F707" s="26"/>
      <c r="G707" s="26"/>
      <c r="H707" s="5"/>
    </row>
    <row r="708" spans="3:8" ht="14.25" customHeight="1">
      <c r="C708" s="245"/>
      <c r="D708" s="26"/>
      <c r="E708" s="26"/>
      <c r="F708" s="26"/>
      <c r="G708" s="26"/>
      <c r="H708" s="5"/>
    </row>
    <row r="709" spans="3:8" ht="14.25" customHeight="1">
      <c r="C709" s="245"/>
      <c r="D709" s="26"/>
      <c r="E709" s="26"/>
      <c r="F709" s="26"/>
      <c r="G709" s="26"/>
      <c r="H709" s="5"/>
    </row>
    <row r="710" spans="3:8" ht="14.25" customHeight="1">
      <c r="C710" s="245"/>
      <c r="D710" s="26"/>
      <c r="E710" s="26"/>
      <c r="F710" s="26"/>
      <c r="G710" s="26"/>
      <c r="H710" s="5"/>
    </row>
    <row r="711" spans="3:8" ht="14.25" customHeight="1">
      <c r="C711" s="245"/>
      <c r="D711" s="26"/>
      <c r="E711" s="26"/>
      <c r="F711" s="26"/>
      <c r="G711" s="26"/>
      <c r="H711" s="5"/>
    </row>
    <row r="712" spans="3:8" ht="14.25" customHeight="1">
      <c r="C712" s="245"/>
      <c r="D712" s="26"/>
      <c r="E712" s="26"/>
      <c r="F712" s="26"/>
      <c r="G712" s="26"/>
      <c r="H712" s="5"/>
    </row>
    <row r="713" spans="3:8" ht="14.25" customHeight="1">
      <c r="C713" s="245"/>
      <c r="D713" s="26"/>
      <c r="E713" s="26"/>
      <c r="F713" s="26"/>
      <c r="G713" s="26"/>
      <c r="H713" s="5"/>
    </row>
    <row r="714" spans="3:8" ht="14.25" customHeight="1">
      <c r="C714" s="245"/>
      <c r="D714" s="26"/>
      <c r="E714" s="26"/>
      <c r="F714" s="26"/>
      <c r="G714" s="26"/>
      <c r="H714" s="5"/>
    </row>
    <row r="715" spans="3:8" ht="14.25" customHeight="1">
      <c r="C715" s="245"/>
      <c r="D715" s="26"/>
      <c r="E715" s="26"/>
      <c r="F715" s="26"/>
      <c r="G715" s="26"/>
      <c r="H715" s="5"/>
    </row>
    <row r="716" spans="3:8" ht="14.25" customHeight="1">
      <c r="C716" s="245"/>
      <c r="D716" s="26"/>
      <c r="E716" s="26"/>
      <c r="F716" s="26"/>
      <c r="G716" s="26"/>
      <c r="H716" s="5"/>
    </row>
    <row r="717" spans="3:8" ht="14.25" customHeight="1">
      <c r="C717" s="245"/>
      <c r="D717" s="26"/>
      <c r="E717" s="26"/>
      <c r="F717" s="26"/>
      <c r="G717" s="26"/>
      <c r="H717" s="5"/>
    </row>
    <row r="718" spans="3:8" ht="14.25" customHeight="1">
      <c r="C718" s="245"/>
      <c r="D718" s="26"/>
      <c r="E718" s="26"/>
      <c r="F718" s="26"/>
      <c r="G718" s="26"/>
      <c r="H718" s="5"/>
    </row>
    <row r="719" spans="3:8" ht="14.25" customHeight="1">
      <c r="C719" s="245"/>
      <c r="D719" s="26"/>
      <c r="E719" s="26"/>
      <c r="F719" s="26"/>
      <c r="G719" s="26"/>
      <c r="H719" s="5"/>
    </row>
    <row r="720" spans="3:8" ht="14.25" customHeight="1">
      <c r="C720" s="245"/>
      <c r="D720" s="26"/>
      <c r="E720" s="26"/>
      <c r="F720" s="26"/>
      <c r="G720" s="26"/>
      <c r="H720" s="5"/>
    </row>
    <row r="721" spans="1:46" s="8" customFormat="1">
      <c r="B721" s="518" t="str">
        <f>TITLE!C18</f>
        <v>Полотна збірні: ЛАДА C</v>
      </c>
      <c r="C721" s="518"/>
      <c r="D721" s="118"/>
      <c r="E721" s="118"/>
      <c r="F721" s="118"/>
      <c r="G721" s="118"/>
      <c r="H721" s="520"/>
      <c r="I721" s="520"/>
      <c r="J721" s="121"/>
      <c r="K721" s="121"/>
      <c r="L721" s="121"/>
      <c r="M721" s="121"/>
      <c r="N721" s="121"/>
      <c r="O721" s="121"/>
      <c r="P721" s="121"/>
      <c r="Q721" s="121"/>
      <c r="R721" s="121"/>
      <c r="S721" s="121"/>
      <c r="T721" s="529" t="str">
        <f>IF($C$1="ENG",CONCATENATE("up to: ",B647),CONCATENATE("вгору до: ",B647))</f>
        <v>вгору до: Полотна збірні: ЛАДА B</v>
      </c>
      <c r="U721" s="529"/>
      <c r="V721" s="529"/>
      <c r="W721" s="529"/>
      <c r="AN721" s="280"/>
      <c r="AO721" s="280"/>
      <c r="AP721" s="280"/>
      <c r="AQ721" s="280"/>
      <c r="AR721" s="280"/>
      <c r="AS721" s="280"/>
      <c r="AT721" s="280"/>
    </row>
    <row r="722" spans="1:46" s="8" customFormat="1" ht="5.0999999999999996" customHeight="1">
      <c r="B722" s="117"/>
      <c r="C722" s="419"/>
      <c r="D722" s="9"/>
      <c r="E722" s="9"/>
      <c r="F722" s="9"/>
      <c r="G722" s="9"/>
      <c r="H722" s="120"/>
      <c r="I722" s="120"/>
      <c r="T722" s="115"/>
      <c r="U722" s="115"/>
      <c r="V722" s="115"/>
      <c r="W722" s="115"/>
      <c r="AN722" s="280"/>
      <c r="AO722" s="280"/>
      <c r="AP722" s="280"/>
      <c r="AQ722" s="280"/>
      <c r="AR722" s="280"/>
      <c r="AS722" s="280"/>
      <c r="AT722" s="280"/>
    </row>
    <row r="723" spans="1:46" s="8" customFormat="1" ht="12.75" customHeight="1">
      <c r="B723" s="536" t="str">
        <f>IF($C$1="ENG","model","модель")</f>
        <v>модель</v>
      </c>
      <c r="C723" s="122" t="str">
        <f>IF($C$1="ENG","cover:","покриття:")</f>
        <v>покриття:</v>
      </c>
      <c r="D723" s="522" t="str">
        <f>IF($C$1="ENG","Verto-CELL","Verto-CELL")</f>
        <v>Verto-CELL</v>
      </c>
      <c r="E723" s="524"/>
      <c r="F723" s="522" t="str">
        <f>IF($C$1="ENG","UNI-MAT","UNI-MAT")</f>
        <v>UNI-MAT</v>
      </c>
      <c r="G723" s="524"/>
      <c r="H723" s="522" t="str">
        <f>IF($C$1="ENG","RESIST","RESIST")</f>
        <v>RESIST</v>
      </c>
      <c r="I723" s="524"/>
      <c r="J723" s="522" t="str">
        <f>IF($C$1="ENG","Verto LINE-3D","Verto LINE-3D")</f>
        <v>Verto LINE-3D</v>
      </c>
      <c r="K723" s="524"/>
      <c r="L723" s="522" t="str">
        <f>IF($C$1="ENG","ECO Shpon","ЕКО Шпон")</f>
        <v>ЕКО Шпон</v>
      </c>
      <c r="M723" s="524"/>
      <c r="P723" s="1"/>
      <c r="Q723" s="1"/>
      <c r="T723" s="115"/>
      <c r="U723" s="115"/>
      <c r="V723" s="115"/>
      <c r="W723" s="115"/>
      <c r="AN723" s="280"/>
      <c r="AO723" s="280"/>
      <c r="AP723" s="280"/>
      <c r="AQ723" s="280"/>
      <c r="AR723" s="280"/>
      <c r="AS723" s="280"/>
      <c r="AT723" s="280"/>
    </row>
    <row r="724" spans="1:46" s="8" customFormat="1" ht="24.75" customHeight="1">
      <c r="B724" s="537"/>
      <c r="C724" s="123" t="str">
        <f>IF($C$1="ENG","filling:","заповнення:")</f>
        <v>заповнення:</v>
      </c>
      <c r="D724" s="527" t="str">
        <f>IF($C$1="ENG","softwood","клеєний сосновий брус")</f>
        <v>клеєний сосновий брус</v>
      </c>
      <c r="E724" s="528"/>
      <c r="F724" s="527" t="str">
        <f>IF($C$1="ENG","softwood","клеєний сосновий брус")</f>
        <v>клеєний сосновий брус</v>
      </c>
      <c r="G724" s="528"/>
      <c r="H724" s="527" t="str">
        <f>IF($C$1="ENG","softwood","клеєний сосновий брус")</f>
        <v>клеєний сосновий брус</v>
      </c>
      <c r="I724" s="528"/>
      <c r="J724" s="527" t="str">
        <f>IF($C$1="ENG","softwood","клеєний сосновий брус")</f>
        <v>клеєний сосновий брус</v>
      </c>
      <c r="K724" s="528"/>
      <c r="L724" s="527" t="str">
        <f>IF($C$1="ENG","softwood","клеєний сосновий брус")</f>
        <v>клеєний сосновий брус</v>
      </c>
      <c r="M724" s="528"/>
      <c r="P724" s="1"/>
      <c r="Q724" s="1"/>
      <c r="T724" s="115"/>
      <c r="U724" s="115"/>
      <c r="V724" s="115"/>
      <c r="W724" s="115"/>
      <c r="AD724" s="382">
        <f>AD726/AC726-1</f>
        <v>0.13991163475699553</v>
      </c>
      <c r="AE724" s="382">
        <f>AE726/AD726-1</f>
        <v>4.0051679586563305E-2</v>
      </c>
      <c r="AF724" s="382">
        <f>AF726/AE726-1</f>
        <v>8.9440993788819867E-2</v>
      </c>
      <c r="AG724" s="382">
        <f>AG726/AF726-1</f>
        <v>4.903078677309014E-2</v>
      </c>
      <c r="AN724" s="280"/>
      <c r="AO724" s="280"/>
      <c r="AP724" s="280"/>
      <c r="AQ724" s="280"/>
      <c r="AR724" s="280"/>
      <c r="AS724" s="280"/>
      <c r="AT724" s="280"/>
    </row>
    <row r="725" spans="1:46" ht="12.75" customHeight="1">
      <c r="A725" s="8"/>
      <c r="B725" s="538"/>
      <c r="C725" s="124" t="str">
        <f>IF($C$1="ENG","glazing:","скління:")</f>
        <v>скління:</v>
      </c>
      <c r="D725" s="513" t="str">
        <f>IF($C$1="ENG","Satin","Сатин")</f>
        <v>Сатин</v>
      </c>
      <c r="E725" s="516"/>
      <c r="F725" s="513" t="str">
        <f>IF($C$1="ENG","Satin","Сатин")</f>
        <v>Сатин</v>
      </c>
      <c r="G725" s="516"/>
      <c r="H725" s="513" t="str">
        <f>IF($C$1="ENG","Satin","Сатин")</f>
        <v>Сатин</v>
      </c>
      <c r="I725" s="516"/>
      <c r="J725" s="513" t="str">
        <f>IF($C$1="ENG","Satin","Сатин")</f>
        <v>Сатин</v>
      </c>
      <c r="K725" s="516"/>
      <c r="L725" s="513" t="str">
        <f>IF($C$1="ENG","Satin","Сатин")</f>
        <v>Сатин</v>
      </c>
      <c r="M725" s="516"/>
    </row>
    <row r="726" spans="1:46" ht="35.1" customHeight="1">
      <c r="A726" s="8"/>
      <c r="B726" s="16" t="s">
        <v>40</v>
      </c>
      <c r="C726" s="17"/>
      <c r="D726" s="18">
        <f>IF(AC726="","",(1-$W$2)*(AC726/1.2))</f>
        <v>5658.3333333333339</v>
      </c>
      <c r="E726" s="66">
        <f>IF($W$5=0.2,D726*1.2,D726)/$W$4</f>
        <v>6790.0000000000009</v>
      </c>
      <c r="F726" s="18">
        <f>IF(AD726="","",(1-$W$2)*(AD726/1.2))</f>
        <v>6450</v>
      </c>
      <c r="G726" s="66">
        <f>IF($W$5=0.2,F726*1.2,F726)/$W$4</f>
        <v>7740</v>
      </c>
      <c r="H726" s="18">
        <f>IF(AE726="","",(1-$W$2)*(AE726/1.2))</f>
        <v>6708.3333333333339</v>
      </c>
      <c r="I726" s="66">
        <f>IF($W$5=0.2,H726*1.2,H726)/$W$4</f>
        <v>8050</v>
      </c>
      <c r="J726" s="18">
        <f>IF(AF726="","",(1-$W$2)*(AF726/1.2))</f>
        <v>7308.3333333333339</v>
      </c>
      <c r="K726" s="66">
        <f>IF($W$5=0.2,J726*1.2,J726)/$W$4</f>
        <v>8770</v>
      </c>
      <c r="L726" s="18">
        <f>IF(AG726="","",(1-$W$2)*(AG726/1.2))</f>
        <v>7666.666666666667</v>
      </c>
      <c r="M726" s="66">
        <f>IF($W$5=0.2,L726*1.2,L726)/$W$4</f>
        <v>9200</v>
      </c>
      <c r="N726" s="104"/>
      <c r="R726" s="104"/>
      <c r="T726" s="104"/>
      <c r="U726" s="20"/>
      <c r="V726" s="104"/>
      <c r="W726" s="20"/>
      <c r="X726" s="104"/>
      <c r="Y726" s="104"/>
      <c r="Z726" s="104"/>
      <c r="AA726" s="104"/>
      <c r="AB726" s="104"/>
      <c r="AC726" s="332">
        <v>6790</v>
      </c>
      <c r="AD726" s="390">
        <v>7740</v>
      </c>
      <c r="AE726" s="332">
        <v>8050</v>
      </c>
      <c r="AF726" s="332">
        <v>8770</v>
      </c>
      <c r="AG726" s="332">
        <v>9200</v>
      </c>
      <c r="AH726" s="289">
        <v>6790</v>
      </c>
      <c r="AI726" s="289">
        <f>AH726/AC726-1</f>
        <v>0</v>
      </c>
      <c r="AJ726" s="289">
        <v>7740</v>
      </c>
      <c r="AK726" s="289">
        <f>AJ726/AD726-1</f>
        <v>0</v>
      </c>
      <c r="AL726" s="289">
        <v>8050</v>
      </c>
      <c r="AM726" s="1">
        <f>AL726/AE726-1</f>
        <v>0</v>
      </c>
      <c r="AN726" s="30">
        <v>8770</v>
      </c>
      <c r="AO726" s="1">
        <f>AN726/AF726-1</f>
        <v>0</v>
      </c>
      <c r="AP726" s="1">
        <v>9200</v>
      </c>
      <c r="AQ726" s="1">
        <f>AP726/AG726-1</f>
        <v>0</v>
      </c>
    </row>
    <row r="727" spans="1:46" ht="35.1" customHeight="1">
      <c r="A727" s="8"/>
      <c r="B727" s="23" t="s">
        <v>41</v>
      </c>
      <c r="C727" s="24"/>
      <c r="D727" s="25">
        <f>IF(AC727="","",(1-$W$2)*(AC727/1.2))</f>
        <v>5658.3333333333339</v>
      </c>
      <c r="E727" s="69">
        <f>IF($W$5=0.2,D727*1.2,D727)/$W$4</f>
        <v>6790.0000000000009</v>
      </c>
      <c r="F727" s="25">
        <f>IF(AD727="","",(1-$W$2)*(AD727/1.2))</f>
        <v>6450</v>
      </c>
      <c r="G727" s="69">
        <f>IF($W$5=0.2,F727*1.2,F727)/$W$4</f>
        <v>7740</v>
      </c>
      <c r="H727" s="25">
        <f>IF(AE727="","",(1-$W$2)*(AE727/1.2))</f>
        <v>6708.3333333333339</v>
      </c>
      <c r="I727" s="69">
        <f>IF($W$5=0.2,H727*1.2,H727)/$W$4</f>
        <v>8050</v>
      </c>
      <c r="J727" s="25">
        <f>IF(AF727="","",(1-$W$2)*(AF727/1.2))</f>
        <v>7308.3333333333339</v>
      </c>
      <c r="K727" s="69">
        <f>IF($W$5=0.2,J727*1.2,J727)/$W$4</f>
        <v>8770</v>
      </c>
      <c r="L727" s="25">
        <f>IF(AG727="","",(1-$W$2)*(AG727/1.2))</f>
        <v>7666.666666666667</v>
      </c>
      <c r="M727" s="69">
        <f>IF($W$5=0.2,L727*1.2,L727)/$W$4</f>
        <v>9200</v>
      </c>
      <c r="N727" s="104"/>
      <c r="R727" s="104"/>
      <c r="T727" s="104"/>
      <c r="U727" s="20"/>
      <c r="V727" s="104"/>
      <c r="W727" s="20"/>
      <c r="X727" s="104"/>
      <c r="Y727" s="104"/>
      <c r="Z727" s="104"/>
      <c r="AA727" s="104"/>
      <c r="AB727" s="104"/>
      <c r="AC727" s="332">
        <v>6790</v>
      </c>
      <c r="AD727" s="390">
        <v>7740</v>
      </c>
      <c r="AE727" s="332">
        <v>8050</v>
      </c>
      <c r="AF727" s="332">
        <v>8770</v>
      </c>
      <c r="AG727" s="332">
        <v>9200</v>
      </c>
      <c r="AH727" s="289">
        <v>6790</v>
      </c>
      <c r="AI727" s="289">
        <f>AH727/AC727-1</f>
        <v>0</v>
      </c>
      <c r="AJ727" s="289">
        <v>7740</v>
      </c>
      <c r="AK727" s="289">
        <f>AJ727/AD727-1</f>
        <v>0</v>
      </c>
      <c r="AL727" s="289">
        <v>8050</v>
      </c>
      <c r="AM727" s="1">
        <f>AL727/AE727-1</f>
        <v>0</v>
      </c>
      <c r="AN727" s="30">
        <v>8770</v>
      </c>
      <c r="AO727" s="1">
        <f>AN727/AF727-1</f>
        <v>0</v>
      </c>
      <c r="AP727" s="1">
        <v>9200</v>
      </c>
      <c r="AQ727" s="1">
        <f>AP727/AG727-1</f>
        <v>0</v>
      </c>
    </row>
    <row r="728" spans="1:46">
      <c r="C728" s="245"/>
      <c r="D728" s="26"/>
      <c r="E728" s="57"/>
      <c r="F728" s="26"/>
      <c r="G728" s="57"/>
      <c r="H728" s="10"/>
      <c r="I728" s="8"/>
      <c r="J728" s="8"/>
      <c r="K728" s="8"/>
    </row>
    <row r="729" spans="1:46">
      <c r="B729" s="212" t="str">
        <f>IF($C$1="ENG","For additonal charge:","Послуги за додаткову плату:")</f>
        <v>Послуги за додаткову плату:</v>
      </c>
      <c r="C729" s="420"/>
      <c r="D729" s="213"/>
      <c r="E729" s="214"/>
      <c r="F729" s="26"/>
      <c r="G729" s="57"/>
      <c r="H729" s="10"/>
      <c r="I729" s="8"/>
      <c r="J729" s="8"/>
      <c r="K729" s="8"/>
    </row>
    <row r="730" spans="1:46" ht="5.0999999999999996" customHeight="1">
      <c r="B730" s="27"/>
      <c r="C730" s="245"/>
      <c r="D730" s="26"/>
      <c r="E730" s="57"/>
      <c r="F730" s="26"/>
      <c r="G730" s="57"/>
      <c r="H730" s="10"/>
      <c r="I730" s="8"/>
      <c r="J730" s="8"/>
      <c r="K730" s="8"/>
    </row>
    <row r="731" spans="1:46">
      <c r="B731" s="539" t="str">
        <f>IF($C$1="ENG","door leaf with width 100","полотно розміром 100")</f>
        <v>полотно розміром 100</v>
      </c>
      <c r="C731" s="540"/>
      <c r="D731" s="409">
        <f t="shared" ref="D731:D742" si="106">IF(AC731="","",(1-$W$2)*(AC731/1.2))</f>
        <v>600</v>
      </c>
      <c r="E731" s="92">
        <f t="shared" ref="E731:E741" si="107">IF($W$5=0.2,D731*1.2,D731)/$W$4</f>
        <v>720</v>
      </c>
      <c r="F731" s="26"/>
      <c r="G731" s="26"/>
      <c r="H731" s="10"/>
      <c r="I731" s="8"/>
      <c r="J731" s="8"/>
      <c r="K731" s="8"/>
      <c r="AC731" s="289">
        <v>720</v>
      </c>
      <c r="AD731" s="298">
        <v>720</v>
      </c>
      <c r="AE731" s="289">
        <f>AD731/AC731-1</f>
        <v>0</v>
      </c>
      <c r="AF731" s="289"/>
      <c r="AG731" s="289"/>
      <c r="AH731" s="289"/>
      <c r="AI731" s="289"/>
      <c r="AJ731" s="289"/>
      <c r="AK731" s="289"/>
      <c r="AL731" s="289"/>
    </row>
    <row r="732" spans="1:46">
      <c r="B732" s="539" t="str">
        <f>IF($C$1="ENG","Ventilation cut","вентиляційний підріз")</f>
        <v>вентиляційний підріз</v>
      </c>
      <c r="C732" s="540"/>
      <c r="D732" s="404">
        <f t="shared" si="106"/>
        <v>141.66666666666669</v>
      </c>
      <c r="E732" s="66">
        <f t="shared" si="107"/>
        <v>170.00000000000003</v>
      </c>
      <c r="F732" s="26"/>
      <c r="G732" s="26"/>
      <c r="I732" s="59"/>
      <c r="J732" s="28"/>
      <c r="AC732" s="289">
        <v>170</v>
      </c>
      <c r="AD732" s="298">
        <v>170</v>
      </c>
      <c r="AE732" s="289"/>
      <c r="AF732" s="289"/>
      <c r="AG732" s="289"/>
      <c r="AH732" s="289"/>
      <c r="AI732" s="289"/>
      <c r="AJ732" s="289"/>
      <c r="AK732" s="289"/>
      <c r="AL732" s="289"/>
    </row>
    <row r="733" spans="1:46">
      <c r="B733" s="532" t="str">
        <f>IF($C$1="ENG","glazing Graphite / Bronze","скло Графіт / Бронза")</f>
        <v>скло Графіт / Бронза</v>
      </c>
      <c r="C733" s="533"/>
      <c r="D733" s="406">
        <f t="shared" si="106"/>
        <v>458.33333333333337</v>
      </c>
      <c r="E733" s="93">
        <f t="shared" si="107"/>
        <v>550</v>
      </c>
      <c r="F733" s="26"/>
      <c r="G733" s="26"/>
      <c r="H733" s="5"/>
      <c r="AC733" s="289">
        <v>550</v>
      </c>
      <c r="AD733" s="298">
        <v>550</v>
      </c>
      <c r="AE733" s="289"/>
      <c r="AF733" s="289"/>
      <c r="AG733" s="289"/>
      <c r="AH733" s="289"/>
      <c r="AI733" s="289"/>
      <c r="AJ733" s="289"/>
      <c r="AK733" s="289"/>
      <c r="AL733" s="289"/>
    </row>
    <row r="734" spans="1:46">
      <c r="B734" s="532" t="str">
        <f>IF($C$1="ENG","door lock Soft","замок Soft")</f>
        <v>замок Soft</v>
      </c>
      <c r="C734" s="533"/>
      <c r="D734" s="406">
        <f t="shared" si="106"/>
        <v>458.33333333333337</v>
      </c>
      <c r="E734" s="93">
        <f t="shared" si="107"/>
        <v>550</v>
      </c>
      <c r="F734" s="26"/>
      <c r="G734" s="26"/>
      <c r="H734" s="5"/>
      <c r="AC734" s="289">
        <v>550</v>
      </c>
      <c r="AD734" s="298">
        <v>550</v>
      </c>
      <c r="AE734" s="289"/>
      <c r="AF734" s="289"/>
      <c r="AG734" s="289"/>
      <c r="AH734" s="289"/>
      <c r="AI734" s="289"/>
      <c r="AJ734" s="289"/>
      <c r="AK734" s="289"/>
      <c r="AL734" s="289"/>
    </row>
    <row r="735" spans="1:46">
      <c r="B735" s="532" t="str">
        <f>IF($C$1="ENG","door lock Soft black","замок Soft чорн.")</f>
        <v>замок Soft чорн.</v>
      </c>
      <c r="C735" s="533"/>
      <c r="D735" s="406">
        <f t="shared" ref="D735" si="108">IF(AC735="","",(1-$W$2)*(AC735/1.2))</f>
        <v>566.66666666666674</v>
      </c>
      <c r="E735" s="93">
        <f t="shared" ref="E735" si="109">IF($W$5=0.2,D735*1.2,D735)/$W$4</f>
        <v>680.00000000000011</v>
      </c>
      <c r="F735" s="26"/>
      <c r="G735" s="26"/>
      <c r="H735" s="5"/>
      <c r="AC735" s="289">
        <v>680</v>
      </c>
      <c r="AD735" s="298"/>
      <c r="AE735" s="289"/>
      <c r="AF735" s="289"/>
      <c r="AG735" s="289"/>
      <c r="AH735" s="289"/>
      <c r="AI735" s="289"/>
      <c r="AJ735" s="289"/>
      <c r="AK735" s="289"/>
      <c r="AL735" s="289"/>
    </row>
    <row r="736" spans="1:46">
      <c r="B736" s="532" t="str">
        <f>IF($C$1="ENG","door lock Magnet","замок Magnet")</f>
        <v>замок Magnet</v>
      </c>
      <c r="C736" s="533"/>
      <c r="D736" s="406">
        <f t="shared" si="106"/>
        <v>666.66666666666674</v>
      </c>
      <c r="E736" s="93">
        <f t="shared" si="107"/>
        <v>800.00000000000011</v>
      </c>
      <c r="F736" s="26"/>
      <c r="G736" s="26"/>
      <c r="H736" s="5"/>
      <c r="AC736" s="289">
        <v>800</v>
      </c>
      <c r="AD736" s="298">
        <v>800</v>
      </c>
      <c r="AE736" s="289"/>
      <c r="AF736" s="289"/>
      <c r="AG736" s="289"/>
      <c r="AH736" s="289"/>
      <c r="AI736" s="289"/>
      <c r="AJ736" s="289"/>
      <c r="AK736" s="289"/>
      <c r="AL736" s="289"/>
    </row>
    <row r="737" spans="2:38">
      <c r="B737" s="532" t="s">
        <v>75</v>
      </c>
      <c r="C737" s="533"/>
      <c r="D737" s="406">
        <f t="shared" ref="D737" si="110">IF(AC737="","",(1-$W$2)*(AC737/1.2))</f>
        <v>833.33333333333337</v>
      </c>
      <c r="E737" s="93">
        <f t="shared" ref="E737" si="111">IF($W$5=0.2,D737*1.2,D737)/$W$4</f>
        <v>1000</v>
      </c>
      <c r="F737" s="26"/>
      <c r="G737" s="26"/>
      <c r="H737" s="5"/>
      <c r="AC737" s="289">
        <v>1000</v>
      </c>
      <c r="AD737" s="298"/>
      <c r="AE737" s="289"/>
      <c r="AF737" s="289"/>
      <c r="AG737" s="289"/>
      <c r="AH737" s="289"/>
      <c r="AI737" s="289"/>
      <c r="AJ737" s="289"/>
      <c r="AK737" s="289"/>
      <c r="AL737" s="289"/>
    </row>
    <row r="738" spans="2:38">
      <c r="B738" s="532" t="str">
        <f>IF($C$1="ENG","door handle-lock (for sliding doors)","ручка-замок (для дверей купе)")</f>
        <v>ручка-замок (для дверей купе)</v>
      </c>
      <c r="C738" s="533"/>
      <c r="D738" s="404">
        <f t="shared" si="106"/>
        <v>466.66666666666669</v>
      </c>
      <c r="E738" s="93">
        <f t="shared" si="107"/>
        <v>560</v>
      </c>
      <c r="F738" s="26"/>
      <c r="G738" s="26"/>
      <c r="I738" s="11"/>
      <c r="J738" s="11"/>
      <c r="K738" s="19"/>
      <c r="AC738" s="289">
        <v>560</v>
      </c>
      <c r="AD738" s="298">
        <v>560</v>
      </c>
      <c r="AE738" s="289"/>
      <c r="AF738" s="289"/>
      <c r="AG738" s="289"/>
      <c r="AH738" s="289"/>
      <c r="AI738" s="289"/>
      <c r="AJ738" s="289"/>
      <c r="AK738" s="289"/>
      <c r="AL738" s="289"/>
    </row>
    <row r="739" spans="2:38">
      <c r="B739" s="532" t="str">
        <f>IF($C$1="ENG","cylinder incert","циліндр несиметричний")</f>
        <v>циліндр несиметричний</v>
      </c>
      <c r="C739" s="533"/>
      <c r="D739" s="404">
        <f t="shared" si="106"/>
        <v>325</v>
      </c>
      <c r="E739" s="93">
        <f t="shared" si="107"/>
        <v>390</v>
      </c>
      <c r="F739" s="26"/>
      <c r="G739" s="26"/>
      <c r="AC739" s="289">
        <v>390</v>
      </c>
      <c r="AD739" s="298">
        <v>390</v>
      </c>
      <c r="AE739" s="289"/>
      <c r="AF739" s="289"/>
      <c r="AG739" s="289"/>
      <c r="AH739" s="289"/>
      <c r="AI739" s="289"/>
      <c r="AJ739" s="289"/>
      <c r="AK739" s="289"/>
      <c r="AL739" s="289"/>
    </row>
    <row r="740" spans="2:38">
      <c r="B740" s="532" t="str">
        <f>IF($C$1="ENG","door hindge Prestige (1 unit)","завіса Prestige (1 шт)")</f>
        <v>завіса Prestige (1 шт)</v>
      </c>
      <c r="C740" s="533"/>
      <c r="D740" s="407">
        <f t="shared" si="106"/>
        <v>216.66666666666669</v>
      </c>
      <c r="E740" s="93">
        <f t="shared" si="107"/>
        <v>260</v>
      </c>
      <c r="F740" s="26"/>
      <c r="G740" s="26"/>
      <c r="AC740" s="289">
        <v>260</v>
      </c>
      <c r="AD740" s="298">
        <v>260</v>
      </c>
      <c r="AE740" s="289"/>
      <c r="AF740" s="289"/>
      <c r="AG740" s="289"/>
      <c r="AH740" s="289"/>
      <c r="AI740" s="289"/>
      <c r="AJ740" s="289"/>
      <c r="AK740" s="289"/>
      <c r="AL740" s="289"/>
    </row>
    <row r="741" spans="2:38">
      <c r="B741" s="532" t="str">
        <f>IF($C$1="ENG","door hinge caps (1 set)","накладка на завіси (1 к-т)")</f>
        <v>накладка на завіси (1 к-т)</v>
      </c>
      <c r="C741" s="533"/>
      <c r="D741" s="407">
        <f t="shared" si="106"/>
        <v>66.666666666666671</v>
      </c>
      <c r="E741" s="93">
        <f t="shared" si="107"/>
        <v>80</v>
      </c>
      <c r="F741" s="26"/>
      <c r="G741" s="26"/>
      <c r="AC741" s="289">
        <v>80</v>
      </c>
      <c r="AD741" s="298">
        <v>80</v>
      </c>
      <c r="AE741" s="289"/>
      <c r="AF741" s="289"/>
      <c r="AG741" s="289"/>
      <c r="AH741" s="289"/>
      <c r="AI741" s="289"/>
      <c r="AJ741" s="289"/>
      <c r="AK741" s="289"/>
      <c r="AL741" s="289"/>
    </row>
    <row r="742" spans="2:38">
      <c r="B742" s="532" t="str">
        <f>IF($C$1="ENG","door handle","дверна ручка")</f>
        <v>дверна ручка</v>
      </c>
      <c r="C742" s="533"/>
      <c r="D742" s="408" t="str">
        <f t="shared" si="106"/>
        <v/>
      </c>
      <c r="E742" s="247" t="str">
        <f>IF($C$1="ENG","see Handles Price","див. Таблицю Ручки")</f>
        <v>див. Таблицю Ручки</v>
      </c>
      <c r="F742" s="26"/>
      <c r="G742" s="26"/>
      <c r="AC742" s="289"/>
      <c r="AD742" s="289"/>
      <c r="AE742" s="289"/>
      <c r="AF742" s="289"/>
      <c r="AG742" s="289"/>
      <c r="AH742" s="289"/>
      <c r="AI742" s="289"/>
      <c r="AJ742" s="289"/>
      <c r="AK742" s="289"/>
      <c r="AL742" s="289"/>
    </row>
    <row r="743" spans="2:38" ht="14.25" customHeight="1">
      <c r="C743" s="245"/>
      <c r="D743" s="26"/>
      <c r="E743" s="26"/>
      <c r="F743" s="26"/>
      <c r="G743" s="26"/>
      <c r="H743" s="5"/>
      <c r="T743" s="525" t="str">
        <f>IF($C$1="ENG",CONCATENATE("down to: ",B793),CONCATENATE("вниз до: ",B793))</f>
        <v>вниз до: Полотна збірні: ЛАДА D</v>
      </c>
      <c r="U743" s="525"/>
      <c r="V743" s="525"/>
      <c r="W743" s="525"/>
    </row>
    <row r="744" spans="2:38" ht="14.25" customHeight="1">
      <c r="C744" s="245"/>
      <c r="D744" s="26"/>
      <c r="E744" s="26"/>
      <c r="F744" s="26"/>
      <c r="G744" s="26"/>
      <c r="H744" s="5"/>
    </row>
    <row r="745" spans="2:38" ht="14.25" customHeight="1">
      <c r="C745" s="245"/>
      <c r="D745" s="26"/>
      <c r="E745" s="26"/>
      <c r="F745" s="26"/>
      <c r="G745" s="26"/>
      <c r="H745" s="5"/>
    </row>
    <row r="746" spans="2:38" ht="14.25" customHeight="1">
      <c r="C746" s="245"/>
      <c r="D746" s="26"/>
      <c r="E746" s="26"/>
      <c r="F746" s="26"/>
      <c r="G746" s="26"/>
      <c r="H746" s="5"/>
    </row>
    <row r="747" spans="2:38" ht="14.25" customHeight="1">
      <c r="C747" s="245"/>
      <c r="D747" s="26"/>
      <c r="E747" s="26"/>
      <c r="F747" s="26"/>
      <c r="G747" s="26"/>
      <c r="H747" s="5"/>
    </row>
    <row r="748" spans="2:38" ht="14.25" customHeight="1">
      <c r="C748" s="245"/>
      <c r="D748" s="26"/>
      <c r="E748" s="26"/>
      <c r="F748" s="26"/>
      <c r="G748" s="26"/>
      <c r="H748" s="5"/>
    </row>
    <row r="749" spans="2:38" ht="14.25" customHeight="1">
      <c r="C749" s="245"/>
      <c r="D749" s="26"/>
      <c r="E749" s="26"/>
      <c r="F749" s="26"/>
      <c r="G749" s="26"/>
      <c r="H749" s="5"/>
    </row>
    <row r="750" spans="2:38" ht="14.25" customHeight="1">
      <c r="C750" s="245"/>
      <c r="D750" s="26"/>
      <c r="E750" s="26"/>
      <c r="F750" s="26"/>
      <c r="G750" s="26"/>
      <c r="H750" s="5"/>
    </row>
    <row r="751" spans="2:38" ht="14.25" customHeight="1">
      <c r="C751" s="245"/>
      <c r="D751" s="26"/>
      <c r="E751" s="26"/>
      <c r="F751" s="26"/>
      <c r="G751" s="26"/>
      <c r="H751" s="5"/>
    </row>
    <row r="752" spans="2:38" ht="14.25" customHeight="1">
      <c r="C752" s="245"/>
      <c r="D752" s="26"/>
      <c r="E752" s="26"/>
      <c r="F752" s="26"/>
      <c r="G752" s="26"/>
      <c r="H752" s="5"/>
    </row>
    <row r="753" spans="3:8" ht="14.25" customHeight="1">
      <c r="C753" s="245"/>
      <c r="D753" s="26"/>
      <c r="E753" s="26"/>
      <c r="F753" s="26"/>
      <c r="G753" s="26"/>
      <c r="H753" s="5"/>
    </row>
    <row r="754" spans="3:8" ht="14.25" customHeight="1">
      <c r="C754" s="245"/>
      <c r="D754" s="26"/>
      <c r="E754" s="26"/>
      <c r="F754" s="26"/>
      <c r="G754" s="26"/>
      <c r="H754" s="5"/>
    </row>
    <row r="755" spans="3:8" ht="14.25" customHeight="1">
      <c r="C755" s="245"/>
      <c r="D755" s="26"/>
      <c r="E755" s="26"/>
      <c r="F755" s="26"/>
      <c r="G755" s="26"/>
      <c r="H755" s="5"/>
    </row>
    <row r="756" spans="3:8" ht="14.25" customHeight="1">
      <c r="C756" s="245"/>
      <c r="D756" s="26"/>
      <c r="E756" s="26"/>
      <c r="F756" s="26"/>
      <c r="G756" s="26"/>
      <c r="H756" s="5"/>
    </row>
    <row r="757" spans="3:8" ht="14.25" customHeight="1">
      <c r="C757" s="245"/>
      <c r="D757" s="26"/>
      <c r="E757" s="26"/>
      <c r="F757" s="26"/>
      <c r="G757" s="26"/>
      <c r="H757" s="5"/>
    </row>
    <row r="758" spans="3:8" ht="14.25" customHeight="1">
      <c r="C758" s="245"/>
      <c r="D758" s="26"/>
      <c r="E758" s="26"/>
      <c r="F758" s="26"/>
      <c r="G758" s="26"/>
      <c r="H758" s="5"/>
    </row>
    <row r="759" spans="3:8" ht="14.25" customHeight="1">
      <c r="C759" s="245"/>
      <c r="D759" s="26"/>
      <c r="E759" s="26"/>
      <c r="F759" s="26"/>
      <c r="G759" s="26"/>
      <c r="H759" s="5"/>
    </row>
    <row r="760" spans="3:8" ht="14.25" customHeight="1">
      <c r="C760" s="245"/>
      <c r="D760" s="26"/>
      <c r="E760" s="26"/>
      <c r="F760" s="26"/>
      <c r="G760" s="26"/>
      <c r="H760" s="5"/>
    </row>
    <row r="761" spans="3:8" ht="14.25" customHeight="1">
      <c r="C761" s="245"/>
      <c r="D761" s="26"/>
      <c r="E761" s="26"/>
      <c r="F761" s="26"/>
      <c r="G761" s="26"/>
      <c r="H761" s="5"/>
    </row>
    <row r="762" spans="3:8" ht="14.25" customHeight="1">
      <c r="C762" s="245"/>
      <c r="D762" s="26"/>
      <c r="E762" s="26"/>
      <c r="F762" s="26"/>
      <c r="G762" s="26"/>
      <c r="H762" s="5"/>
    </row>
    <row r="763" spans="3:8" ht="14.25" customHeight="1">
      <c r="C763" s="245"/>
      <c r="D763" s="26"/>
      <c r="E763" s="26"/>
      <c r="F763" s="26"/>
      <c r="G763" s="26"/>
      <c r="H763" s="5"/>
    </row>
    <row r="764" spans="3:8" ht="14.25" customHeight="1">
      <c r="C764" s="245"/>
      <c r="D764" s="26"/>
      <c r="E764" s="26"/>
      <c r="F764" s="26"/>
      <c r="G764" s="26"/>
      <c r="H764" s="5"/>
    </row>
    <row r="765" spans="3:8" ht="14.25" customHeight="1">
      <c r="C765" s="245"/>
      <c r="D765" s="26"/>
      <c r="E765" s="26"/>
      <c r="F765" s="26"/>
      <c r="G765" s="26"/>
      <c r="H765" s="5"/>
    </row>
    <row r="766" spans="3:8" ht="14.25" customHeight="1">
      <c r="C766" s="245"/>
      <c r="D766" s="26"/>
      <c r="E766" s="26"/>
      <c r="F766" s="26"/>
      <c r="G766" s="26"/>
      <c r="H766" s="5"/>
    </row>
    <row r="767" spans="3:8" ht="14.25" customHeight="1">
      <c r="C767" s="245"/>
      <c r="D767" s="26"/>
      <c r="E767" s="26"/>
      <c r="F767" s="26"/>
      <c r="G767" s="26"/>
      <c r="H767" s="5"/>
    </row>
    <row r="768" spans="3:8" ht="14.25" customHeight="1">
      <c r="C768" s="245"/>
      <c r="D768" s="26"/>
      <c r="E768" s="26"/>
      <c r="F768" s="26"/>
      <c r="G768" s="26"/>
      <c r="H768" s="5"/>
    </row>
    <row r="769" spans="3:8" ht="14.25" customHeight="1">
      <c r="C769" s="245"/>
      <c r="D769" s="26"/>
      <c r="E769" s="26"/>
      <c r="F769" s="26"/>
      <c r="G769" s="26"/>
      <c r="H769" s="5"/>
    </row>
    <row r="770" spans="3:8" ht="14.25" customHeight="1">
      <c r="C770" s="245"/>
      <c r="D770" s="26"/>
      <c r="E770" s="26"/>
      <c r="F770" s="26"/>
      <c r="G770" s="26"/>
      <c r="H770" s="5"/>
    </row>
    <row r="771" spans="3:8" ht="14.25" customHeight="1">
      <c r="C771" s="245"/>
      <c r="D771" s="26"/>
      <c r="E771" s="26"/>
      <c r="F771" s="26"/>
      <c r="G771" s="26"/>
      <c r="H771" s="5"/>
    </row>
    <row r="772" spans="3:8" ht="14.25" customHeight="1">
      <c r="C772" s="245"/>
      <c r="D772" s="26"/>
      <c r="E772" s="26"/>
      <c r="F772" s="26"/>
      <c r="G772" s="26"/>
      <c r="H772" s="5"/>
    </row>
    <row r="773" spans="3:8" ht="14.25" customHeight="1">
      <c r="C773" s="245"/>
      <c r="D773" s="26"/>
      <c r="E773" s="26"/>
      <c r="F773" s="26"/>
      <c r="G773" s="26"/>
      <c r="H773" s="5"/>
    </row>
    <row r="774" spans="3:8" ht="14.25" customHeight="1">
      <c r="C774" s="245"/>
      <c r="D774" s="26"/>
      <c r="E774" s="26"/>
      <c r="F774" s="26"/>
      <c r="G774" s="26"/>
      <c r="H774" s="5"/>
    </row>
    <row r="775" spans="3:8" ht="14.25" customHeight="1">
      <c r="C775" s="245"/>
      <c r="D775" s="26"/>
      <c r="E775" s="26"/>
      <c r="F775" s="26"/>
      <c r="G775" s="26"/>
      <c r="H775" s="5"/>
    </row>
    <row r="776" spans="3:8" ht="14.25" customHeight="1">
      <c r="C776" s="245"/>
      <c r="D776" s="26"/>
      <c r="E776" s="26"/>
      <c r="F776" s="26"/>
      <c r="G776" s="26"/>
      <c r="H776" s="5"/>
    </row>
    <row r="777" spans="3:8" ht="14.25" customHeight="1">
      <c r="C777" s="245"/>
      <c r="D777" s="26"/>
      <c r="E777" s="26"/>
      <c r="F777" s="26"/>
      <c r="G777" s="26"/>
      <c r="H777" s="5"/>
    </row>
    <row r="778" spans="3:8" ht="14.25" customHeight="1">
      <c r="C778" s="245"/>
      <c r="D778" s="26"/>
      <c r="E778" s="26"/>
      <c r="F778" s="26"/>
      <c r="G778" s="26"/>
      <c r="H778" s="5"/>
    </row>
    <row r="779" spans="3:8" ht="14.25" customHeight="1">
      <c r="C779" s="245"/>
      <c r="D779" s="26"/>
      <c r="E779" s="26"/>
      <c r="F779" s="26"/>
      <c r="G779" s="26"/>
      <c r="H779" s="5"/>
    </row>
    <row r="780" spans="3:8" ht="14.25" customHeight="1">
      <c r="C780" s="245"/>
      <c r="D780" s="26"/>
      <c r="E780" s="26"/>
      <c r="F780" s="26"/>
      <c r="G780" s="26"/>
      <c r="H780" s="5"/>
    </row>
    <row r="781" spans="3:8" ht="14.25" customHeight="1">
      <c r="C781" s="245"/>
      <c r="D781" s="26"/>
      <c r="E781" s="26"/>
      <c r="F781" s="26"/>
      <c r="G781" s="26"/>
      <c r="H781" s="5"/>
    </row>
    <row r="782" spans="3:8" ht="14.25" customHeight="1">
      <c r="C782" s="245"/>
      <c r="D782" s="26"/>
      <c r="E782" s="26"/>
      <c r="F782" s="26"/>
      <c r="G782" s="26"/>
      <c r="H782" s="5"/>
    </row>
    <row r="783" spans="3:8" ht="14.25" customHeight="1">
      <c r="C783" s="245"/>
      <c r="D783" s="26"/>
      <c r="E783" s="26"/>
      <c r="F783" s="26"/>
      <c r="G783" s="26"/>
      <c r="H783" s="5"/>
    </row>
    <row r="784" spans="3:8" ht="14.25" customHeight="1">
      <c r="C784" s="245"/>
      <c r="D784" s="26"/>
      <c r="E784" s="26"/>
      <c r="F784" s="26"/>
      <c r="G784" s="26"/>
      <c r="H784" s="5"/>
    </row>
    <row r="785" spans="1:46" ht="14.25" customHeight="1">
      <c r="C785" s="245"/>
      <c r="D785" s="26"/>
      <c r="E785" s="26"/>
      <c r="F785" s="26"/>
      <c r="G785" s="26"/>
      <c r="H785" s="5"/>
    </row>
    <row r="786" spans="1:46" ht="14.25" customHeight="1">
      <c r="C786" s="245"/>
      <c r="D786" s="26"/>
      <c r="E786" s="26"/>
      <c r="F786" s="26"/>
      <c r="G786" s="26"/>
      <c r="H786" s="5"/>
    </row>
    <row r="787" spans="1:46" ht="14.25" customHeight="1">
      <c r="C787" s="245"/>
      <c r="D787" s="26"/>
      <c r="E787" s="26"/>
      <c r="F787" s="26"/>
      <c r="G787" s="26"/>
      <c r="H787" s="5"/>
    </row>
    <row r="788" spans="1:46" ht="14.25" customHeight="1">
      <c r="C788" s="245"/>
      <c r="D788" s="26"/>
      <c r="E788" s="26"/>
      <c r="F788" s="26"/>
      <c r="G788" s="26"/>
      <c r="H788" s="5"/>
    </row>
    <row r="789" spans="1:46" ht="14.25" customHeight="1">
      <c r="C789" s="245"/>
      <c r="D789" s="26"/>
      <c r="E789" s="26"/>
      <c r="F789" s="26"/>
      <c r="G789" s="26"/>
      <c r="H789" s="5"/>
    </row>
    <row r="790" spans="1:46" ht="14.25" customHeight="1">
      <c r="C790" s="245"/>
      <c r="D790" s="26"/>
      <c r="E790" s="26"/>
      <c r="F790" s="26"/>
      <c r="G790" s="26"/>
      <c r="H790" s="5"/>
    </row>
    <row r="791" spans="1:46" ht="14.25" customHeight="1">
      <c r="C791" s="245"/>
      <c r="D791" s="26"/>
      <c r="E791" s="26"/>
      <c r="F791" s="26"/>
      <c r="G791" s="26"/>
      <c r="H791" s="5"/>
    </row>
    <row r="792" spans="1:46" ht="14.25" customHeight="1">
      <c r="C792" s="245"/>
      <c r="D792" s="26"/>
      <c r="E792" s="26"/>
      <c r="F792" s="26"/>
      <c r="G792" s="26"/>
      <c r="H792" s="5"/>
    </row>
    <row r="793" spans="1:46" s="8" customFormat="1">
      <c r="B793" s="518" t="str">
        <f>TITLE!C19</f>
        <v>Полотна збірні: ЛАДА D</v>
      </c>
      <c r="C793" s="518"/>
      <c r="D793" s="118"/>
      <c r="E793" s="118"/>
      <c r="F793" s="118"/>
      <c r="G793" s="118"/>
      <c r="H793" s="520"/>
      <c r="I793" s="520"/>
      <c r="J793" s="121"/>
      <c r="K793" s="121"/>
      <c r="L793" s="121"/>
      <c r="M793" s="121"/>
      <c r="N793" s="121"/>
      <c r="O793" s="121"/>
      <c r="P793" s="121"/>
      <c r="Q793" s="121"/>
      <c r="R793" s="121"/>
      <c r="S793" s="121"/>
      <c r="T793" s="529" t="str">
        <f>IF($C$1="ENG",CONCATENATE("up to: ",B721),CONCATENATE("вгору до: ",B721))</f>
        <v>вгору до: Полотна збірні: ЛАДА C</v>
      </c>
      <c r="U793" s="529"/>
      <c r="V793" s="529"/>
      <c r="W793" s="529"/>
      <c r="AN793" s="280"/>
      <c r="AO793" s="280"/>
      <c r="AP793" s="280"/>
      <c r="AQ793" s="280"/>
      <c r="AR793" s="280"/>
      <c r="AS793" s="280"/>
      <c r="AT793" s="280"/>
    </row>
    <row r="794" spans="1:46" s="8" customFormat="1" ht="5.0999999999999996" customHeight="1">
      <c r="B794" s="117"/>
      <c r="C794" s="419"/>
      <c r="D794" s="9"/>
      <c r="E794" s="9"/>
      <c r="F794" s="9"/>
      <c r="G794" s="9"/>
      <c r="H794" s="120"/>
      <c r="I794" s="120"/>
      <c r="T794" s="115"/>
      <c r="U794" s="115"/>
      <c r="V794" s="115"/>
      <c r="W794" s="115"/>
      <c r="AN794" s="280"/>
      <c r="AO794" s="280"/>
      <c r="AP794" s="280"/>
      <c r="AQ794" s="280"/>
      <c r="AR794" s="280"/>
      <c r="AS794" s="280"/>
      <c r="AT794" s="280"/>
    </row>
    <row r="795" spans="1:46" s="8" customFormat="1" ht="12.75" customHeight="1">
      <c r="B795" s="536" t="str">
        <f>IF($C$1="ENG","model","модель")</f>
        <v>модель</v>
      </c>
      <c r="C795" s="122" t="str">
        <f>IF($C$1="ENG","cover:","покриття:")</f>
        <v>покриття:</v>
      </c>
      <c r="D795" s="522" t="str">
        <f>IF($C$1="ENG","Verto-CELL","Verto-CELL")</f>
        <v>Verto-CELL</v>
      </c>
      <c r="E795" s="524"/>
      <c r="F795" s="522" t="str">
        <f>IF($C$1="ENG","UNI-MAT","UNI-MAT")</f>
        <v>UNI-MAT</v>
      </c>
      <c r="G795" s="524"/>
      <c r="H795" s="522" t="str">
        <f>IF($C$1="ENG","RESIST","RESIST")</f>
        <v>RESIST</v>
      </c>
      <c r="I795" s="524"/>
      <c r="J795" s="522" t="str">
        <f>IF($C$1="ENG","Verto LINE-3D","Verto LINE-3D")</f>
        <v>Verto LINE-3D</v>
      </c>
      <c r="K795" s="524"/>
      <c r="L795" s="522" t="str">
        <f>IF($C$1="ENG","ECO Shpon","ЕКО Шпон")</f>
        <v>ЕКО Шпон</v>
      </c>
      <c r="M795" s="524"/>
      <c r="P795" s="1"/>
      <c r="Q795" s="1"/>
      <c r="T795" s="115"/>
      <c r="U795" s="115"/>
      <c r="V795" s="115"/>
      <c r="W795" s="115"/>
      <c r="AN795" s="280"/>
      <c r="AO795" s="280"/>
      <c r="AP795" s="280"/>
      <c r="AQ795" s="280"/>
      <c r="AR795" s="280"/>
      <c r="AS795" s="280"/>
      <c r="AT795" s="280"/>
    </row>
    <row r="796" spans="1:46" s="8" customFormat="1" ht="24.75" customHeight="1">
      <c r="B796" s="537"/>
      <c r="C796" s="123" t="str">
        <f>IF($C$1="ENG","filling:","заповнення:")</f>
        <v>заповнення:</v>
      </c>
      <c r="D796" s="527" t="str">
        <f>IF($C$1="ENG","softwood","клеєний сосновий брус")</f>
        <v>клеєний сосновий брус</v>
      </c>
      <c r="E796" s="528"/>
      <c r="F796" s="527" t="str">
        <f>IF($C$1="ENG","softwood","клеєний сосновий брус")</f>
        <v>клеєний сосновий брус</v>
      </c>
      <c r="G796" s="528"/>
      <c r="H796" s="527" t="str">
        <f>IF($C$1="ENG","softwood","клеєний сосновий брус")</f>
        <v>клеєний сосновий брус</v>
      </c>
      <c r="I796" s="528"/>
      <c r="J796" s="527" t="str">
        <f>IF($C$1="ENG","softwood","клеєний сосновий брус")</f>
        <v>клеєний сосновий брус</v>
      </c>
      <c r="K796" s="528"/>
      <c r="L796" s="527" t="str">
        <f>IF($C$1="ENG","softwood","клеєний сосновий брус")</f>
        <v>клеєний сосновий брус</v>
      </c>
      <c r="M796" s="528"/>
      <c r="P796" s="1"/>
      <c r="Q796" s="1"/>
      <c r="T796" s="115"/>
      <c r="U796" s="115"/>
      <c r="V796" s="115"/>
      <c r="W796" s="115"/>
      <c r="AD796" s="382">
        <f>AD798/AC798-1</f>
        <v>0.13991163475699553</v>
      </c>
      <c r="AE796" s="382">
        <f>AE798/AD798-1</f>
        <v>4.0051679586563305E-2</v>
      </c>
      <c r="AF796" s="382">
        <f>AF798/AE798-1</f>
        <v>8.9440993788819867E-2</v>
      </c>
      <c r="AG796" s="382">
        <f>AG798/AF798-1</f>
        <v>4.7890535917902044E-2</v>
      </c>
      <c r="AN796" s="280"/>
      <c r="AO796" s="280"/>
      <c r="AP796" s="280"/>
      <c r="AQ796" s="280"/>
      <c r="AR796" s="280"/>
      <c r="AS796" s="280"/>
      <c r="AT796" s="280"/>
    </row>
    <row r="797" spans="1:46" ht="12.75" customHeight="1">
      <c r="A797" s="8"/>
      <c r="B797" s="538"/>
      <c r="C797" s="124" t="str">
        <f>IF($C$1="ENG","glazing:","скління:")</f>
        <v>скління:</v>
      </c>
      <c r="D797" s="513" t="str">
        <f>IF($C$1="ENG","Satin","Сатин")</f>
        <v>Сатин</v>
      </c>
      <c r="E797" s="516"/>
      <c r="F797" s="513" t="str">
        <f>IF($C$1="ENG","Satin","Сатин")</f>
        <v>Сатин</v>
      </c>
      <c r="G797" s="516"/>
      <c r="H797" s="513" t="str">
        <f>IF($C$1="ENG","Satin","Сатин")</f>
        <v>Сатин</v>
      </c>
      <c r="I797" s="516"/>
      <c r="J797" s="513" t="str">
        <f>IF($C$1="ENG","Satin","Сатин")</f>
        <v>Сатин</v>
      </c>
      <c r="K797" s="516"/>
      <c r="L797" s="513" t="str">
        <f>IF($C$1="ENG","Satin","Сатин")</f>
        <v>Сатин</v>
      </c>
      <c r="M797" s="516"/>
    </row>
    <row r="798" spans="1:46" ht="35.1" customHeight="1">
      <c r="A798" s="8"/>
      <c r="B798" s="16" t="s">
        <v>42</v>
      </c>
      <c r="C798" s="17"/>
      <c r="D798" s="18">
        <f>IF(AC798="","",(1-$W$2)*(AC798/1.2))</f>
        <v>5658.3333333333339</v>
      </c>
      <c r="E798" s="66">
        <f>IF($W$5=0.2,D798*1.2,D798)/$W$4</f>
        <v>6790.0000000000009</v>
      </c>
      <c r="F798" s="18">
        <f>IF(AD798="","",(1-$W$2)*(AD798/1.2))</f>
        <v>6450</v>
      </c>
      <c r="G798" s="66">
        <f>IF($W$5=0.2,F798*1.2,F798)/$W$4</f>
        <v>7740</v>
      </c>
      <c r="H798" s="18">
        <f>IF(AE798="","",(1-$W$2)*(AE798/1.2))</f>
        <v>6708.3333333333339</v>
      </c>
      <c r="I798" s="66">
        <f>IF($W$5=0.2,H798*1.2,H798)/$W$4</f>
        <v>8050</v>
      </c>
      <c r="J798" s="18">
        <f>IF(AF798="","",(1-$W$2)*(AF798/1.2))</f>
        <v>7308.3333333333339</v>
      </c>
      <c r="K798" s="66">
        <f>IF($W$5=0.2,J798*1.2,J798)/$W$4</f>
        <v>8770</v>
      </c>
      <c r="L798" s="18">
        <f>IF(AG798="","",(1-$W$2)*(AG798/1.2))</f>
        <v>7658.3333333333339</v>
      </c>
      <c r="M798" s="66">
        <f>IF($W$5=0.2,L798*1.2,L798)/$W$4</f>
        <v>9190</v>
      </c>
      <c r="N798" s="104"/>
      <c r="R798" s="104"/>
      <c r="T798" s="104"/>
      <c r="U798" s="20"/>
      <c r="V798" s="104"/>
      <c r="W798" s="20"/>
      <c r="X798" s="104"/>
      <c r="Y798" s="104"/>
      <c r="Z798" s="104"/>
      <c r="AA798" s="104"/>
      <c r="AB798" s="104"/>
      <c r="AC798" s="332">
        <v>6790</v>
      </c>
      <c r="AD798" s="390">
        <v>7740</v>
      </c>
      <c r="AE798" s="332">
        <v>8050</v>
      </c>
      <c r="AF798" s="332">
        <v>8770</v>
      </c>
      <c r="AG798" s="332">
        <v>9190</v>
      </c>
      <c r="AH798" s="289">
        <v>6790</v>
      </c>
      <c r="AI798" s="289">
        <f>AH798/AC798-1</f>
        <v>0</v>
      </c>
      <c r="AJ798" s="289">
        <v>7740</v>
      </c>
      <c r="AK798" s="289">
        <f>AJ798/AD798-1</f>
        <v>0</v>
      </c>
      <c r="AL798" s="289">
        <v>8050</v>
      </c>
      <c r="AM798" s="1">
        <f>AL798/AE798-1</f>
        <v>0</v>
      </c>
      <c r="AN798" s="30">
        <v>8770</v>
      </c>
      <c r="AO798" s="1">
        <f>AN798/AF798-1</f>
        <v>0</v>
      </c>
      <c r="AP798" s="1">
        <v>9190</v>
      </c>
      <c r="AQ798" s="1">
        <f>AP798/AG798-1</f>
        <v>0</v>
      </c>
    </row>
    <row r="799" spans="1:46" ht="35.1" customHeight="1">
      <c r="A799" s="8"/>
      <c r="B799" s="23" t="s">
        <v>31</v>
      </c>
      <c r="C799" s="24"/>
      <c r="D799" s="25">
        <f>IF(AC799="","",(1-$W$2)*(AC799/1.2))</f>
        <v>5608.3333333333339</v>
      </c>
      <c r="E799" s="69">
        <f>IF($W$5=0.2,D799*1.2,D799)/$W$4</f>
        <v>6730.0000000000009</v>
      </c>
      <c r="F799" s="25">
        <f>IF(AD799="","",(1-$W$2)*(AD799/1.2))</f>
        <v>6391.666666666667</v>
      </c>
      <c r="G799" s="69">
        <f>IF($W$5=0.2,F799*1.2,F799)/$W$4</f>
        <v>7670</v>
      </c>
      <c r="H799" s="25">
        <f>IF(AE799="","",(1-$W$2)*(AE799/1.2))</f>
        <v>6675</v>
      </c>
      <c r="I799" s="69">
        <f>IF($W$5=0.2,H799*1.2,H799)/$W$4</f>
        <v>8010</v>
      </c>
      <c r="J799" s="25">
        <f>IF(AF799="","",(1-$W$2)*(AF799/1.2))</f>
        <v>7208.3333333333339</v>
      </c>
      <c r="K799" s="69">
        <f>IF($W$5=0.2,J799*1.2,J799)/$W$4</f>
        <v>8650</v>
      </c>
      <c r="L799" s="25">
        <f>IF(AG799="","",(1-$W$2)*(AG799/1.2))</f>
        <v>7641.666666666667</v>
      </c>
      <c r="M799" s="69">
        <f>IF($W$5=0.2,L799*1.2,L799)/$W$4</f>
        <v>9170</v>
      </c>
      <c r="N799" s="104"/>
      <c r="R799" s="104"/>
      <c r="T799" s="104"/>
      <c r="U799" s="20"/>
      <c r="V799" s="104"/>
      <c r="W799" s="20"/>
      <c r="X799" s="104"/>
      <c r="Y799" s="104"/>
      <c r="Z799" s="104"/>
      <c r="AA799" s="104"/>
      <c r="AB799" s="104"/>
      <c r="AC799" s="332">
        <v>6730</v>
      </c>
      <c r="AD799" s="390">
        <v>7670</v>
      </c>
      <c r="AE799" s="332">
        <v>8010</v>
      </c>
      <c r="AF799" s="332">
        <v>8650</v>
      </c>
      <c r="AG799" s="332">
        <v>9170</v>
      </c>
      <c r="AH799" s="289">
        <v>6730</v>
      </c>
      <c r="AI799" s="289">
        <f>AH799/AC799-1</f>
        <v>0</v>
      </c>
      <c r="AJ799" s="289">
        <v>7670</v>
      </c>
      <c r="AK799" s="289">
        <f>AJ799/AD799-1</f>
        <v>0</v>
      </c>
      <c r="AL799" s="289">
        <v>8010</v>
      </c>
      <c r="AM799" s="1">
        <f>AL799/AE799-1</f>
        <v>0</v>
      </c>
      <c r="AN799" s="30">
        <v>8650</v>
      </c>
      <c r="AO799" s="1">
        <f>AN799/AF799-1</f>
        <v>0</v>
      </c>
      <c r="AP799" s="1">
        <v>9170</v>
      </c>
      <c r="AQ799" s="1">
        <f>AP799/AG799-1</f>
        <v>0</v>
      </c>
    </row>
    <row r="800" spans="1:46">
      <c r="C800" s="245"/>
      <c r="D800" s="26"/>
      <c r="E800" s="57"/>
      <c r="F800" s="26"/>
      <c r="G800" s="57"/>
      <c r="H800" s="10"/>
      <c r="I800" s="8"/>
      <c r="J800" s="8"/>
      <c r="K800" s="8"/>
    </row>
    <row r="801" spans="2:38">
      <c r="B801" s="212" t="str">
        <f>IF($C$1="ENG","For additonal charge:","Послуги за додаткову плату:")</f>
        <v>Послуги за додаткову плату:</v>
      </c>
      <c r="C801" s="420"/>
      <c r="D801" s="213"/>
      <c r="E801" s="214"/>
      <c r="F801" s="26"/>
      <c r="G801" s="57"/>
      <c r="H801" s="10"/>
      <c r="I801" s="8"/>
      <c r="J801" s="8"/>
      <c r="K801" s="8"/>
    </row>
    <row r="802" spans="2:38" ht="5.0999999999999996" customHeight="1">
      <c r="B802" s="27"/>
      <c r="C802" s="245"/>
      <c r="D802" s="26"/>
      <c r="E802" s="57"/>
      <c r="F802" s="26"/>
      <c r="G802" s="57"/>
      <c r="H802" s="10"/>
      <c r="I802" s="8"/>
      <c r="J802" s="8"/>
      <c r="K802" s="8"/>
    </row>
    <row r="803" spans="2:38">
      <c r="B803" s="539" t="str">
        <f>IF($C$1="ENG","door leaf with width 100","полотно розміром 100")</f>
        <v>полотно розміром 100</v>
      </c>
      <c r="C803" s="540"/>
      <c r="D803" s="409">
        <f t="shared" ref="D803:D815" si="112">IF(AC803="","",(1-$W$2)*(AC803/1.2))</f>
        <v>600</v>
      </c>
      <c r="E803" s="92">
        <f t="shared" ref="E803:E814" si="113">IF($W$5=0.2,D803*1.2,D803)/$W$4</f>
        <v>720</v>
      </c>
      <c r="F803" s="26"/>
      <c r="G803" s="26"/>
      <c r="H803" s="10"/>
      <c r="I803" s="8"/>
      <c r="J803" s="8"/>
      <c r="K803" s="8"/>
      <c r="AC803" s="298">
        <v>720</v>
      </c>
      <c r="AD803" s="298">
        <v>720</v>
      </c>
      <c r="AE803" s="289">
        <f>AD803/AC803-1</f>
        <v>0</v>
      </c>
      <c r="AF803" s="289"/>
      <c r="AG803" s="289"/>
      <c r="AH803" s="289"/>
      <c r="AI803" s="289"/>
      <c r="AJ803" s="289"/>
      <c r="AK803" s="289"/>
      <c r="AL803" s="289"/>
    </row>
    <row r="804" spans="2:38">
      <c r="B804" s="539" t="str">
        <f>IF($C$1="ENG","Ventilation cut","вентиляційний підріз")</f>
        <v>вентиляційний підріз</v>
      </c>
      <c r="C804" s="540"/>
      <c r="D804" s="404">
        <f t="shared" si="112"/>
        <v>141.66666666666669</v>
      </c>
      <c r="E804" s="66">
        <f t="shared" si="113"/>
        <v>170.00000000000003</v>
      </c>
      <c r="F804" s="26"/>
      <c r="G804" s="26"/>
      <c r="I804" s="59"/>
      <c r="J804" s="28"/>
      <c r="AC804" s="298">
        <v>170</v>
      </c>
      <c r="AD804" s="298">
        <v>170</v>
      </c>
      <c r="AE804" s="289">
        <f t="shared" ref="AE804:AE814" si="114">AD804/AC804-1</f>
        <v>0</v>
      </c>
      <c r="AF804" s="289"/>
      <c r="AG804" s="289"/>
      <c r="AH804" s="289"/>
      <c r="AI804" s="289"/>
      <c r="AJ804" s="289"/>
      <c r="AK804" s="289"/>
      <c r="AL804" s="289"/>
    </row>
    <row r="805" spans="2:38">
      <c r="B805" s="532" t="str">
        <f>IF($C$1="ENG","glazing Graphite / Bronze","скло Графіт / Бронза")</f>
        <v>скло Графіт / Бронза</v>
      </c>
      <c r="C805" s="533"/>
      <c r="D805" s="406">
        <f t="shared" si="112"/>
        <v>458.33333333333337</v>
      </c>
      <c r="E805" s="93">
        <f t="shared" si="113"/>
        <v>550</v>
      </c>
      <c r="F805" s="26"/>
      <c r="G805" s="26"/>
      <c r="H805" s="5"/>
      <c r="AC805" s="298">
        <v>550</v>
      </c>
      <c r="AD805" s="298">
        <v>550</v>
      </c>
      <c r="AE805" s="289">
        <f t="shared" si="114"/>
        <v>0</v>
      </c>
      <c r="AF805" s="289"/>
      <c r="AG805" s="289"/>
      <c r="AH805" s="289"/>
      <c r="AI805" s="289"/>
      <c r="AJ805" s="289"/>
      <c r="AK805" s="289"/>
      <c r="AL805" s="289"/>
    </row>
    <row r="806" spans="2:38">
      <c r="B806" s="532" t="str">
        <f>IF($C$1="ENG","glazing Lacobel black ","скло Lacobel чорне")</f>
        <v>скло Lacobel чорне</v>
      </c>
      <c r="C806" s="533"/>
      <c r="D806" s="406">
        <f t="shared" si="112"/>
        <v>458.33333333333337</v>
      </c>
      <c r="E806" s="93">
        <f>IF($W$5=0.2,D806*1.2,D806)/$W$4</f>
        <v>550</v>
      </c>
      <c r="F806" s="26"/>
      <c r="G806" s="26"/>
      <c r="H806" s="5"/>
      <c r="AC806" s="298">
        <v>550</v>
      </c>
      <c r="AD806" s="298">
        <v>550</v>
      </c>
      <c r="AE806" s="289"/>
      <c r="AF806" s="289"/>
      <c r="AG806" s="289"/>
      <c r="AH806" s="289"/>
      <c r="AI806" s="289"/>
      <c r="AJ806" s="289"/>
      <c r="AK806" s="289"/>
      <c r="AL806" s="289"/>
    </row>
    <row r="807" spans="2:38">
      <c r="B807" s="532" t="str">
        <f>IF($C$1="ENG","door lock Soft","замок Soft")</f>
        <v>замок Soft</v>
      </c>
      <c r="C807" s="533"/>
      <c r="D807" s="406">
        <f t="shared" si="112"/>
        <v>458.33333333333337</v>
      </c>
      <c r="E807" s="93">
        <f t="shared" si="113"/>
        <v>550</v>
      </c>
      <c r="F807" s="26"/>
      <c r="G807" s="26"/>
      <c r="H807" s="5"/>
      <c r="AC807" s="298">
        <v>550</v>
      </c>
      <c r="AD807" s="298">
        <v>550</v>
      </c>
      <c r="AE807" s="289">
        <f t="shared" si="114"/>
        <v>0</v>
      </c>
      <c r="AF807" s="289"/>
      <c r="AG807" s="289"/>
      <c r="AH807" s="289"/>
      <c r="AI807" s="289"/>
      <c r="AJ807" s="289"/>
      <c r="AK807" s="289"/>
      <c r="AL807" s="289"/>
    </row>
    <row r="808" spans="2:38">
      <c r="B808" s="532" t="str">
        <f>IF($C$1="ENG","door lock Soft black","замок Soft чорн.")</f>
        <v>замок Soft чорн.</v>
      </c>
      <c r="C808" s="533"/>
      <c r="D808" s="406">
        <f t="shared" ref="D808" si="115">IF(AC808="","",(1-$W$2)*(AC808/1.2))</f>
        <v>566.66666666666674</v>
      </c>
      <c r="E808" s="93">
        <f t="shared" ref="E808" si="116">IF($W$5=0.2,D808*1.2,D808)/$W$4</f>
        <v>680.00000000000011</v>
      </c>
      <c r="F808" s="26"/>
      <c r="G808" s="26"/>
      <c r="H808" s="5"/>
      <c r="AC808" s="298">
        <v>680</v>
      </c>
      <c r="AD808" s="298"/>
      <c r="AE808" s="289"/>
      <c r="AF808" s="289"/>
      <c r="AG808" s="289"/>
      <c r="AH808" s="289"/>
      <c r="AI808" s="289"/>
      <c r="AJ808" s="289"/>
      <c r="AK808" s="289"/>
      <c r="AL808" s="289"/>
    </row>
    <row r="809" spans="2:38">
      <c r="B809" s="532" t="str">
        <f>IF($C$1="ENG","door lock Magnet","замок Magnet")</f>
        <v>замок Magnet</v>
      </c>
      <c r="C809" s="533"/>
      <c r="D809" s="406">
        <f t="shared" si="112"/>
        <v>666.66666666666674</v>
      </c>
      <c r="E809" s="93">
        <f t="shared" si="113"/>
        <v>800.00000000000011</v>
      </c>
      <c r="F809" s="26"/>
      <c r="G809" s="26"/>
      <c r="H809" s="5"/>
      <c r="AC809" s="298">
        <v>800</v>
      </c>
      <c r="AD809" s="298">
        <v>800</v>
      </c>
      <c r="AE809" s="289">
        <f t="shared" si="114"/>
        <v>0</v>
      </c>
      <c r="AF809" s="289"/>
      <c r="AG809" s="289"/>
      <c r="AH809" s="289"/>
      <c r="AI809" s="289"/>
      <c r="AJ809" s="289"/>
      <c r="AK809" s="289"/>
      <c r="AL809" s="289"/>
    </row>
    <row r="810" spans="2:38">
      <c r="B810" s="532" t="s">
        <v>75</v>
      </c>
      <c r="C810" s="533"/>
      <c r="D810" s="406">
        <f t="shared" si="112"/>
        <v>833.33333333333337</v>
      </c>
      <c r="E810" s="93">
        <f t="shared" si="113"/>
        <v>1000</v>
      </c>
      <c r="F810" s="26"/>
      <c r="G810" s="26"/>
      <c r="H810" s="5"/>
      <c r="AC810" s="298">
        <v>1000</v>
      </c>
      <c r="AD810" s="298"/>
      <c r="AE810" s="289"/>
      <c r="AF810" s="289"/>
      <c r="AG810" s="289"/>
      <c r="AH810" s="289"/>
      <c r="AI810" s="289"/>
      <c r="AJ810" s="289"/>
      <c r="AK810" s="289"/>
      <c r="AL810" s="289"/>
    </row>
    <row r="811" spans="2:38">
      <c r="B811" s="532" t="str">
        <f>IF($C$1="ENG","door handle-lock (for sliding doors)","ручка-замок (для дверей купе)")</f>
        <v>ручка-замок (для дверей купе)</v>
      </c>
      <c r="C811" s="533"/>
      <c r="D811" s="404">
        <f t="shared" si="112"/>
        <v>466.66666666666669</v>
      </c>
      <c r="E811" s="93">
        <f t="shared" si="113"/>
        <v>560</v>
      </c>
      <c r="F811" s="26"/>
      <c r="G811" s="26"/>
      <c r="I811" s="11"/>
      <c r="J811" s="11"/>
      <c r="K811" s="19"/>
      <c r="AC811" s="298">
        <v>560</v>
      </c>
      <c r="AD811" s="298">
        <v>560</v>
      </c>
      <c r="AE811" s="289">
        <f t="shared" si="114"/>
        <v>0</v>
      </c>
      <c r="AF811" s="289"/>
      <c r="AG811" s="289"/>
      <c r="AH811" s="289"/>
      <c r="AI811" s="289"/>
      <c r="AJ811" s="289"/>
      <c r="AK811" s="289"/>
      <c r="AL811" s="289"/>
    </row>
    <row r="812" spans="2:38">
      <c r="B812" s="532" t="str">
        <f>IF($C$1="ENG","cylinder incert","циліндр несиметричний")</f>
        <v>циліндр несиметричний</v>
      </c>
      <c r="C812" s="533"/>
      <c r="D812" s="404">
        <f t="shared" si="112"/>
        <v>325</v>
      </c>
      <c r="E812" s="93">
        <f t="shared" si="113"/>
        <v>390</v>
      </c>
      <c r="F812" s="26"/>
      <c r="G812" s="26"/>
      <c r="AC812" s="298">
        <v>390</v>
      </c>
      <c r="AD812" s="298">
        <v>390</v>
      </c>
      <c r="AE812" s="289">
        <f t="shared" si="114"/>
        <v>0</v>
      </c>
      <c r="AF812" s="289"/>
      <c r="AG812" s="289"/>
      <c r="AH812" s="289"/>
      <c r="AI812" s="289"/>
      <c r="AJ812" s="289"/>
      <c r="AK812" s="289"/>
      <c r="AL812" s="289"/>
    </row>
    <row r="813" spans="2:38">
      <c r="B813" s="532" t="str">
        <f>IF($C$1="ENG","door hindge Prestige (1 unit)","завіса Prestige (1 шт)")</f>
        <v>завіса Prestige (1 шт)</v>
      </c>
      <c r="C813" s="533"/>
      <c r="D813" s="407">
        <f t="shared" si="112"/>
        <v>216.66666666666669</v>
      </c>
      <c r="E813" s="93">
        <f t="shared" si="113"/>
        <v>260</v>
      </c>
      <c r="F813" s="26"/>
      <c r="G813" s="26"/>
      <c r="AC813" s="298">
        <v>260</v>
      </c>
      <c r="AD813" s="298">
        <v>260</v>
      </c>
      <c r="AE813" s="289">
        <f t="shared" si="114"/>
        <v>0</v>
      </c>
      <c r="AF813" s="289"/>
      <c r="AG813" s="289"/>
      <c r="AH813" s="289"/>
      <c r="AI813" s="289"/>
      <c r="AJ813" s="289"/>
      <c r="AK813" s="289"/>
      <c r="AL813" s="289"/>
    </row>
    <row r="814" spans="2:38">
      <c r="B814" s="532" t="str">
        <f>IF($C$1="ENG","door hinge caps (1 set)","накладка на завіси (1 к-т)")</f>
        <v>накладка на завіси (1 к-т)</v>
      </c>
      <c r="C814" s="533"/>
      <c r="D814" s="407">
        <f t="shared" si="112"/>
        <v>66.666666666666671</v>
      </c>
      <c r="E814" s="93">
        <f t="shared" si="113"/>
        <v>80</v>
      </c>
      <c r="F814" s="26"/>
      <c r="G814" s="26"/>
      <c r="AC814" s="298">
        <v>80</v>
      </c>
      <c r="AD814" s="298">
        <v>80</v>
      </c>
      <c r="AE814" s="289">
        <f t="shared" si="114"/>
        <v>0</v>
      </c>
      <c r="AF814" s="289"/>
      <c r="AG814" s="289"/>
      <c r="AH814" s="289"/>
      <c r="AI814" s="289"/>
      <c r="AJ814" s="289"/>
      <c r="AK814" s="289"/>
      <c r="AL814" s="289"/>
    </row>
    <row r="815" spans="2:38">
      <c r="B815" s="532" t="str">
        <f>IF($C$1="ENG","door handle","дверна ручка")</f>
        <v>дверна ручка</v>
      </c>
      <c r="C815" s="533"/>
      <c r="D815" s="408" t="str">
        <f t="shared" si="112"/>
        <v/>
      </c>
      <c r="E815" s="247" t="str">
        <f>IF($C$1="ENG","see Handles Price","див. Таблицю Ручки")</f>
        <v>див. Таблицю Ручки</v>
      </c>
      <c r="F815" s="26"/>
      <c r="G815" s="26"/>
      <c r="AC815" s="332"/>
      <c r="AD815" s="289"/>
      <c r="AE815" s="289"/>
      <c r="AF815" s="289"/>
      <c r="AG815" s="289"/>
      <c r="AH815" s="289"/>
      <c r="AI815" s="289"/>
      <c r="AJ815" s="289"/>
      <c r="AK815" s="289"/>
      <c r="AL815" s="289"/>
    </row>
    <row r="816" spans="2:38" ht="14.25" customHeight="1">
      <c r="C816" s="245"/>
      <c r="D816" s="26"/>
      <c r="E816" s="26"/>
      <c r="F816" s="26"/>
      <c r="G816" s="26"/>
      <c r="H816" s="5"/>
      <c r="T816" s="525" t="str">
        <f>IF($C$1="ENG",CONCATENATE("down to: ",B866),CONCATENATE("вниз до: ",B866))</f>
        <v>вниз до: Полотна збірні: НІКА</v>
      </c>
      <c r="U816" s="525"/>
      <c r="V816" s="525"/>
      <c r="W816" s="525"/>
    </row>
    <row r="817" spans="3:8" ht="14.25" customHeight="1">
      <c r="C817" s="245"/>
      <c r="D817" s="26"/>
      <c r="E817" s="26"/>
      <c r="F817" s="26"/>
      <c r="G817" s="26"/>
      <c r="H817" s="5"/>
    </row>
    <row r="818" spans="3:8" ht="14.25" customHeight="1">
      <c r="C818" s="245"/>
      <c r="D818" s="26"/>
      <c r="E818" s="26"/>
      <c r="F818" s="26"/>
      <c r="G818" s="26"/>
      <c r="H818" s="5"/>
    </row>
    <row r="819" spans="3:8" ht="14.25" customHeight="1">
      <c r="C819" s="245"/>
      <c r="D819" s="26"/>
      <c r="E819" s="26"/>
      <c r="F819" s="26"/>
      <c r="G819" s="26"/>
      <c r="H819" s="5"/>
    </row>
    <row r="820" spans="3:8" ht="14.25" customHeight="1">
      <c r="C820" s="245"/>
      <c r="D820" s="26"/>
      <c r="E820" s="26"/>
      <c r="F820" s="26"/>
      <c r="G820" s="26"/>
      <c r="H820" s="5"/>
    </row>
    <row r="821" spans="3:8" ht="14.25" customHeight="1">
      <c r="C821" s="245"/>
      <c r="D821" s="26"/>
      <c r="E821" s="26"/>
      <c r="F821" s="26"/>
      <c r="G821" s="26"/>
      <c r="H821" s="5"/>
    </row>
    <row r="822" spans="3:8" ht="14.25" customHeight="1">
      <c r="C822" s="245"/>
      <c r="D822" s="26"/>
      <c r="E822" s="26"/>
      <c r="F822" s="26"/>
      <c r="G822" s="26"/>
      <c r="H822" s="5"/>
    </row>
    <row r="823" spans="3:8" ht="14.25" customHeight="1">
      <c r="C823" s="245"/>
      <c r="D823" s="26"/>
      <c r="E823" s="26"/>
      <c r="F823" s="26"/>
      <c r="G823" s="26"/>
      <c r="H823" s="5"/>
    </row>
    <row r="824" spans="3:8" ht="14.25" customHeight="1">
      <c r="C824" s="245"/>
      <c r="D824" s="26"/>
      <c r="E824" s="26"/>
      <c r="F824" s="26"/>
      <c r="G824" s="26"/>
      <c r="H824" s="5"/>
    </row>
    <row r="825" spans="3:8" ht="14.25" customHeight="1">
      <c r="C825" s="245"/>
      <c r="D825" s="26"/>
      <c r="E825" s="26"/>
      <c r="F825" s="26"/>
      <c r="G825" s="26"/>
      <c r="H825" s="5"/>
    </row>
    <row r="826" spans="3:8" ht="14.25" customHeight="1">
      <c r="C826" s="245"/>
      <c r="D826" s="26"/>
      <c r="E826" s="26"/>
      <c r="F826" s="26"/>
      <c r="G826" s="26"/>
      <c r="H826" s="5"/>
    </row>
    <row r="827" spans="3:8" ht="14.25" customHeight="1">
      <c r="C827" s="245"/>
      <c r="D827" s="26"/>
      <c r="E827" s="26"/>
      <c r="F827" s="26"/>
      <c r="G827" s="26"/>
      <c r="H827" s="5"/>
    </row>
    <row r="828" spans="3:8" ht="14.25" customHeight="1">
      <c r="C828" s="245"/>
      <c r="D828" s="26"/>
      <c r="E828" s="26"/>
      <c r="F828" s="26"/>
      <c r="G828" s="26"/>
      <c r="H828" s="5"/>
    </row>
    <row r="829" spans="3:8" ht="14.25" customHeight="1">
      <c r="C829" s="245"/>
      <c r="D829" s="26"/>
      <c r="E829" s="26"/>
      <c r="F829" s="26"/>
      <c r="G829" s="26"/>
      <c r="H829" s="5"/>
    </row>
    <row r="830" spans="3:8" ht="14.25" customHeight="1">
      <c r="C830" s="245"/>
      <c r="D830" s="26"/>
      <c r="E830" s="26"/>
      <c r="F830" s="26"/>
      <c r="G830" s="26"/>
      <c r="H830" s="5"/>
    </row>
    <row r="831" spans="3:8" ht="14.25" customHeight="1">
      <c r="C831" s="245"/>
      <c r="D831" s="26"/>
      <c r="E831" s="26"/>
      <c r="F831" s="26"/>
      <c r="G831" s="26"/>
      <c r="H831" s="5"/>
    </row>
    <row r="832" spans="3:8" ht="14.25" customHeight="1">
      <c r="C832" s="245"/>
      <c r="D832" s="26"/>
      <c r="E832" s="26"/>
      <c r="F832" s="26"/>
      <c r="G832" s="26"/>
      <c r="H832" s="5"/>
    </row>
    <row r="833" spans="3:8" ht="14.25" customHeight="1">
      <c r="C833" s="245"/>
      <c r="D833" s="26"/>
      <c r="E833" s="26"/>
      <c r="F833" s="26"/>
      <c r="G833" s="26"/>
      <c r="H833" s="5"/>
    </row>
    <row r="834" spans="3:8" ht="14.25" customHeight="1">
      <c r="C834" s="245"/>
      <c r="D834" s="26"/>
      <c r="E834" s="26"/>
      <c r="F834" s="26"/>
      <c r="G834" s="26"/>
      <c r="H834" s="5"/>
    </row>
    <row r="835" spans="3:8" ht="14.25" customHeight="1">
      <c r="C835" s="245"/>
      <c r="D835" s="26"/>
      <c r="E835" s="26"/>
      <c r="F835" s="26"/>
      <c r="G835" s="26"/>
      <c r="H835" s="5"/>
    </row>
    <row r="836" spans="3:8" ht="14.25" customHeight="1">
      <c r="C836" s="245"/>
      <c r="D836" s="26"/>
      <c r="E836" s="26"/>
      <c r="F836" s="26"/>
      <c r="G836" s="26"/>
      <c r="H836" s="5"/>
    </row>
    <row r="837" spans="3:8" ht="14.25" customHeight="1">
      <c r="C837" s="245"/>
      <c r="D837" s="26"/>
      <c r="E837" s="26"/>
      <c r="F837" s="26"/>
      <c r="G837" s="26"/>
      <c r="H837" s="5"/>
    </row>
    <row r="838" spans="3:8" ht="14.25" customHeight="1">
      <c r="C838" s="245"/>
      <c r="D838" s="26"/>
      <c r="E838" s="26"/>
      <c r="F838" s="26"/>
      <c r="G838" s="26"/>
      <c r="H838" s="5"/>
    </row>
    <row r="839" spans="3:8" ht="14.25" customHeight="1">
      <c r="C839" s="245"/>
      <c r="D839" s="26"/>
      <c r="E839" s="26"/>
      <c r="F839" s="26"/>
      <c r="G839" s="26"/>
      <c r="H839" s="5"/>
    </row>
    <row r="840" spans="3:8" ht="14.25" customHeight="1">
      <c r="C840" s="245"/>
      <c r="D840" s="26"/>
      <c r="E840" s="26"/>
      <c r="F840" s="26"/>
      <c r="G840" s="26"/>
      <c r="H840" s="5"/>
    </row>
    <row r="841" spans="3:8" ht="14.25" customHeight="1">
      <c r="C841" s="245"/>
      <c r="D841" s="26"/>
      <c r="E841" s="26"/>
      <c r="F841" s="26"/>
      <c r="G841" s="26"/>
      <c r="H841" s="5"/>
    </row>
    <row r="842" spans="3:8" ht="14.25" customHeight="1">
      <c r="C842" s="245"/>
      <c r="D842" s="26"/>
      <c r="E842" s="26"/>
      <c r="F842" s="26"/>
      <c r="G842" s="26"/>
      <c r="H842" s="5"/>
    </row>
    <row r="843" spans="3:8" ht="14.25" customHeight="1">
      <c r="C843" s="245"/>
      <c r="D843" s="26"/>
      <c r="E843" s="26"/>
      <c r="F843" s="26"/>
      <c r="G843" s="26"/>
      <c r="H843" s="5"/>
    </row>
    <row r="844" spans="3:8" ht="14.25" customHeight="1">
      <c r="C844" s="245"/>
      <c r="D844" s="26"/>
      <c r="E844" s="26"/>
      <c r="F844" s="26"/>
      <c r="G844" s="26"/>
      <c r="H844" s="5"/>
    </row>
    <row r="845" spans="3:8" ht="14.25" customHeight="1">
      <c r="C845" s="245"/>
      <c r="D845" s="26"/>
      <c r="E845" s="26"/>
      <c r="F845" s="26"/>
      <c r="G845" s="26"/>
      <c r="H845" s="5"/>
    </row>
    <row r="846" spans="3:8" ht="14.25" customHeight="1">
      <c r="C846" s="245"/>
      <c r="D846" s="26"/>
      <c r="E846" s="26"/>
      <c r="F846" s="26"/>
      <c r="G846" s="26"/>
      <c r="H846" s="5"/>
    </row>
    <row r="847" spans="3:8" ht="14.25" customHeight="1">
      <c r="C847" s="245"/>
      <c r="D847" s="26"/>
      <c r="E847" s="26"/>
      <c r="F847" s="26"/>
      <c r="G847" s="26"/>
      <c r="H847" s="5"/>
    </row>
    <row r="848" spans="3:8" ht="14.25" customHeight="1">
      <c r="C848" s="245"/>
      <c r="D848" s="26"/>
      <c r="E848" s="26"/>
      <c r="F848" s="26"/>
      <c r="G848" s="26"/>
      <c r="H848" s="5"/>
    </row>
    <row r="849" spans="3:8" ht="14.25" customHeight="1">
      <c r="C849" s="245"/>
      <c r="D849" s="26"/>
      <c r="E849" s="26"/>
      <c r="F849" s="26"/>
      <c r="G849" s="26"/>
      <c r="H849" s="5"/>
    </row>
    <row r="850" spans="3:8" ht="14.25" customHeight="1">
      <c r="C850" s="245"/>
      <c r="D850" s="26"/>
      <c r="E850" s="26"/>
      <c r="F850" s="26"/>
      <c r="G850" s="26"/>
      <c r="H850" s="5"/>
    </row>
    <row r="851" spans="3:8" ht="14.25" customHeight="1">
      <c r="C851" s="245"/>
      <c r="D851" s="26"/>
      <c r="E851" s="26"/>
      <c r="F851" s="26"/>
      <c r="G851" s="26"/>
      <c r="H851" s="5"/>
    </row>
    <row r="852" spans="3:8" ht="14.25" customHeight="1">
      <c r="C852" s="245"/>
      <c r="D852" s="26"/>
      <c r="E852" s="26"/>
      <c r="F852" s="26"/>
      <c r="G852" s="26"/>
      <c r="H852" s="5"/>
    </row>
    <row r="853" spans="3:8" ht="14.25" customHeight="1">
      <c r="C853" s="245"/>
      <c r="D853" s="26"/>
      <c r="E853" s="26"/>
      <c r="F853" s="26"/>
      <c r="G853" s="26"/>
      <c r="H853" s="5"/>
    </row>
    <row r="854" spans="3:8" ht="14.25" customHeight="1">
      <c r="C854" s="245"/>
      <c r="D854" s="26"/>
      <c r="E854" s="26"/>
      <c r="F854" s="26"/>
      <c r="G854" s="26"/>
      <c r="H854" s="5"/>
    </row>
    <row r="855" spans="3:8" ht="14.25" customHeight="1">
      <c r="C855" s="245"/>
      <c r="D855" s="26"/>
      <c r="E855" s="26"/>
      <c r="F855" s="26"/>
      <c r="G855" s="26"/>
      <c r="H855" s="5"/>
    </row>
    <row r="856" spans="3:8" ht="14.25" customHeight="1">
      <c r="C856" s="245"/>
      <c r="D856" s="26"/>
      <c r="E856" s="26"/>
      <c r="F856" s="26"/>
      <c r="G856" s="26"/>
      <c r="H856" s="5"/>
    </row>
    <row r="857" spans="3:8" ht="14.25" customHeight="1">
      <c r="C857" s="245"/>
      <c r="D857" s="26"/>
      <c r="E857" s="26"/>
      <c r="F857" s="26"/>
      <c r="G857" s="26"/>
      <c r="H857" s="5"/>
    </row>
    <row r="858" spans="3:8" ht="14.25" customHeight="1">
      <c r="C858" s="245"/>
      <c r="D858" s="26"/>
      <c r="E858" s="26"/>
      <c r="F858" s="26"/>
      <c r="G858" s="26"/>
      <c r="H858" s="5"/>
    </row>
    <row r="859" spans="3:8" ht="14.25" customHeight="1">
      <c r="C859" s="245"/>
      <c r="D859" s="26"/>
      <c r="E859" s="26"/>
      <c r="F859" s="26"/>
      <c r="G859" s="26"/>
      <c r="H859" s="5"/>
    </row>
    <row r="860" spans="3:8" ht="14.25" customHeight="1">
      <c r="C860" s="245"/>
      <c r="D860" s="26"/>
      <c r="E860" s="26"/>
      <c r="F860" s="26"/>
      <c r="G860" s="26"/>
      <c r="H860" s="5"/>
    </row>
    <row r="861" spans="3:8" ht="14.25" customHeight="1">
      <c r="C861" s="245"/>
      <c r="D861" s="26"/>
      <c r="E861" s="26"/>
      <c r="F861" s="26"/>
      <c r="G861" s="26"/>
      <c r="H861" s="5"/>
    </row>
    <row r="862" spans="3:8" ht="14.25" customHeight="1">
      <c r="C862" s="245"/>
      <c r="D862" s="26"/>
      <c r="E862" s="26"/>
      <c r="F862" s="26"/>
      <c r="G862" s="26"/>
      <c r="H862" s="5"/>
    </row>
    <row r="863" spans="3:8" ht="14.25" customHeight="1">
      <c r="C863" s="245"/>
      <c r="D863" s="26"/>
      <c r="E863" s="26"/>
      <c r="F863" s="26"/>
      <c r="G863" s="26"/>
      <c r="H863" s="5"/>
    </row>
    <row r="864" spans="3:8" ht="14.25" customHeight="1">
      <c r="C864" s="245"/>
      <c r="D864" s="26"/>
      <c r="E864" s="26"/>
      <c r="F864" s="26"/>
      <c r="G864" s="26"/>
      <c r="H864" s="5"/>
    </row>
    <row r="865" spans="1:46" ht="14.25" customHeight="1">
      <c r="C865" s="245"/>
      <c r="D865" s="26"/>
      <c r="E865" s="26"/>
      <c r="F865" s="26"/>
      <c r="G865" s="26"/>
      <c r="H865" s="5"/>
    </row>
    <row r="866" spans="1:46" s="8" customFormat="1">
      <c r="B866" s="518" t="str">
        <f>TITLE!C20</f>
        <v>Полотна збірні: НІКА</v>
      </c>
      <c r="C866" s="518"/>
      <c r="D866" s="118"/>
      <c r="E866" s="118"/>
      <c r="F866" s="118"/>
      <c r="G866" s="118"/>
      <c r="H866" s="520"/>
      <c r="I866" s="520"/>
      <c r="J866" s="121"/>
      <c r="K866" s="121"/>
      <c r="L866" s="121"/>
      <c r="M866" s="121"/>
      <c r="N866" s="121"/>
      <c r="O866" s="121"/>
      <c r="P866" s="121"/>
      <c r="Q866" s="121"/>
      <c r="R866" s="121"/>
      <c r="S866" s="121"/>
      <c r="T866" s="529" t="str">
        <f>IF($C$1="ENG",CONCATENATE("up to: ",B793),CONCATENATE("вгору до: ",B793))</f>
        <v>вгору до: Полотна збірні: ЛАДА D</v>
      </c>
      <c r="U866" s="529"/>
      <c r="V866" s="529"/>
      <c r="W866" s="529"/>
      <c r="AN866" s="280"/>
      <c r="AO866" s="280"/>
      <c r="AP866" s="280"/>
      <c r="AQ866" s="280"/>
      <c r="AR866" s="280"/>
      <c r="AS866" s="280"/>
      <c r="AT866" s="280"/>
    </row>
    <row r="867" spans="1:46" s="8" customFormat="1" ht="5.0999999999999996" customHeight="1">
      <c r="B867" s="117"/>
      <c r="C867" s="419"/>
      <c r="D867" s="9"/>
      <c r="E867" s="9"/>
      <c r="F867" s="9"/>
      <c r="G867" s="9"/>
      <c r="H867" s="120"/>
      <c r="I867" s="120"/>
      <c r="T867" s="115"/>
      <c r="U867" s="115"/>
      <c r="V867" s="115"/>
      <c r="W867" s="115"/>
      <c r="AN867" s="280"/>
      <c r="AO867" s="280"/>
      <c r="AP867" s="280"/>
      <c r="AQ867" s="280"/>
      <c r="AR867" s="280"/>
      <c r="AS867" s="280"/>
      <c r="AT867" s="280"/>
    </row>
    <row r="868" spans="1:46" s="8" customFormat="1" ht="12.75" customHeight="1">
      <c r="B868" s="536" t="str">
        <f>IF($C$1="ENG","model","модель")</f>
        <v>модель</v>
      </c>
      <c r="C868" s="122" t="str">
        <f>IF($C$1="ENG","cover:","покриття:")</f>
        <v>покриття:</v>
      </c>
      <c r="D868" s="522" t="str">
        <f>IF($C$1="ENG","Verto-CELL","Verto-CELL")</f>
        <v>Verto-CELL</v>
      </c>
      <c r="E868" s="524"/>
      <c r="F868" s="522" t="str">
        <f>IF($C$1="ENG","UNI-MAT","UNI-MAT")</f>
        <v>UNI-MAT</v>
      </c>
      <c r="G868" s="524"/>
      <c r="H868" s="522" t="str">
        <f>IF($C$1="ENG","RESIST","RESIST")</f>
        <v>RESIST</v>
      </c>
      <c r="I868" s="524"/>
      <c r="J868" s="522" t="str">
        <f>IF($C$1="ENG","Verto LINE-3D","Verto LINE-3D")</f>
        <v>Verto LINE-3D</v>
      </c>
      <c r="K868" s="524"/>
      <c r="L868" s="522" t="str">
        <f>IF($C$1="ENG","ECO Shpon","ЕКО Шпон")</f>
        <v>ЕКО Шпон</v>
      </c>
      <c r="M868" s="524"/>
      <c r="P868" s="1"/>
      <c r="Q868" s="1"/>
      <c r="T868" s="115"/>
      <c r="U868" s="115"/>
      <c r="V868" s="115"/>
      <c r="W868" s="115"/>
      <c r="AN868" s="280"/>
      <c r="AO868" s="280"/>
      <c r="AP868" s="280"/>
      <c r="AQ868" s="280"/>
      <c r="AR868" s="280"/>
      <c r="AS868" s="280"/>
      <c r="AT868" s="280"/>
    </row>
    <row r="869" spans="1:46" s="8" customFormat="1" ht="24.75" customHeight="1">
      <c r="B869" s="537"/>
      <c r="C869" s="123" t="str">
        <f>IF($C$1="ENG","filling:","заповнення:")</f>
        <v>заповнення:</v>
      </c>
      <c r="D869" s="527" t="str">
        <f>IF($C$1="ENG","softwood","клеєний сосновий брус")</f>
        <v>клеєний сосновий брус</v>
      </c>
      <c r="E869" s="528"/>
      <c r="F869" s="527" t="str">
        <f>IF($C$1="ENG","softwood","клеєний сосновий брус")</f>
        <v>клеєний сосновий брус</v>
      </c>
      <c r="G869" s="528"/>
      <c r="H869" s="527" t="str">
        <f>IF($C$1="ENG","softwood","клеєний сосновий брус")</f>
        <v>клеєний сосновий брус</v>
      </c>
      <c r="I869" s="528"/>
      <c r="J869" s="527" t="str">
        <f>IF($C$1="ENG","softwood","клеєний сосновий брус")</f>
        <v>клеєний сосновий брус</v>
      </c>
      <c r="K869" s="528"/>
      <c r="L869" s="527" t="str">
        <f>IF($C$1="ENG","softwood","клеєний сосновий брус")</f>
        <v>клеєний сосновий брус</v>
      </c>
      <c r="M869" s="528"/>
      <c r="P869" s="1"/>
      <c r="Q869" s="1"/>
      <c r="T869" s="115"/>
      <c r="U869" s="115"/>
      <c r="V869" s="115"/>
      <c r="W869" s="115"/>
      <c r="AD869" s="382">
        <f>AD871/AC871-1</f>
        <v>0.13808801213960553</v>
      </c>
      <c r="AE869" s="382">
        <f>AE871/AD871-1</f>
        <v>3.2000000000000028E-2</v>
      </c>
      <c r="AF869" s="382">
        <f>AF871/AE871-1</f>
        <v>8.5271317829457294E-2</v>
      </c>
      <c r="AG869" s="382">
        <f>AG871/AF871-1</f>
        <v>4.4047619047619113E-2</v>
      </c>
      <c r="AN869" s="280"/>
      <c r="AO869" s="280"/>
      <c r="AP869" s="280"/>
      <c r="AQ869" s="280"/>
      <c r="AR869" s="280"/>
      <c r="AS869" s="280"/>
      <c r="AT869" s="280"/>
    </row>
    <row r="870" spans="1:46" ht="12.75" customHeight="1">
      <c r="A870" s="8"/>
      <c r="B870" s="538"/>
      <c r="C870" s="124" t="str">
        <f>IF($C$1="ENG","glazing:","скління:")</f>
        <v>скління:</v>
      </c>
      <c r="D870" s="513" t="str">
        <f>IF($C$1="ENG","Satin","Сатин")</f>
        <v>Сатин</v>
      </c>
      <c r="E870" s="516"/>
      <c r="F870" s="513" t="str">
        <f>IF($C$1="ENG","Satin","Сатин")</f>
        <v>Сатин</v>
      </c>
      <c r="G870" s="516"/>
      <c r="H870" s="513" t="str">
        <f>IF($C$1="ENG","Satin","Сатин")</f>
        <v>Сатин</v>
      </c>
      <c r="I870" s="516"/>
      <c r="J870" s="513" t="str">
        <f>IF($C$1="ENG","Satin","Сатин")</f>
        <v>Сатин</v>
      </c>
      <c r="K870" s="516"/>
      <c r="L870" s="513" t="str">
        <f>IF($C$1="ENG","Satin","Сатин")</f>
        <v>Сатин</v>
      </c>
      <c r="M870" s="516"/>
    </row>
    <row r="871" spans="1:46" ht="35.1" customHeight="1">
      <c r="A871" s="8"/>
      <c r="B871" s="16" t="s">
        <v>44</v>
      </c>
      <c r="C871" s="17"/>
      <c r="D871" s="18">
        <f>IF(AC871="","",(1-$W$2)*(AC871/1.2))</f>
        <v>5491.666666666667</v>
      </c>
      <c r="E871" s="66">
        <f>IF($W$5=0.2,D871*1.2,D871)/$W$4</f>
        <v>6590</v>
      </c>
      <c r="F871" s="18">
        <f>IF(AD871="","",(1-$W$2)*(AD871/1.2))</f>
        <v>6250</v>
      </c>
      <c r="G871" s="66">
        <f>IF($W$5=0.2,F871*1.2,F871)/$W$4</f>
        <v>7500</v>
      </c>
      <c r="H871" s="18">
        <f>IF(AE871="","",(1-$W$2)*(AE871/1.2))</f>
        <v>6450</v>
      </c>
      <c r="I871" s="66">
        <f>IF($W$5=0.2,H871*1.2,H871)/$W$4</f>
        <v>7740</v>
      </c>
      <c r="J871" s="18">
        <f>IF(AF871="","",(1-$W$2)*(AF871/1.2))</f>
        <v>7000</v>
      </c>
      <c r="K871" s="66">
        <f>IF($W$5=0.2,J871*1.2,J871)/$W$4</f>
        <v>8400</v>
      </c>
      <c r="L871" s="18">
        <f>IF(AG871="","",(1-$W$2)*(AG871/1.2))</f>
        <v>7308.3333333333339</v>
      </c>
      <c r="M871" s="66">
        <f>IF($W$5=0.2,L871*1.2,L871)/$W$4</f>
        <v>8770</v>
      </c>
      <c r="N871" s="104"/>
      <c r="R871" s="104"/>
      <c r="T871" s="104"/>
      <c r="U871" s="20"/>
      <c r="V871" s="104"/>
      <c r="W871" s="20"/>
      <c r="X871" s="104"/>
      <c r="Y871" s="104"/>
      <c r="Z871" s="104"/>
      <c r="AA871" s="104"/>
      <c r="AB871" s="104"/>
      <c r="AC871" s="332">
        <v>6590</v>
      </c>
      <c r="AD871" s="390">
        <v>7500</v>
      </c>
      <c r="AE871" s="332">
        <v>7740</v>
      </c>
      <c r="AF871" s="332">
        <v>8400</v>
      </c>
      <c r="AG871" s="332">
        <v>8770</v>
      </c>
      <c r="AH871" s="289">
        <v>6590</v>
      </c>
      <c r="AI871" s="289">
        <f>AH871/AC871-1</f>
        <v>0</v>
      </c>
      <c r="AJ871" s="289">
        <v>7500</v>
      </c>
      <c r="AK871" s="289">
        <f>AJ871/AD871-1</f>
        <v>0</v>
      </c>
      <c r="AL871" s="289">
        <v>7740</v>
      </c>
      <c r="AM871" s="289">
        <f>AL871/AE871-1</f>
        <v>0</v>
      </c>
      <c r="AN871" s="30">
        <f>AF871/100*12+AF871</f>
        <v>9408</v>
      </c>
      <c r="AO871" s="1">
        <f>AN871/AF871-1</f>
        <v>0.12000000000000011</v>
      </c>
      <c r="AP871" s="30">
        <v>8770</v>
      </c>
      <c r="AQ871" s="1">
        <f>AP871/AG871-1</f>
        <v>0</v>
      </c>
    </row>
    <row r="872" spans="1:46" ht="35.1" customHeight="1">
      <c r="A872" s="8"/>
      <c r="B872" s="23" t="s">
        <v>45</v>
      </c>
      <c r="C872" s="24"/>
      <c r="D872" s="25">
        <f>IF(AC872="","",(1-$W$2)*(AC872/1.2))</f>
        <v>5491.666666666667</v>
      </c>
      <c r="E872" s="69">
        <f>IF($W$5=0.2,D872*1.2,D872)/$W$4</f>
        <v>6590</v>
      </c>
      <c r="F872" s="25">
        <f>IF(AD872="","",(1-$W$2)*(AD872/1.2))</f>
        <v>6250</v>
      </c>
      <c r="G872" s="69">
        <f>IF($W$5=0.2,F872*1.2,F872)/$W$4</f>
        <v>7500</v>
      </c>
      <c r="H872" s="25">
        <f>IF(AE872="","",(1-$W$2)*(AE872/1.2))</f>
        <v>6450</v>
      </c>
      <c r="I872" s="69">
        <f>IF($W$5=0.2,H872*1.2,H872)/$W$4</f>
        <v>7740</v>
      </c>
      <c r="J872" s="25">
        <f>IF(AF872="","",(1-$W$2)*(AF872/1.2))</f>
        <v>7000</v>
      </c>
      <c r="K872" s="69">
        <f>IF($W$5=0.2,J872*1.2,J872)/$W$4</f>
        <v>8400</v>
      </c>
      <c r="L872" s="25">
        <f>IF(AG872="","",(1-$W$2)*(AG872/1.2))</f>
        <v>7308.3333333333339</v>
      </c>
      <c r="M872" s="69">
        <f>IF($W$5=0.2,L872*1.2,L872)/$W$4</f>
        <v>8770</v>
      </c>
      <c r="N872" s="104"/>
      <c r="R872" s="104"/>
      <c r="T872" s="104"/>
      <c r="U872" s="20"/>
      <c r="V872" s="104"/>
      <c r="W872" s="20"/>
      <c r="X872" s="104"/>
      <c r="Y872" s="104"/>
      <c r="Z872" s="104"/>
      <c r="AA872" s="104"/>
      <c r="AB872" s="104"/>
      <c r="AC872" s="332">
        <v>6590</v>
      </c>
      <c r="AD872" s="390">
        <v>7500</v>
      </c>
      <c r="AE872" s="332">
        <v>7740</v>
      </c>
      <c r="AF872" s="332">
        <v>8400</v>
      </c>
      <c r="AG872" s="332">
        <v>8770</v>
      </c>
      <c r="AH872" s="289">
        <v>6590</v>
      </c>
      <c r="AI872" s="289">
        <f>AH872/AC872-1</f>
        <v>0</v>
      </c>
      <c r="AJ872" s="289">
        <v>7500</v>
      </c>
      <c r="AK872" s="289">
        <f>AJ872/AD872-1</f>
        <v>0</v>
      </c>
      <c r="AL872" s="289">
        <v>7740</v>
      </c>
      <c r="AM872" s="289">
        <f>AL872/AE872-1</f>
        <v>0</v>
      </c>
      <c r="AN872" s="30">
        <f>AF872/100*12+AF872</f>
        <v>9408</v>
      </c>
      <c r="AO872" s="1">
        <f>AN872/AF872-1</f>
        <v>0.12000000000000011</v>
      </c>
      <c r="AP872" s="30">
        <v>8770</v>
      </c>
      <c r="AQ872" s="1">
        <f>AP872/AG872-1</f>
        <v>0</v>
      </c>
    </row>
    <row r="873" spans="1:46">
      <c r="C873" s="245"/>
      <c r="D873" s="26"/>
      <c r="E873" s="57"/>
      <c r="F873" s="26"/>
      <c r="G873" s="57"/>
      <c r="H873" s="10"/>
      <c r="I873" s="8"/>
      <c r="J873" s="8"/>
      <c r="K873" s="8"/>
    </row>
    <row r="874" spans="1:46">
      <c r="B874" s="212" t="str">
        <f>IF($C$1="ENG","For additonal charge:","Послуги за додаткову плату:")</f>
        <v>Послуги за додаткову плату:</v>
      </c>
      <c r="C874" s="420"/>
      <c r="D874" s="213"/>
      <c r="E874" s="214"/>
      <c r="F874" s="26"/>
      <c r="G874" s="57"/>
      <c r="H874" s="10"/>
      <c r="I874" s="8"/>
      <c r="J874" s="8"/>
      <c r="K874" s="8"/>
    </row>
    <row r="875" spans="1:46" ht="5.0999999999999996" customHeight="1">
      <c r="B875" s="27"/>
      <c r="C875" s="245"/>
      <c r="D875" s="26"/>
      <c r="E875" s="57"/>
      <c r="F875" s="26"/>
      <c r="G875" s="57"/>
      <c r="H875" s="10"/>
      <c r="I875" s="8"/>
      <c r="J875" s="8"/>
      <c r="K875" s="8"/>
    </row>
    <row r="876" spans="1:46">
      <c r="B876" s="539" t="str">
        <f>IF($C$1="ENG","door leaf with width 100","полотно розміром 100")</f>
        <v>полотно розміром 100</v>
      </c>
      <c r="C876" s="540"/>
      <c r="D876" s="409">
        <f t="shared" ref="D876:D888" si="117">IF(AC876="","",(1-$W$2)*(AC876/1.2))</f>
        <v>600</v>
      </c>
      <c r="E876" s="92">
        <f t="shared" ref="E876:E887" si="118">IF($W$5=0.2,D876*1.2,D876)/$W$4</f>
        <v>720</v>
      </c>
      <c r="F876" s="26"/>
      <c r="G876" s="26"/>
      <c r="H876" s="10"/>
      <c r="I876" s="8"/>
      <c r="J876" s="8"/>
      <c r="K876" s="8"/>
      <c r="AC876" s="298">
        <v>720</v>
      </c>
      <c r="AD876" s="298">
        <v>720</v>
      </c>
      <c r="AE876" s="289"/>
      <c r="AF876" s="289"/>
      <c r="AG876" s="289"/>
      <c r="AH876" s="289"/>
      <c r="AI876" s="289"/>
      <c r="AJ876" s="289"/>
      <c r="AK876" s="289"/>
      <c r="AL876" s="289"/>
    </row>
    <row r="877" spans="1:46">
      <c r="B877" s="539" t="str">
        <f>IF($C$1="ENG","Ventilation cut","вентиляційний підріз")</f>
        <v>вентиляційний підріз</v>
      </c>
      <c r="C877" s="540"/>
      <c r="D877" s="404">
        <f t="shared" si="117"/>
        <v>141.66666666666669</v>
      </c>
      <c r="E877" s="66">
        <f t="shared" si="118"/>
        <v>170.00000000000003</v>
      </c>
      <c r="F877" s="26"/>
      <c r="G877" s="26"/>
      <c r="I877" s="59"/>
      <c r="J877" s="28"/>
      <c r="AC877" s="298">
        <v>170</v>
      </c>
      <c r="AD877" s="298">
        <v>170</v>
      </c>
      <c r="AE877" s="289"/>
      <c r="AF877" s="289"/>
      <c r="AG877" s="289"/>
      <c r="AH877" s="289"/>
      <c r="AI877" s="289"/>
      <c r="AJ877" s="289"/>
      <c r="AK877" s="289"/>
      <c r="AL877" s="289"/>
    </row>
    <row r="878" spans="1:46">
      <c r="B878" s="532" t="str">
        <f>IF($C$1="ENG","glazing Graphite / Bronze","скло Графіт / Бронза")</f>
        <v>скло Графіт / Бронза</v>
      </c>
      <c r="C878" s="533"/>
      <c r="D878" s="406">
        <f t="shared" si="117"/>
        <v>458.33333333333337</v>
      </c>
      <c r="E878" s="93">
        <f t="shared" si="118"/>
        <v>550</v>
      </c>
      <c r="F878" s="26"/>
      <c r="G878" s="26"/>
      <c r="H878" s="5"/>
      <c r="AC878" s="298">
        <v>550</v>
      </c>
      <c r="AD878" s="298">
        <v>550</v>
      </c>
      <c r="AE878" s="289"/>
      <c r="AF878" s="289"/>
      <c r="AG878" s="289"/>
      <c r="AH878" s="289"/>
      <c r="AI878" s="289"/>
      <c r="AJ878" s="289"/>
      <c r="AK878" s="289"/>
      <c r="AL878" s="289"/>
    </row>
    <row r="879" spans="1:46">
      <c r="B879" s="532" t="str">
        <f>IF($C$1="ENG","glazing Lacobel black ","скло Lacobel чорне")</f>
        <v>скло Lacobel чорне</v>
      </c>
      <c r="C879" s="533"/>
      <c r="D879" s="406">
        <f t="shared" si="117"/>
        <v>458.33333333333337</v>
      </c>
      <c r="E879" s="93">
        <f>IF($W$5=0.2,D879*1.2,D879)/$W$4</f>
        <v>550</v>
      </c>
      <c r="F879" s="26"/>
      <c r="G879" s="26"/>
      <c r="H879" s="5"/>
      <c r="AC879" s="298">
        <v>550</v>
      </c>
      <c r="AD879" s="298">
        <v>550</v>
      </c>
      <c r="AE879" s="289"/>
      <c r="AF879" s="289"/>
      <c r="AG879" s="289"/>
      <c r="AH879" s="289"/>
      <c r="AI879" s="289"/>
      <c r="AJ879" s="289"/>
      <c r="AK879" s="289"/>
      <c r="AL879" s="289"/>
    </row>
    <row r="880" spans="1:46">
      <c r="B880" s="532" t="str">
        <f>IF($C$1="ENG","door lock Soft","замок Soft")</f>
        <v>замок Soft</v>
      </c>
      <c r="C880" s="533"/>
      <c r="D880" s="406">
        <f t="shared" si="117"/>
        <v>458.33333333333337</v>
      </c>
      <c r="E880" s="93">
        <f t="shared" si="118"/>
        <v>550</v>
      </c>
      <c r="F880" s="26"/>
      <c r="G880" s="26"/>
      <c r="H880" s="5"/>
      <c r="AC880" s="298">
        <v>550</v>
      </c>
      <c r="AD880" s="298">
        <v>550</v>
      </c>
      <c r="AE880" s="289"/>
      <c r="AF880" s="289"/>
      <c r="AG880" s="289"/>
      <c r="AH880" s="289"/>
      <c r="AI880" s="289"/>
      <c r="AJ880" s="289"/>
      <c r="AK880" s="289"/>
      <c r="AL880" s="289"/>
    </row>
    <row r="881" spans="2:38">
      <c r="B881" s="532" t="str">
        <f>IF($C$1="ENG","door lock Soft black","замок Soft чорн.")</f>
        <v>замок Soft чорн.</v>
      </c>
      <c r="C881" s="533"/>
      <c r="D881" s="406">
        <f t="shared" ref="D881" si="119">IF(AC881="","",(1-$W$2)*(AC881/1.2))</f>
        <v>566.66666666666674</v>
      </c>
      <c r="E881" s="93">
        <f t="shared" ref="E881" si="120">IF($W$5=0.2,D881*1.2,D881)/$W$4</f>
        <v>680.00000000000011</v>
      </c>
      <c r="F881" s="26"/>
      <c r="G881" s="26"/>
      <c r="H881" s="5"/>
      <c r="AC881" s="298">
        <v>680</v>
      </c>
      <c r="AD881" s="298"/>
      <c r="AE881" s="289"/>
      <c r="AF881" s="289"/>
      <c r="AG881" s="289"/>
      <c r="AH881" s="289"/>
      <c r="AI881" s="289"/>
      <c r="AJ881" s="289"/>
      <c r="AK881" s="289"/>
      <c r="AL881" s="289"/>
    </row>
    <row r="882" spans="2:38">
      <c r="B882" s="532" t="str">
        <f>IF($C$1="ENG","door lock Magnet","замок Magnet")</f>
        <v>замок Magnet</v>
      </c>
      <c r="C882" s="533"/>
      <c r="D882" s="406">
        <f t="shared" si="117"/>
        <v>666.66666666666674</v>
      </c>
      <c r="E882" s="93">
        <f t="shared" si="118"/>
        <v>800.00000000000011</v>
      </c>
      <c r="F882" s="26"/>
      <c r="G882" s="26"/>
      <c r="H882" s="5"/>
      <c r="AC882" s="298">
        <v>800</v>
      </c>
      <c r="AD882" s="298">
        <v>800</v>
      </c>
      <c r="AE882" s="289"/>
      <c r="AF882" s="289"/>
      <c r="AG882" s="289"/>
      <c r="AH882" s="289"/>
      <c r="AI882" s="289"/>
      <c r="AJ882" s="289"/>
      <c r="AK882" s="289"/>
      <c r="AL882" s="289"/>
    </row>
    <row r="883" spans="2:38">
      <c r="B883" s="532" t="s">
        <v>75</v>
      </c>
      <c r="C883" s="533"/>
      <c r="D883" s="406">
        <f t="shared" ref="D883" si="121">IF(AC883="","",(1-$W$2)*(AC883/1.2))</f>
        <v>833.33333333333337</v>
      </c>
      <c r="E883" s="93">
        <f t="shared" ref="E883" si="122">IF($W$5=0.2,D883*1.2,D883)/$W$4</f>
        <v>1000</v>
      </c>
      <c r="F883" s="26"/>
      <c r="G883" s="26"/>
      <c r="H883" s="5"/>
      <c r="AC883" s="298">
        <v>1000</v>
      </c>
      <c r="AD883" s="298"/>
      <c r="AE883" s="289"/>
      <c r="AF883" s="289"/>
      <c r="AG883" s="289"/>
      <c r="AH883" s="289"/>
      <c r="AI883" s="289"/>
      <c r="AJ883" s="289"/>
      <c r="AK883" s="289"/>
      <c r="AL883" s="289"/>
    </row>
    <row r="884" spans="2:38">
      <c r="B884" s="532" t="str">
        <f>IF($C$1="ENG","door handle-lock (for sliding doors)","ручка-замок (для дверей купе)")</f>
        <v>ручка-замок (для дверей купе)</v>
      </c>
      <c r="C884" s="533"/>
      <c r="D884" s="404">
        <f t="shared" si="117"/>
        <v>466.66666666666669</v>
      </c>
      <c r="E884" s="93">
        <f t="shared" si="118"/>
        <v>560</v>
      </c>
      <c r="F884" s="26"/>
      <c r="G884" s="26"/>
      <c r="I884" s="11"/>
      <c r="J884" s="11"/>
      <c r="K884" s="19"/>
      <c r="AC884" s="298">
        <v>560</v>
      </c>
      <c r="AD884" s="298">
        <v>560</v>
      </c>
      <c r="AE884" s="289"/>
      <c r="AF884" s="289"/>
      <c r="AG884" s="289"/>
      <c r="AH884" s="289"/>
      <c r="AI884" s="289"/>
      <c r="AJ884" s="289"/>
      <c r="AK884" s="289"/>
      <c r="AL884" s="289"/>
    </row>
    <row r="885" spans="2:38">
      <c r="B885" s="532" t="str">
        <f>IF($C$1="ENG","cylinder incert","циліндр несиметричний")</f>
        <v>циліндр несиметричний</v>
      </c>
      <c r="C885" s="533"/>
      <c r="D885" s="404">
        <f t="shared" si="117"/>
        <v>325</v>
      </c>
      <c r="E885" s="93">
        <f t="shared" si="118"/>
        <v>390</v>
      </c>
      <c r="F885" s="26"/>
      <c r="G885" s="26"/>
      <c r="AC885" s="298">
        <v>390</v>
      </c>
      <c r="AD885" s="298">
        <v>390</v>
      </c>
      <c r="AE885" s="289"/>
      <c r="AF885" s="289"/>
      <c r="AG885" s="289"/>
      <c r="AH885" s="289"/>
      <c r="AI885" s="289"/>
      <c r="AJ885" s="289"/>
      <c r="AK885" s="289"/>
      <c r="AL885" s="289"/>
    </row>
    <row r="886" spans="2:38">
      <c r="B886" s="532" t="str">
        <f>IF($C$1="ENG","door hindge Prestige (1 unit)","завіса Prestige (1 шт)")</f>
        <v>завіса Prestige (1 шт)</v>
      </c>
      <c r="C886" s="533"/>
      <c r="D886" s="407">
        <f t="shared" si="117"/>
        <v>216.66666666666669</v>
      </c>
      <c r="E886" s="93">
        <f t="shared" si="118"/>
        <v>260</v>
      </c>
      <c r="F886" s="26"/>
      <c r="G886" s="26"/>
      <c r="AC886" s="298">
        <v>260</v>
      </c>
      <c r="AD886" s="298">
        <v>260</v>
      </c>
      <c r="AE886" s="289"/>
      <c r="AF886" s="289"/>
      <c r="AG886" s="289"/>
      <c r="AH886" s="289"/>
      <c r="AI886" s="289"/>
      <c r="AJ886" s="289"/>
      <c r="AK886" s="289"/>
      <c r="AL886" s="289"/>
    </row>
    <row r="887" spans="2:38">
      <c r="B887" s="532" t="str">
        <f>IF($C$1="ENG","door hinge caps (1 set)","накладка на завіси (1 к-т)")</f>
        <v>накладка на завіси (1 к-т)</v>
      </c>
      <c r="C887" s="533"/>
      <c r="D887" s="407">
        <f t="shared" si="117"/>
        <v>66.666666666666671</v>
      </c>
      <c r="E887" s="93">
        <f t="shared" si="118"/>
        <v>80</v>
      </c>
      <c r="F887" s="26"/>
      <c r="G887" s="26"/>
      <c r="AC887" s="298">
        <v>80</v>
      </c>
      <c r="AD887" s="298">
        <v>80</v>
      </c>
      <c r="AE887" s="289"/>
      <c r="AF887" s="289"/>
      <c r="AG887" s="289"/>
      <c r="AH887" s="289"/>
      <c r="AI887" s="289"/>
      <c r="AJ887" s="289"/>
      <c r="AK887" s="289"/>
      <c r="AL887" s="289"/>
    </row>
    <row r="888" spans="2:38">
      <c r="B888" s="532" t="str">
        <f>IF($C$1="ENG","door handle","дверна ручка")</f>
        <v>дверна ручка</v>
      </c>
      <c r="C888" s="533"/>
      <c r="D888" s="408" t="str">
        <f t="shared" si="117"/>
        <v/>
      </c>
      <c r="E888" s="247" t="str">
        <f>IF($C$1="ENG","see Handles Price","див. Таблицю Ручки")</f>
        <v>див. Таблицю Ручки</v>
      </c>
      <c r="F888" s="26"/>
      <c r="G888" s="26"/>
      <c r="AC888" s="289"/>
      <c r="AD888" s="289"/>
      <c r="AE888" s="289"/>
      <c r="AF888" s="289"/>
      <c r="AG888" s="289"/>
      <c r="AH888" s="289"/>
      <c r="AI888" s="289"/>
      <c r="AJ888" s="289"/>
      <c r="AK888" s="289"/>
      <c r="AL888" s="289"/>
    </row>
    <row r="889" spans="2:38" ht="14.25" customHeight="1">
      <c r="C889" s="245"/>
      <c r="D889" s="26"/>
      <c r="E889" s="26"/>
      <c r="F889" s="26"/>
      <c r="G889" s="26"/>
      <c r="H889" s="5"/>
      <c r="T889" s="525" t="str">
        <f>IF($C$1="ENG",CONCATENATE("down to: ",B939),CONCATENATE("вниз до: ",B939))</f>
        <v>вниз до: Полотна збірні: ЛІСА</v>
      </c>
      <c r="U889" s="525"/>
      <c r="V889" s="525"/>
      <c r="W889" s="525"/>
    </row>
    <row r="890" spans="2:38" ht="14.25" customHeight="1">
      <c r="C890" s="245"/>
      <c r="D890" s="26"/>
      <c r="E890" s="26"/>
      <c r="F890" s="26"/>
      <c r="G890" s="26"/>
      <c r="H890" s="5"/>
    </row>
    <row r="891" spans="2:38" ht="14.25" customHeight="1">
      <c r="C891" s="245"/>
      <c r="D891" s="26"/>
      <c r="E891" s="26"/>
      <c r="F891" s="26"/>
      <c r="G891" s="26"/>
      <c r="H891" s="5"/>
    </row>
    <row r="892" spans="2:38" ht="14.25" customHeight="1">
      <c r="C892" s="245"/>
      <c r="D892" s="26"/>
      <c r="E892" s="26"/>
      <c r="F892" s="26"/>
      <c r="G892" s="26"/>
      <c r="H892" s="5"/>
    </row>
    <row r="893" spans="2:38" ht="14.25" customHeight="1">
      <c r="C893" s="245"/>
      <c r="D893" s="26"/>
      <c r="E893" s="26"/>
      <c r="F893" s="26"/>
      <c r="G893" s="26"/>
      <c r="H893" s="5"/>
    </row>
    <row r="894" spans="2:38" ht="14.25" customHeight="1">
      <c r="C894" s="245"/>
      <c r="D894" s="26"/>
      <c r="E894" s="26"/>
      <c r="F894" s="26"/>
      <c r="G894" s="26"/>
      <c r="H894" s="5"/>
    </row>
    <row r="895" spans="2:38" ht="14.25" customHeight="1">
      <c r="C895" s="245"/>
      <c r="D895" s="26"/>
      <c r="E895" s="26"/>
      <c r="F895" s="26"/>
      <c r="G895" s="26"/>
      <c r="H895" s="5"/>
    </row>
    <row r="896" spans="2:38" ht="14.25" customHeight="1">
      <c r="C896" s="245"/>
      <c r="D896" s="26"/>
      <c r="E896" s="26"/>
      <c r="F896" s="26"/>
      <c r="G896" s="26"/>
      <c r="H896" s="5"/>
    </row>
    <row r="897" spans="3:8" ht="14.25" customHeight="1">
      <c r="C897" s="245"/>
      <c r="D897" s="26"/>
      <c r="E897" s="26"/>
      <c r="F897" s="26"/>
      <c r="G897" s="26"/>
      <c r="H897" s="5"/>
    </row>
    <row r="898" spans="3:8" ht="14.25" customHeight="1">
      <c r="C898" s="245"/>
      <c r="D898" s="26"/>
      <c r="E898" s="26"/>
      <c r="F898" s="26"/>
      <c r="G898" s="26"/>
      <c r="H898" s="5"/>
    </row>
    <row r="899" spans="3:8" ht="14.25" customHeight="1">
      <c r="C899" s="245"/>
      <c r="D899" s="26"/>
      <c r="E899" s="26"/>
      <c r="F899" s="26"/>
      <c r="G899" s="26"/>
      <c r="H899" s="5"/>
    </row>
    <row r="900" spans="3:8" ht="14.25" customHeight="1">
      <c r="C900" s="245"/>
      <c r="D900" s="26"/>
      <c r="E900" s="26"/>
      <c r="F900" s="26"/>
      <c r="G900" s="26"/>
      <c r="H900" s="5"/>
    </row>
    <row r="901" spans="3:8" ht="14.25" customHeight="1">
      <c r="C901" s="245"/>
      <c r="D901" s="26"/>
      <c r="E901" s="26"/>
      <c r="F901" s="26"/>
      <c r="G901" s="26"/>
      <c r="H901" s="5"/>
    </row>
    <row r="902" spans="3:8" ht="14.25" customHeight="1">
      <c r="C902" s="245"/>
      <c r="D902" s="26"/>
      <c r="E902" s="26"/>
      <c r="F902" s="26"/>
      <c r="G902" s="26"/>
      <c r="H902" s="5"/>
    </row>
    <row r="903" spans="3:8" ht="14.25" customHeight="1">
      <c r="C903" s="245"/>
      <c r="D903" s="26"/>
      <c r="E903" s="26"/>
      <c r="F903" s="26"/>
      <c r="G903" s="26"/>
      <c r="H903" s="5"/>
    </row>
    <row r="904" spans="3:8" ht="14.25" customHeight="1">
      <c r="C904" s="245"/>
      <c r="D904" s="26"/>
      <c r="E904" s="26"/>
      <c r="F904" s="26"/>
      <c r="G904" s="26"/>
      <c r="H904" s="5"/>
    </row>
    <row r="905" spans="3:8" ht="14.25" customHeight="1">
      <c r="C905" s="245"/>
      <c r="D905" s="26"/>
      <c r="E905" s="26"/>
      <c r="F905" s="26"/>
      <c r="G905" s="26"/>
      <c r="H905" s="5"/>
    </row>
    <row r="906" spans="3:8" ht="14.25" customHeight="1">
      <c r="C906" s="245"/>
      <c r="D906" s="26"/>
      <c r="E906" s="26"/>
      <c r="F906" s="26"/>
      <c r="G906" s="26"/>
      <c r="H906" s="5"/>
    </row>
    <row r="907" spans="3:8" ht="14.25" customHeight="1">
      <c r="C907" s="245"/>
      <c r="D907" s="26"/>
      <c r="E907" s="26"/>
      <c r="F907" s="26"/>
      <c r="G907" s="26"/>
      <c r="H907" s="5"/>
    </row>
    <row r="908" spans="3:8" ht="14.25" customHeight="1">
      <c r="C908" s="245"/>
      <c r="D908" s="26"/>
      <c r="E908" s="26"/>
      <c r="F908" s="26"/>
      <c r="G908" s="26"/>
      <c r="H908" s="5"/>
    </row>
    <row r="909" spans="3:8" ht="14.25" customHeight="1">
      <c r="C909" s="245"/>
      <c r="D909" s="26"/>
      <c r="E909" s="26"/>
      <c r="F909" s="26"/>
      <c r="G909" s="26"/>
      <c r="H909" s="5"/>
    </row>
    <row r="910" spans="3:8" ht="14.25" customHeight="1">
      <c r="C910" s="245"/>
      <c r="D910" s="26"/>
      <c r="E910" s="26"/>
      <c r="F910" s="26"/>
      <c r="G910" s="26"/>
      <c r="H910" s="5"/>
    </row>
    <row r="911" spans="3:8" ht="14.25" customHeight="1">
      <c r="C911" s="245"/>
      <c r="D911" s="26"/>
      <c r="E911" s="26"/>
      <c r="F911" s="26"/>
      <c r="G911" s="26"/>
      <c r="H911" s="5"/>
    </row>
    <row r="912" spans="3:8" ht="14.25" customHeight="1">
      <c r="C912" s="245"/>
      <c r="D912" s="26"/>
      <c r="E912" s="26"/>
      <c r="F912" s="26"/>
      <c r="G912" s="26"/>
      <c r="H912" s="5"/>
    </row>
    <row r="913" spans="3:8" ht="14.25" customHeight="1">
      <c r="C913" s="245"/>
      <c r="D913" s="26"/>
      <c r="E913" s="26"/>
      <c r="F913" s="26"/>
      <c r="G913" s="26"/>
      <c r="H913" s="5"/>
    </row>
    <row r="914" spans="3:8" ht="14.25" customHeight="1">
      <c r="C914" s="245"/>
      <c r="D914" s="26"/>
      <c r="E914" s="26"/>
      <c r="F914" s="26"/>
      <c r="G914" s="26"/>
      <c r="H914" s="5"/>
    </row>
    <row r="915" spans="3:8" ht="14.25" customHeight="1">
      <c r="C915" s="245"/>
      <c r="D915" s="26"/>
      <c r="E915" s="26"/>
      <c r="F915" s="26"/>
      <c r="G915" s="26"/>
      <c r="H915" s="5"/>
    </row>
    <row r="916" spans="3:8" ht="14.25" customHeight="1">
      <c r="C916" s="245"/>
      <c r="D916" s="26"/>
      <c r="E916" s="26"/>
      <c r="F916" s="26"/>
      <c r="G916" s="26"/>
      <c r="H916" s="5"/>
    </row>
    <row r="917" spans="3:8" ht="14.25" customHeight="1">
      <c r="C917" s="245"/>
      <c r="D917" s="26"/>
      <c r="E917" s="26"/>
      <c r="F917" s="26"/>
      <c r="G917" s="26"/>
      <c r="H917" s="5"/>
    </row>
    <row r="918" spans="3:8" ht="14.25" customHeight="1">
      <c r="C918" s="245"/>
      <c r="D918" s="26"/>
      <c r="E918" s="26"/>
      <c r="F918" s="26"/>
      <c r="G918" s="26"/>
      <c r="H918" s="5"/>
    </row>
    <row r="919" spans="3:8" ht="14.25" customHeight="1">
      <c r="C919" s="245"/>
      <c r="D919" s="26"/>
      <c r="E919" s="26"/>
      <c r="F919" s="26"/>
      <c r="G919" s="26"/>
      <c r="H919" s="5"/>
    </row>
    <row r="920" spans="3:8" ht="14.25" customHeight="1">
      <c r="C920" s="245"/>
      <c r="D920" s="26"/>
      <c r="E920" s="26"/>
      <c r="F920" s="26"/>
      <c r="G920" s="26"/>
      <c r="H920" s="5"/>
    </row>
    <row r="921" spans="3:8" ht="14.25" customHeight="1">
      <c r="C921" s="245"/>
      <c r="D921" s="26"/>
      <c r="E921" s="26"/>
      <c r="F921" s="26"/>
      <c r="G921" s="26"/>
      <c r="H921" s="5"/>
    </row>
    <row r="922" spans="3:8" ht="14.25" customHeight="1">
      <c r="C922" s="245"/>
      <c r="D922" s="26"/>
      <c r="E922" s="26"/>
      <c r="F922" s="26"/>
      <c r="G922" s="26"/>
      <c r="H922" s="5"/>
    </row>
    <row r="923" spans="3:8" ht="14.25" customHeight="1">
      <c r="C923" s="245"/>
      <c r="D923" s="26"/>
      <c r="E923" s="26"/>
      <c r="F923" s="26"/>
      <c r="G923" s="26"/>
      <c r="H923" s="5"/>
    </row>
    <row r="924" spans="3:8" ht="14.25" customHeight="1">
      <c r="C924" s="245"/>
      <c r="D924" s="26"/>
      <c r="E924" s="26"/>
      <c r="F924" s="26"/>
      <c r="G924" s="26"/>
      <c r="H924" s="5"/>
    </row>
    <row r="925" spans="3:8" ht="14.25" customHeight="1">
      <c r="C925" s="245"/>
      <c r="D925" s="26"/>
      <c r="E925" s="26"/>
      <c r="F925" s="26"/>
      <c r="G925" s="26"/>
      <c r="H925" s="5"/>
    </row>
    <row r="926" spans="3:8" ht="14.25" customHeight="1">
      <c r="C926" s="245"/>
      <c r="D926" s="26"/>
      <c r="E926" s="26"/>
      <c r="F926" s="26"/>
      <c r="G926" s="26"/>
      <c r="H926" s="5"/>
    </row>
    <row r="927" spans="3:8" ht="14.25" customHeight="1">
      <c r="C927" s="245"/>
      <c r="D927" s="26"/>
      <c r="E927" s="26"/>
      <c r="F927" s="26"/>
      <c r="G927" s="26"/>
      <c r="H927" s="5"/>
    </row>
    <row r="928" spans="3:8" ht="14.25" customHeight="1">
      <c r="C928" s="245"/>
      <c r="D928" s="26"/>
      <c r="E928" s="26"/>
      <c r="F928" s="26"/>
      <c r="G928" s="26"/>
      <c r="H928" s="5"/>
    </row>
    <row r="929" spans="1:46" ht="14.25" customHeight="1">
      <c r="C929" s="245"/>
      <c r="D929" s="26"/>
      <c r="E929" s="26"/>
      <c r="F929" s="26"/>
      <c r="G929" s="26"/>
      <c r="H929" s="5"/>
    </row>
    <row r="930" spans="1:46" ht="14.25" customHeight="1">
      <c r="C930" s="245"/>
      <c r="D930" s="26"/>
      <c r="E930" s="26"/>
      <c r="F930" s="26"/>
      <c r="G930" s="26"/>
      <c r="H930" s="5"/>
    </row>
    <row r="931" spans="1:46" ht="14.25" customHeight="1">
      <c r="C931" s="245"/>
      <c r="D931" s="26"/>
      <c r="E931" s="26"/>
      <c r="F931" s="26"/>
      <c r="G931" s="26"/>
      <c r="H931" s="5"/>
    </row>
    <row r="932" spans="1:46" ht="14.25" customHeight="1">
      <c r="C932" s="245"/>
      <c r="D932" s="26"/>
      <c r="E932" s="26"/>
      <c r="F932" s="26"/>
      <c r="G932" s="26"/>
      <c r="H932" s="5"/>
    </row>
    <row r="933" spans="1:46" ht="14.25" customHeight="1">
      <c r="C933" s="245"/>
      <c r="D933" s="26"/>
      <c r="E933" s="26"/>
      <c r="F933" s="26"/>
      <c r="G933" s="26"/>
      <c r="H933" s="5"/>
      <c r="AH933" s="289">
        <f>AC933/100*12+AC933</f>
        <v>0</v>
      </c>
      <c r="AI933" s="289" t="e">
        <f>AH933/AC933-1</f>
        <v>#DIV/0!</v>
      </c>
    </row>
    <row r="934" spans="1:46" ht="14.25" customHeight="1">
      <c r="C934" s="245"/>
      <c r="D934" s="26"/>
      <c r="E934" s="26"/>
      <c r="F934" s="26"/>
      <c r="G934" s="26"/>
      <c r="H934" s="5"/>
    </row>
    <row r="935" spans="1:46" ht="14.25" customHeight="1">
      <c r="C935" s="245"/>
      <c r="D935" s="26"/>
      <c r="E935" s="26"/>
      <c r="F935" s="26"/>
      <c r="G935" s="26"/>
      <c r="H935" s="5"/>
    </row>
    <row r="936" spans="1:46" ht="14.25" customHeight="1">
      <c r="C936" s="245"/>
      <c r="D936" s="26"/>
      <c r="E936" s="26"/>
      <c r="F936" s="26"/>
      <c r="G936" s="26"/>
      <c r="H936" s="5"/>
    </row>
    <row r="937" spans="1:46" ht="14.25" customHeight="1">
      <c r="C937" s="245"/>
      <c r="D937" s="26"/>
      <c r="E937" s="26"/>
      <c r="F937" s="26"/>
      <c r="G937" s="26"/>
      <c r="H937" s="5"/>
    </row>
    <row r="938" spans="1:46" ht="14.25" customHeight="1">
      <c r="C938" s="245"/>
      <c r="D938" s="26"/>
      <c r="E938" s="26"/>
      <c r="F938" s="26"/>
      <c r="G938" s="26"/>
      <c r="H938" s="5"/>
    </row>
    <row r="939" spans="1:46" s="8" customFormat="1">
      <c r="B939" s="518" t="str">
        <f>TITLE!C21</f>
        <v>Полотна збірні: ЛІСА</v>
      </c>
      <c r="C939" s="518"/>
      <c r="D939" s="118"/>
      <c r="E939" s="118"/>
      <c r="F939" s="118"/>
      <c r="G939" s="118"/>
      <c r="H939" s="520"/>
      <c r="I939" s="520"/>
      <c r="J939" s="121"/>
      <c r="K939" s="121"/>
      <c r="L939" s="121"/>
      <c r="M939" s="121"/>
      <c r="N939" s="121"/>
      <c r="O939" s="121"/>
      <c r="P939" s="121"/>
      <c r="Q939" s="121"/>
      <c r="R939" s="121"/>
      <c r="S939" s="121"/>
      <c r="T939" s="529" t="str">
        <f>IF($C$1="ENG",CONCATENATE("up to: ",B866),CONCATENATE("вгору до: ",B866))</f>
        <v>вгору до: Полотна збірні: НІКА</v>
      </c>
      <c r="U939" s="529"/>
      <c r="V939" s="529"/>
      <c r="W939" s="529"/>
      <c r="AN939" s="280"/>
      <c r="AO939" s="280"/>
      <c r="AP939" s="280"/>
      <c r="AQ939" s="280"/>
      <c r="AR939" s="280"/>
      <c r="AS939" s="280"/>
      <c r="AT939" s="280"/>
    </row>
    <row r="940" spans="1:46" s="8" customFormat="1" ht="5.0999999999999996" customHeight="1">
      <c r="B940" s="117"/>
      <c r="C940" s="419"/>
      <c r="D940" s="9"/>
      <c r="E940" s="9"/>
      <c r="F940" s="9"/>
      <c r="G940" s="9"/>
      <c r="H940" s="120"/>
      <c r="I940" s="120"/>
      <c r="T940" s="115"/>
      <c r="U940" s="115"/>
      <c r="V940" s="115"/>
      <c r="W940" s="115"/>
      <c r="AN940" s="280"/>
      <c r="AO940" s="280"/>
      <c r="AP940" s="280"/>
      <c r="AQ940" s="280"/>
      <c r="AR940" s="280"/>
      <c r="AS940" s="280"/>
      <c r="AT940" s="280"/>
    </row>
    <row r="941" spans="1:46" s="8" customFormat="1" ht="12.75" customHeight="1">
      <c r="B941" s="536" t="str">
        <f>IF($C$1="ENG","model","модель")</f>
        <v>модель</v>
      </c>
      <c r="C941" s="122" t="str">
        <f>IF($C$1="ENG","cover:","покриття:")</f>
        <v>покриття:</v>
      </c>
      <c r="D941" s="522" t="str">
        <f>IF($C$1="ENG","Verto-CELL","Verto-CELL")</f>
        <v>Verto-CELL</v>
      </c>
      <c r="E941" s="524"/>
      <c r="F941" s="522" t="str">
        <f>IF($C$1="ENG","UNI-MAT","UNI-MAT")</f>
        <v>UNI-MAT</v>
      </c>
      <c r="G941" s="524"/>
      <c r="H941" s="522" t="str">
        <f>IF($C$1="ENG","RESIST","RESIST")</f>
        <v>RESIST</v>
      </c>
      <c r="I941" s="524"/>
      <c r="J941" s="522" t="str">
        <f>IF($C$1="ENG","Verto LINE-3D","Verto LINE-3D")</f>
        <v>Verto LINE-3D</v>
      </c>
      <c r="K941" s="524"/>
      <c r="L941" s="522" t="str">
        <f>IF($C$1="ENG","ECO Shpon","ЕКО Шпон")</f>
        <v>ЕКО Шпон</v>
      </c>
      <c r="M941" s="524"/>
      <c r="P941" s="1"/>
      <c r="Q941" s="1"/>
      <c r="T941" s="115"/>
      <c r="U941" s="115"/>
      <c r="V941" s="115"/>
      <c r="W941" s="115"/>
      <c r="AN941" s="280"/>
      <c r="AO941" s="280"/>
      <c r="AP941" s="280"/>
      <c r="AQ941" s="280"/>
      <c r="AR941" s="280"/>
      <c r="AS941" s="280"/>
      <c r="AT941" s="280"/>
    </row>
    <row r="942" spans="1:46" s="8" customFormat="1" ht="26.25" customHeight="1">
      <c r="B942" s="537"/>
      <c r="C942" s="123" t="str">
        <f>IF($C$1="ENG","filling:","заповнення:")</f>
        <v>заповнення:</v>
      </c>
      <c r="D942" s="527" t="str">
        <f>IF($C$1="ENG","softwood","клеєний сосновий брус")</f>
        <v>клеєний сосновий брус</v>
      </c>
      <c r="E942" s="528"/>
      <c r="F942" s="527" t="str">
        <f>IF($C$1="ENG","softwood","клеєний сосновий брус")</f>
        <v>клеєний сосновий брус</v>
      </c>
      <c r="G942" s="528"/>
      <c r="H942" s="527" t="str">
        <f>IF($C$1="ENG","softwood","клеєний сосновий брус")</f>
        <v>клеєний сосновий брус</v>
      </c>
      <c r="I942" s="528"/>
      <c r="J942" s="527" t="str">
        <f>IF($C$1="ENG","softwood","клеєний сосновий брус")</f>
        <v>клеєний сосновий брус</v>
      </c>
      <c r="K942" s="528"/>
      <c r="L942" s="527" t="str">
        <f>IF($C$1="ENG","softwood","клеєний сосновий брус")</f>
        <v>клеєний сосновий брус</v>
      </c>
      <c r="M942" s="528"/>
      <c r="P942" s="1"/>
      <c r="Q942" s="1"/>
      <c r="T942" s="115"/>
      <c r="U942" s="115"/>
      <c r="V942" s="115"/>
      <c r="W942" s="115"/>
      <c r="AD942" s="382">
        <f>AD944/AC944-1</f>
        <v>0.10321489001692052</v>
      </c>
      <c r="AE942" s="382">
        <f>AE944/AD944-1</f>
        <v>2.914110429447847E-2</v>
      </c>
      <c r="AF942" s="382">
        <f>AF944/AE944-1</f>
        <v>7.6005961251862875E-2</v>
      </c>
      <c r="AG942" s="382">
        <f>AG944/AF944-1</f>
        <v>4.8476454293628901E-2</v>
      </c>
      <c r="AN942" s="280"/>
      <c r="AO942" s="280"/>
      <c r="AP942" s="280"/>
      <c r="AQ942" s="280"/>
      <c r="AR942" s="280"/>
      <c r="AS942" s="280"/>
      <c r="AT942" s="280"/>
    </row>
    <row r="943" spans="1:46" ht="12.75" customHeight="1">
      <c r="A943" s="8"/>
      <c r="B943" s="538"/>
      <c r="C943" s="124" t="str">
        <f>IF($C$1="ENG","glazing:","скління:")</f>
        <v>скління:</v>
      </c>
      <c r="D943" s="513" t="str">
        <f>IF($C$1="ENG","Satin","Сатин")</f>
        <v>Сатин</v>
      </c>
      <c r="E943" s="516"/>
      <c r="F943" s="513" t="str">
        <f>IF($C$1="ENG","Satin","Сатин")</f>
        <v>Сатин</v>
      </c>
      <c r="G943" s="516"/>
      <c r="H943" s="513" t="str">
        <f>IF($C$1="ENG","Satin","Сатин")</f>
        <v>Сатин</v>
      </c>
      <c r="I943" s="516"/>
      <c r="J943" s="513" t="str">
        <f>IF($C$1="ENG","Satin","Сатин")</f>
        <v>Сатин</v>
      </c>
      <c r="K943" s="516"/>
      <c r="L943" s="513" t="str">
        <f>IF($C$1="ENG","Satin","Сатин")</f>
        <v>Сатин</v>
      </c>
      <c r="M943" s="516"/>
    </row>
    <row r="944" spans="1:46" ht="35.1" customHeight="1">
      <c r="A944" s="8"/>
      <c r="B944" s="16" t="s">
        <v>28</v>
      </c>
      <c r="C944" s="17"/>
      <c r="D944" s="18">
        <f>IF(AC944="","",(1-$W$2)*(AC944/1.2))</f>
        <v>4925</v>
      </c>
      <c r="E944" s="66">
        <f>IF($W$5=0.2,D944*1.2,D944)/$W$4</f>
        <v>5910</v>
      </c>
      <c r="F944" s="18">
        <f>IF(AD944="","",(1-$W$2)*(AD944/1.2))</f>
        <v>5433.3333333333339</v>
      </c>
      <c r="G944" s="66">
        <f>IF($W$5=0.2,F944*1.2,F944)/$W$4</f>
        <v>6520.0000000000009</v>
      </c>
      <c r="H944" s="18">
        <f>IF(AE944="","",(1-$W$2)*(AE944/1.2))</f>
        <v>5591.666666666667</v>
      </c>
      <c r="I944" s="66">
        <f>IF($W$5=0.2,H944*1.2,H944)/$W$4</f>
        <v>6710</v>
      </c>
      <c r="J944" s="18">
        <f>IF(AF944="","",(1-$W$2)*(AF944/1.2))</f>
        <v>6016.666666666667</v>
      </c>
      <c r="K944" s="66">
        <f>IF($W$5=0.2,J944*1.2,J944)/$W$4</f>
        <v>7220</v>
      </c>
      <c r="L944" s="18">
        <f>IF(AG944="","",(1-$W$2)*(AG944/1.2))</f>
        <v>6308.3333333333339</v>
      </c>
      <c r="M944" s="66">
        <f>IF($W$5=0.2,L944*1.2,L944)/$W$4</f>
        <v>7570</v>
      </c>
      <c r="N944" s="104"/>
      <c r="R944" s="104"/>
      <c r="T944" s="104"/>
      <c r="U944" s="20"/>
      <c r="V944" s="104"/>
      <c r="W944" s="20"/>
      <c r="X944" s="104"/>
      <c r="Y944" s="104"/>
      <c r="Z944" s="104"/>
      <c r="AA944" s="104"/>
      <c r="AB944" s="104"/>
      <c r="AC944" s="332">
        <v>5910</v>
      </c>
      <c r="AD944" s="390">
        <v>6520</v>
      </c>
      <c r="AE944" s="332">
        <v>6710</v>
      </c>
      <c r="AF944" s="332">
        <v>7220</v>
      </c>
      <c r="AG944" s="332">
        <v>7570</v>
      </c>
      <c r="AH944" s="289">
        <v>5910</v>
      </c>
      <c r="AI944" s="397">
        <f>AH944/AC944-1</f>
        <v>0</v>
      </c>
      <c r="AJ944" s="289">
        <v>6520</v>
      </c>
      <c r="AK944" s="289">
        <f>AJ944/AD944-1</f>
        <v>0</v>
      </c>
      <c r="AL944" s="289">
        <v>6710</v>
      </c>
      <c r="AM944" s="289">
        <f>AL944/AE944-1</f>
        <v>0</v>
      </c>
      <c r="AN944" s="289">
        <v>7220</v>
      </c>
      <c r="AO944" s="289">
        <f>AN944/AF944-1</f>
        <v>0</v>
      </c>
      <c r="AP944" s="289">
        <v>7570</v>
      </c>
      <c r="AQ944" s="289">
        <f>AP944/AG944-1</f>
        <v>0</v>
      </c>
    </row>
    <row r="945" spans="1:43" ht="35.1" customHeight="1">
      <c r="A945" s="8"/>
      <c r="B945" s="23" t="s">
        <v>46</v>
      </c>
      <c r="C945" s="24"/>
      <c r="D945" s="25">
        <f>IF(AC945="","",(1-$W$2)*(AC945/1.2))</f>
        <v>4925</v>
      </c>
      <c r="E945" s="69">
        <f>IF($W$5=0.2,D945*1.2,D945)/$W$4</f>
        <v>5910</v>
      </c>
      <c r="F945" s="25">
        <f>IF(AD945="","",(1-$W$2)*(AD945/1.2))</f>
        <v>5433.3333333333339</v>
      </c>
      <c r="G945" s="69">
        <f>IF($W$5=0.2,F945*1.2,F945)/$W$4</f>
        <v>6520.0000000000009</v>
      </c>
      <c r="H945" s="25">
        <f>IF(AE945="","",(1-$W$2)*(AE945/1.2))</f>
        <v>5591.666666666667</v>
      </c>
      <c r="I945" s="69">
        <f>IF($W$5=0.2,H945*1.2,H945)/$W$4</f>
        <v>6710</v>
      </c>
      <c r="J945" s="25">
        <f>IF(AF945="","",(1-$W$2)*(AF945/1.2))</f>
        <v>6016.666666666667</v>
      </c>
      <c r="K945" s="69">
        <f>IF($W$5=0.2,J945*1.2,J945)/$W$4</f>
        <v>7220</v>
      </c>
      <c r="L945" s="25">
        <f>IF(AG945="","",(1-$W$2)*(AG945/1.2))</f>
        <v>6308.3333333333339</v>
      </c>
      <c r="M945" s="69">
        <f>IF($W$5=0.2,L945*1.2,L945)/$W$4</f>
        <v>7570</v>
      </c>
      <c r="N945" s="104"/>
      <c r="R945" s="104"/>
      <c r="T945" s="104"/>
      <c r="U945" s="20"/>
      <c r="V945" s="104"/>
      <c r="W945" s="20"/>
      <c r="X945" s="104"/>
      <c r="Y945" s="104"/>
      <c r="Z945" s="104"/>
      <c r="AA945" s="104"/>
      <c r="AB945" s="104"/>
      <c r="AC945" s="332">
        <v>5910</v>
      </c>
      <c r="AD945" s="390">
        <v>6520</v>
      </c>
      <c r="AE945" s="332">
        <v>6710</v>
      </c>
      <c r="AF945" s="332">
        <v>7220</v>
      </c>
      <c r="AG945" s="332">
        <v>7570</v>
      </c>
      <c r="AH945" s="289">
        <v>5910</v>
      </c>
      <c r="AI945" s="397">
        <f>AH945/AC945-1</f>
        <v>0</v>
      </c>
      <c r="AJ945" s="289">
        <v>6520</v>
      </c>
      <c r="AK945" s="289">
        <f>AJ945/AD945-1</f>
        <v>0</v>
      </c>
      <c r="AL945" s="289">
        <v>6710</v>
      </c>
      <c r="AM945" s="289">
        <f>AL945/AE945-1</f>
        <v>0</v>
      </c>
      <c r="AN945" s="289">
        <v>7220</v>
      </c>
      <c r="AO945" s="289">
        <f>AN945/AF945-1</f>
        <v>0</v>
      </c>
      <c r="AP945" s="289">
        <v>7570</v>
      </c>
      <c r="AQ945" s="289">
        <f>AP945/AG945-1</f>
        <v>0</v>
      </c>
    </row>
    <row r="946" spans="1:43">
      <c r="C946" s="245"/>
      <c r="D946" s="26"/>
      <c r="E946" s="57"/>
      <c r="F946" s="26"/>
      <c r="G946" s="57"/>
      <c r="H946" s="10"/>
      <c r="I946" s="8"/>
      <c r="J946" s="8"/>
      <c r="K946" s="8"/>
    </row>
    <row r="947" spans="1:43">
      <c r="B947" s="212" t="str">
        <f>IF($C$1="ENG","For additonal charge:","Послуги за додаткову плату:")</f>
        <v>Послуги за додаткову плату:</v>
      </c>
      <c r="C947" s="420"/>
      <c r="D947" s="213"/>
      <c r="E947" s="214"/>
      <c r="F947" s="26"/>
      <c r="G947" s="57"/>
      <c r="H947" s="10"/>
      <c r="I947" s="8"/>
      <c r="J947" s="8"/>
      <c r="K947" s="8"/>
    </row>
    <row r="948" spans="1:43" ht="5.0999999999999996" customHeight="1">
      <c r="B948" s="27"/>
      <c r="C948" s="245"/>
      <c r="D948" s="26"/>
      <c r="E948" s="57"/>
      <c r="F948" s="26"/>
      <c r="G948" s="57"/>
      <c r="H948" s="10"/>
      <c r="I948" s="8"/>
      <c r="J948" s="8"/>
      <c r="K948" s="8"/>
    </row>
    <row r="949" spans="1:43">
      <c r="B949" s="539" t="str">
        <f>IF($C$1="ENG","door leaf with width 100","полотно розміром 100")</f>
        <v>полотно розміром 100</v>
      </c>
      <c r="C949" s="540"/>
      <c r="D949" s="409">
        <f t="shared" ref="D949:D961" si="123">IF(AC949="","",(1-$W$2)*(AC949/1.2))</f>
        <v>600</v>
      </c>
      <c r="E949" s="92">
        <f t="shared" ref="E949:E960" si="124">IF($W$5=0.2,D949*1.2,D949)/$W$4</f>
        <v>720</v>
      </c>
      <c r="F949" s="26"/>
      <c r="G949" s="26"/>
      <c r="H949" s="10"/>
      <c r="I949" s="8"/>
      <c r="J949" s="8"/>
      <c r="K949" s="8"/>
      <c r="AC949" s="298">
        <v>720</v>
      </c>
      <c r="AD949" s="298">
        <v>720</v>
      </c>
      <c r="AE949" s="289"/>
      <c r="AF949" s="289"/>
      <c r="AG949" s="289"/>
      <c r="AH949" s="289"/>
      <c r="AI949" s="289"/>
      <c r="AJ949" s="289"/>
      <c r="AK949" s="289"/>
      <c r="AL949" s="289"/>
    </row>
    <row r="950" spans="1:43">
      <c r="B950" s="539" t="str">
        <f>IF($C$1="ENG","Ventilation cut","вентиляційний підріз")</f>
        <v>вентиляційний підріз</v>
      </c>
      <c r="C950" s="540"/>
      <c r="D950" s="404">
        <f t="shared" si="123"/>
        <v>141.66666666666669</v>
      </c>
      <c r="E950" s="66">
        <f t="shared" si="124"/>
        <v>170.00000000000003</v>
      </c>
      <c r="F950" s="26"/>
      <c r="G950" s="26"/>
      <c r="I950" s="59"/>
      <c r="J950" s="28"/>
      <c r="AC950" s="298">
        <v>170</v>
      </c>
      <c r="AD950" s="298">
        <v>170</v>
      </c>
      <c r="AE950" s="289"/>
      <c r="AF950" s="289"/>
      <c r="AG950" s="289"/>
      <c r="AH950" s="289"/>
      <c r="AI950" s="289"/>
      <c r="AJ950" s="289"/>
      <c r="AK950" s="289"/>
      <c r="AL950" s="289"/>
    </row>
    <row r="951" spans="1:43">
      <c r="B951" s="532" t="str">
        <f>IF($C$1="ENG","glazing Graphite / Bronze","скло Графіт / Бронза")</f>
        <v>скло Графіт / Бронза</v>
      </c>
      <c r="C951" s="533"/>
      <c r="D951" s="406">
        <f t="shared" si="123"/>
        <v>458.33333333333337</v>
      </c>
      <c r="E951" s="93">
        <f t="shared" si="124"/>
        <v>550</v>
      </c>
      <c r="F951" s="26"/>
      <c r="G951" s="26"/>
      <c r="H951" s="5"/>
      <c r="AC951" s="298">
        <v>550</v>
      </c>
      <c r="AD951" s="298">
        <v>550</v>
      </c>
      <c r="AE951" s="289"/>
      <c r="AF951" s="289"/>
      <c r="AG951" s="289"/>
      <c r="AH951" s="289"/>
      <c r="AI951" s="289"/>
      <c r="AJ951" s="289"/>
      <c r="AK951" s="289"/>
      <c r="AL951" s="289"/>
    </row>
    <row r="952" spans="1:43">
      <c r="B952" s="532" t="str">
        <f>IF($C$1="ENG","glazing Lacobel black ","скло Lacobel чорне")</f>
        <v>скло Lacobel чорне</v>
      </c>
      <c r="C952" s="533"/>
      <c r="D952" s="406">
        <f t="shared" si="123"/>
        <v>458.33333333333337</v>
      </c>
      <c r="E952" s="93">
        <f>IF($W$5=0.2,D952*1.2,D952)/$W$4</f>
        <v>550</v>
      </c>
      <c r="F952" s="26"/>
      <c r="G952" s="26"/>
      <c r="H952" s="5"/>
      <c r="AC952" s="298">
        <v>550</v>
      </c>
      <c r="AD952" s="298">
        <v>550</v>
      </c>
      <c r="AE952" s="289"/>
      <c r="AF952" s="289"/>
      <c r="AG952" s="289"/>
      <c r="AH952" s="289"/>
      <c r="AI952" s="289"/>
      <c r="AJ952" s="289"/>
      <c r="AK952" s="289"/>
      <c r="AL952" s="289"/>
    </row>
    <row r="953" spans="1:43">
      <c r="B953" s="532" t="str">
        <f>IF($C$1="ENG","door lock Soft","замок Soft")</f>
        <v>замок Soft</v>
      </c>
      <c r="C953" s="533"/>
      <c r="D953" s="406">
        <f t="shared" si="123"/>
        <v>458.33333333333337</v>
      </c>
      <c r="E953" s="93">
        <f t="shared" si="124"/>
        <v>550</v>
      </c>
      <c r="F953" s="26"/>
      <c r="G953" s="26"/>
      <c r="H953" s="5"/>
      <c r="AC953" s="298">
        <v>550</v>
      </c>
      <c r="AD953" s="298">
        <v>550</v>
      </c>
      <c r="AE953" s="289"/>
      <c r="AF953" s="289"/>
      <c r="AG953" s="289"/>
      <c r="AH953" s="289"/>
      <c r="AI953" s="289"/>
      <c r="AJ953" s="289"/>
      <c r="AK953" s="289"/>
      <c r="AL953" s="289"/>
    </row>
    <row r="954" spans="1:43">
      <c r="B954" s="532" t="str">
        <f>IF($C$1="ENG","door lock Soft black","замок Soft чорн.")</f>
        <v>замок Soft чорн.</v>
      </c>
      <c r="C954" s="533"/>
      <c r="D954" s="406">
        <f t="shared" ref="D954" si="125">IF(AC954="","",(1-$W$2)*(AC954/1.2))</f>
        <v>566.66666666666674</v>
      </c>
      <c r="E954" s="93">
        <f t="shared" ref="E954" si="126">IF($W$5=0.2,D954*1.2,D954)/$W$4</f>
        <v>680.00000000000011</v>
      </c>
      <c r="F954" s="26"/>
      <c r="G954" s="26"/>
      <c r="H954" s="5"/>
      <c r="AC954" s="298">
        <v>680</v>
      </c>
      <c r="AD954" s="298"/>
      <c r="AE954" s="289"/>
      <c r="AF954" s="289"/>
      <c r="AG954" s="289"/>
      <c r="AH954" s="289"/>
      <c r="AI954" s="289"/>
      <c r="AJ954" s="289"/>
      <c r="AK954" s="289"/>
      <c r="AL954" s="289"/>
    </row>
    <row r="955" spans="1:43">
      <c r="B955" s="532" t="str">
        <f>IF($C$1="ENG","door lock Magnet","замок Magnet")</f>
        <v>замок Magnet</v>
      </c>
      <c r="C955" s="533"/>
      <c r="D955" s="406">
        <f t="shared" si="123"/>
        <v>666.66666666666674</v>
      </c>
      <c r="E955" s="93">
        <f t="shared" si="124"/>
        <v>800.00000000000011</v>
      </c>
      <c r="F955" s="26"/>
      <c r="G955" s="26"/>
      <c r="H955" s="5"/>
      <c r="AC955" s="298">
        <v>800</v>
      </c>
      <c r="AD955" s="298">
        <v>800</v>
      </c>
      <c r="AE955" s="289"/>
      <c r="AF955" s="289"/>
      <c r="AG955" s="289"/>
      <c r="AH955" s="289"/>
      <c r="AI955" s="289"/>
      <c r="AJ955" s="289"/>
      <c r="AK955" s="289"/>
      <c r="AL955" s="289"/>
    </row>
    <row r="956" spans="1:43">
      <c r="B956" s="532" t="s">
        <v>75</v>
      </c>
      <c r="C956" s="533"/>
      <c r="D956" s="406">
        <f t="shared" ref="D956" si="127">IF(AC956="","",(1-$W$2)*(AC956/1.2))</f>
        <v>833.33333333333337</v>
      </c>
      <c r="E956" s="93">
        <f t="shared" ref="E956" si="128">IF($W$5=0.2,D956*1.2,D956)/$W$4</f>
        <v>1000</v>
      </c>
      <c r="F956" s="26"/>
      <c r="G956" s="26"/>
      <c r="H956" s="5"/>
      <c r="AC956" s="298">
        <v>1000</v>
      </c>
      <c r="AD956" s="298"/>
      <c r="AE956" s="289"/>
      <c r="AF956" s="289"/>
      <c r="AG956" s="289"/>
      <c r="AH956" s="289"/>
      <c r="AI956" s="289"/>
      <c r="AJ956" s="289"/>
      <c r="AK956" s="289"/>
      <c r="AL956" s="289"/>
    </row>
    <row r="957" spans="1:43">
      <c r="B957" s="532" t="str">
        <f>IF($C$1="ENG","door handle-lock (for sliding doors)","ручка-замок (для дверей купе)")</f>
        <v>ручка-замок (для дверей купе)</v>
      </c>
      <c r="C957" s="533"/>
      <c r="D957" s="404">
        <f t="shared" si="123"/>
        <v>466.66666666666669</v>
      </c>
      <c r="E957" s="93">
        <f t="shared" si="124"/>
        <v>560</v>
      </c>
      <c r="F957" s="26"/>
      <c r="G957" s="26"/>
      <c r="I957" s="11"/>
      <c r="J957" s="11"/>
      <c r="K957" s="19"/>
      <c r="AC957" s="298">
        <v>560</v>
      </c>
      <c r="AD957" s="298">
        <v>560</v>
      </c>
      <c r="AE957" s="289"/>
      <c r="AF957" s="289"/>
      <c r="AG957" s="289"/>
      <c r="AH957" s="289"/>
      <c r="AI957" s="289"/>
      <c r="AJ957" s="289"/>
      <c r="AK957" s="289"/>
      <c r="AL957" s="289"/>
    </row>
    <row r="958" spans="1:43">
      <c r="B958" s="532" t="str">
        <f>IF($C$1="ENG","cylinder incert","циліндр несиметричний")</f>
        <v>циліндр несиметричний</v>
      </c>
      <c r="C958" s="533"/>
      <c r="D958" s="404">
        <f t="shared" si="123"/>
        <v>325</v>
      </c>
      <c r="E958" s="93">
        <f t="shared" si="124"/>
        <v>390</v>
      </c>
      <c r="F958" s="26"/>
      <c r="G958" s="26"/>
      <c r="AC958" s="298">
        <v>390</v>
      </c>
      <c r="AD958" s="298">
        <v>390</v>
      </c>
      <c r="AE958" s="289"/>
      <c r="AF958" s="289"/>
      <c r="AG958" s="289"/>
      <c r="AH958" s="289"/>
      <c r="AI958" s="289"/>
      <c r="AJ958" s="289"/>
      <c r="AK958" s="289"/>
      <c r="AL958" s="289"/>
    </row>
    <row r="959" spans="1:43">
      <c r="B959" s="532" t="str">
        <f>IF($C$1="ENG","door hindge Prestige (1 unit)","завіса Prestige (1 шт)")</f>
        <v>завіса Prestige (1 шт)</v>
      </c>
      <c r="C959" s="533"/>
      <c r="D959" s="407">
        <f t="shared" si="123"/>
        <v>216.66666666666669</v>
      </c>
      <c r="E959" s="93">
        <f t="shared" si="124"/>
        <v>260</v>
      </c>
      <c r="F959" s="26"/>
      <c r="G959" s="26"/>
      <c r="AC959" s="298">
        <v>260</v>
      </c>
      <c r="AD959" s="298">
        <v>260</v>
      </c>
      <c r="AE959" s="289"/>
      <c r="AF959" s="289"/>
      <c r="AG959" s="289"/>
      <c r="AH959" s="289"/>
      <c r="AI959" s="289"/>
      <c r="AJ959" s="289"/>
      <c r="AK959" s="289"/>
      <c r="AL959" s="289"/>
    </row>
    <row r="960" spans="1:43">
      <c r="B960" s="532" t="str">
        <f>IF($C$1="ENG","door hinge caps (1 set)","накладка на завіси (1 к-т)")</f>
        <v>накладка на завіси (1 к-т)</v>
      </c>
      <c r="C960" s="533"/>
      <c r="D960" s="407">
        <f t="shared" si="123"/>
        <v>66.666666666666671</v>
      </c>
      <c r="E960" s="93">
        <f t="shared" si="124"/>
        <v>80</v>
      </c>
      <c r="F960" s="26"/>
      <c r="G960" s="26"/>
      <c r="AC960" s="298">
        <v>80</v>
      </c>
      <c r="AD960" s="298">
        <v>80</v>
      </c>
      <c r="AE960" s="289"/>
      <c r="AF960" s="289"/>
      <c r="AG960" s="289"/>
      <c r="AH960" s="289"/>
      <c r="AI960" s="289"/>
      <c r="AJ960" s="289"/>
      <c r="AK960" s="289"/>
      <c r="AL960" s="289"/>
    </row>
    <row r="961" spans="2:38">
      <c r="B961" s="532" t="str">
        <f>IF($C$1="ENG","door handle","дверна ручка")</f>
        <v>дверна ручка</v>
      </c>
      <c r="C961" s="533"/>
      <c r="D961" s="408" t="str">
        <f t="shared" si="123"/>
        <v/>
      </c>
      <c r="E961" s="247" t="str">
        <f>IF($C$1="ENG","see Handles Price","див. Таблицю Ручки")</f>
        <v>див. Таблицю Ручки</v>
      </c>
      <c r="F961" s="26"/>
      <c r="G961" s="26"/>
      <c r="AC961" s="289"/>
      <c r="AD961" s="289"/>
      <c r="AE961" s="289"/>
      <c r="AF961" s="289"/>
      <c r="AG961" s="289"/>
      <c r="AH961" s="289"/>
      <c r="AI961" s="289"/>
      <c r="AJ961" s="289"/>
      <c r="AK961" s="289"/>
      <c r="AL961" s="289"/>
    </row>
    <row r="962" spans="2:38" ht="14.25" customHeight="1">
      <c r="C962" s="245"/>
      <c r="D962" s="26"/>
      <c r="E962" s="26"/>
      <c r="F962" s="26"/>
      <c r="G962" s="26"/>
      <c r="H962" s="5"/>
      <c r="T962" s="525" t="str">
        <f>IF($C$1="ENG",CONCATENATE("down to: ",B1012),CONCATENATE("вниз до: ",B1012))</f>
        <v>вниз до: Полотна збірні: ЛАДА-КОНЦЕПТ</v>
      </c>
      <c r="U962" s="525"/>
      <c r="V962" s="525"/>
      <c r="W962" s="525"/>
    </row>
    <row r="963" spans="2:38" ht="14.25" customHeight="1">
      <c r="C963" s="245"/>
      <c r="D963" s="26"/>
      <c r="E963" s="26"/>
      <c r="F963" s="26"/>
      <c r="G963" s="26"/>
      <c r="H963" s="5"/>
    </row>
    <row r="964" spans="2:38" ht="14.25" customHeight="1">
      <c r="C964" s="245"/>
      <c r="D964" s="26"/>
      <c r="E964" s="26"/>
      <c r="F964" s="26"/>
      <c r="G964" s="26"/>
      <c r="H964" s="5"/>
    </row>
    <row r="965" spans="2:38" ht="14.25" customHeight="1">
      <c r="C965" s="245"/>
      <c r="D965" s="26"/>
      <c r="E965" s="26"/>
      <c r="F965" s="26"/>
      <c r="G965" s="26"/>
      <c r="H965" s="5"/>
    </row>
    <row r="966" spans="2:38" ht="14.25" customHeight="1">
      <c r="C966" s="245"/>
      <c r="D966" s="26"/>
      <c r="E966" s="26"/>
      <c r="F966" s="26"/>
      <c r="G966" s="26"/>
      <c r="H966" s="5"/>
    </row>
    <row r="967" spans="2:38" ht="14.25" customHeight="1">
      <c r="C967" s="245"/>
      <c r="D967" s="26"/>
      <c r="E967" s="26"/>
      <c r="F967" s="26"/>
      <c r="G967" s="26"/>
      <c r="H967" s="5"/>
    </row>
    <row r="968" spans="2:38" ht="14.25" customHeight="1">
      <c r="C968" s="245"/>
      <c r="D968" s="26"/>
      <c r="E968" s="26"/>
      <c r="F968" s="26"/>
      <c r="G968" s="26"/>
      <c r="H968" s="5"/>
    </row>
    <row r="969" spans="2:38" ht="14.25" customHeight="1">
      <c r="C969" s="245"/>
      <c r="D969" s="26"/>
      <c r="E969" s="26"/>
      <c r="F969" s="26"/>
      <c r="G969" s="26"/>
      <c r="H969" s="5"/>
    </row>
    <row r="970" spans="2:38" ht="14.25" customHeight="1">
      <c r="C970" s="245"/>
      <c r="D970" s="26"/>
      <c r="E970" s="26"/>
      <c r="F970" s="26"/>
      <c r="G970" s="26"/>
      <c r="H970" s="5"/>
    </row>
    <row r="971" spans="2:38" ht="14.25" customHeight="1">
      <c r="C971" s="245"/>
      <c r="D971" s="26"/>
      <c r="E971" s="26"/>
      <c r="F971" s="26"/>
      <c r="G971" s="26"/>
      <c r="H971" s="5"/>
    </row>
    <row r="972" spans="2:38" ht="14.25" customHeight="1">
      <c r="C972" s="245"/>
      <c r="D972" s="26"/>
      <c r="E972" s="26"/>
      <c r="F972" s="26"/>
      <c r="G972" s="26"/>
      <c r="H972" s="5"/>
    </row>
    <row r="973" spans="2:38" ht="14.25" customHeight="1">
      <c r="C973" s="245"/>
      <c r="D973" s="26"/>
      <c r="E973" s="26"/>
      <c r="F973" s="26"/>
      <c r="G973" s="26"/>
      <c r="H973" s="5"/>
    </row>
    <row r="974" spans="2:38" ht="14.25" customHeight="1">
      <c r="C974" s="245"/>
      <c r="D974" s="26"/>
      <c r="E974" s="26"/>
      <c r="F974" s="26"/>
      <c r="G974" s="26"/>
      <c r="H974" s="5"/>
    </row>
    <row r="975" spans="2:38" ht="14.25" customHeight="1">
      <c r="C975" s="245"/>
      <c r="D975" s="26"/>
      <c r="E975" s="26"/>
      <c r="F975" s="26"/>
      <c r="G975" s="26"/>
      <c r="H975" s="5"/>
    </row>
    <row r="976" spans="2:38" ht="14.25" customHeight="1">
      <c r="C976" s="245"/>
      <c r="D976" s="26"/>
      <c r="E976" s="26"/>
      <c r="F976" s="26"/>
      <c r="G976" s="26"/>
      <c r="H976" s="5"/>
    </row>
    <row r="977" spans="3:8" ht="14.25" customHeight="1">
      <c r="C977" s="245"/>
      <c r="D977" s="26"/>
      <c r="E977" s="26"/>
      <c r="F977" s="26"/>
      <c r="G977" s="26"/>
      <c r="H977" s="5"/>
    </row>
    <row r="978" spans="3:8" ht="14.25" customHeight="1">
      <c r="C978" s="245"/>
      <c r="D978" s="26"/>
      <c r="E978" s="26"/>
      <c r="F978" s="26"/>
      <c r="G978" s="26"/>
      <c r="H978" s="5"/>
    </row>
    <row r="979" spans="3:8" ht="14.25" customHeight="1">
      <c r="C979" s="245"/>
      <c r="D979" s="26"/>
      <c r="E979" s="26"/>
      <c r="F979" s="26"/>
      <c r="G979" s="26"/>
      <c r="H979" s="5"/>
    </row>
    <row r="980" spans="3:8" ht="14.25" customHeight="1">
      <c r="C980" s="245"/>
      <c r="D980" s="26"/>
      <c r="E980" s="26"/>
      <c r="F980" s="26"/>
      <c r="G980" s="26"/>
      <c r="H980" s="5"/>
    </row>
    <row r="981" spans="3:8" ht="14.25" customHeight="1">
      <c r="C981" s="245"/>
      <c r="D981" s="26"/>
      <c r="E981" s="26"/>
      <c r="F981" s="26"/>
      <c r="G981" s="26"/>
      <c r="H981" s="5"/>
    </row>
    <row r="982" spans="3:8" ht="14.25" customHeight="1">
      <c r="C982" s="245"/>
      <c r="D982" s="26"/>
      <c r="E982" s="26"/>
      <c r="F982" s="26"/>
      <c r="G982" s="26"/>
      <c r="H982" s="5"/>
    </row>
    <row r="983" spans="3:8" ht="14.25" customHeight="1">
      <c r="C983" s="245"/>
      <c r="D983" s="26"/>
      <c r="E983" s="26"/>
      <c r="F983" s="26"/>
      <c r="G983" s="26"/>
      <c r="H983" s="5"/>
    </row>
    <row r="984" spans="3:8" ht="14.25" customHeight="1">
      <c r="C984" s="245"/>
      <c r="D984" s="26"/>
      <c r="E984" s="26"/>
      <c r="F984" s="26"/>
      <c r="G984" s="26"/>
      <c r="H984" s="5"/>
    </row>
    <row r="985" spans="3:8" ht="14.25" customHeight="1">
      <c r="C985" s="245"/>
      <c r="D985" s="26"/>
      <c r="E985" s="26"/>
      <c r="F985" s="26"/>
      <c r="G985" s="26"/>
      <c r="H985" s="5"/>
    </row>
    <row r="986" spans="3:8" ht="14.25" customHeight="1">
      <c r="C986" s="245"/>
      <c r="D986" s="26"/>
      <c r="E986" s="26"/>
      <c r="F986" s="26"/>
      <c r="G986" s="26"/>
      <c r="H986" s="5"/>
    </row>
    <row r="987" spans="3:8" ht="14.25" customHeight="1">
      <c r="C987" s="245"/>
      <c r="D987" s="26"/>
      <c r="E987" s="26"/>
      <c r="F987" s="26"/>
      <c r="G987" s="26"/>
      <c r="H987" s="5"/>
    </row>
    <row r="988" spans="3:8" ht="14.25" customHeight="1">
      <c r="C988" s="245"/>
      <c r="D988" s="26"/>
      <c r="E988" s="26"/>
      <c r="F988" s="26"/>
      <c r="G988" s="26"/>
      <c r="H988" s="5"/>
    </row>
    <row r="989" spans="3:8" ht="14.25" customHeight="1">
      <c r="C989" s="245"/>
      <c r="D989" s="26"/>
      <c r="E989" s="26"/>
      <c r="F989" s="26"/>
      <c r="G989" s="26"/>
      <c r="H989" s="5"/>
    </row>
    <row r="990" spans="3:8" ht="14.25" customHeight="1">
      <c r="C990" s="245"/>
      <c r="D990" s="26"/>
      <c r="E990" s="26"/>
      <c r="F990" s="26"/>
      <c r="G990" s="26"/>
      <c r="H990" s="5"/>
    </row>
    <row r="991" spans="3:8" ht="14.25" customHeight="1">
      <c r="C991" s="245"/>
      <c r="D991" s="26"/>
      <c r="E991" s="26"/>
      <c r="F991" s="26"/>
      <c r="G991" s="26"/>
      <c r="H991" s="5"/>
    </row>
    <row r="992" spans="3:8" ht="14.25" customHeight="1">
      <c r="C992" s="245"/>
      <c r="D992" s="26"/>
      <c r="E992" s="26"/>
      <c r="F992" s="26"/>
      <c r="G992" s="26"/>
      <c r="H992" s="5"/>
    </row>
    <row r="993" spans="3:8" ht="14.25" customHeight="1">
      <c r="C993" s="245"/>
      <c r="D993" s="26"/>
      <c r="E993" s="26"/>
      <c r="F993" s="26"/>
      <c r="G993" s="26"/>
      <c r="H993" s="5"/>
    </row>
    <row r="994" spans="3:8" ht="14.25" customHeight="1">
      <c r="C994" s="245"/>
      <c r="D994" s="26"/>
      <c r="E994" s="26"/>
      <c r="F994" s="26"/>
      <c r="G994" s="26"/>
      <c r="H994" s="5"/>
    </row>
    <row r="995" spans="3:8" ht="14.25" customHeight="1">
      <c r="C995" s="245"/>
      <c r="D995" s="26"/>
      <c r="E995" s="26"/>
      <c r="F995" s="26"/>
      <c r="G995" s="26"/>
      <c r="H995" s="5"/>
    </row>
    <row r="996" spans="3:8" ht="14.25" customHeight="1">
      <c r="C996" s="245"/>
      <c r="D996" s="26"/>
      <c r="E996" s="26"/>
      <c r="F996" s="26"/>
      <c r="G996" s="26"/>
      <c r="H996" s="5"/>
    </row>
    <row r="997" spans="3:8" ht="14.25" customHeight="1">
      <c r="C997" s="245"/>
      <c r="D997" s="26"/>
      <c r="E997" s="26"/>
      <c r="F997" s="26"/>
      <c r="G997" s="26"/>
      <c r="H997" s="5"/>
    </row>
    <row r="998" spans="3:8" ht="14.25" customHeight="1">
      <c r="C998" s="245"/>
      <c r="D998" s="26"/>
      <c r="E998" s="26"/>
      <c r="F998" s="26"/>
      <c r="G998" s="26"/>
      <c r="H998" s="5"/>
    </row>
    <row r="999" spans="3:8" ht="14.25" customHeight="1">
      <c r="C999" s="245"/>
      <c r="D999" s="26"/>
      <c r="E999" s="26"/>
      <c r="F999" s="26"/>
      <c r="G999" s="26"/>
      <c r="H999" s="5"/>
    </row>
    <row r="1000" spans="3:8" ht="14.25" customHeight="1">
      <c r="C1000" s="245"/>
      <c r="D1000" s="26"/>
      <c r="E1000" s="26"/>
      <c r="F1000" s="26"/>
      <c r="G1000" s="26"/>
      <c r="H1000" s="5"/>
    </row>
    <row r="1001" spans="3:8" ht="14.25" customHeight="1">
      <c r="C1001" s="245"/>
      <c r="D1001" s="26"/>
      <c r="E1001" s="26"/>
      <c r="F1001" s="26"/>
      <c r="G1001" s="26"/>
      <c r="H1001" s="5"/>
    </row>
    <row r="1002" spans="3:8" ht="14.25" customHeight="1">
      <c r="C1002" s="245"/>
      <c r="D1002" s="26"/>
      <c r="E1002" s="26"/>
      <c r="F1002" s="26"/>
      <c r="G1002" s="26"/>
      <c r="H1002" s="5"/>
    </row>
    <row r="1003" spans="3:8" ht="14.25" customHeight="1">
      <c r="C1003" s="245"/>
      <c r="D1003" s="26"/>
      <c r="E1003" s="26"/>
      <c r="F1003" s="26"/>
      <c r="G1003" s="26"/>
      <c r="H1003" s="5"/>
    </row>
    <row r="1004" spans="3:8" ht="14.25" customHeight="1">
      <c r="C1004" s="245"/>
      <c r="D1004" s="26"/>
      <c r="E1004" s="26"/>
      <c r="F1004" s="26"/>
      <c r="G1004" s="26"/>
      <c r="H1004" s="5"/>
    </row>
    <row r="1005" spans="3:8" ht="14.25" customHeight="1">
      <c r="C1005" s="245"/>
      <c r="D1005" s="26"/>
      <c r="E1005" s="26"/>
      <c r="F1005" s="26"/>
      <c r="G1005" s="26"/>
      <c r="H1005" s="5"/>
    </row>
    <row r="1006" spans="3:8" ht="14.25" customHeight="1">
      <c r="C1006" s="245"/>
      <c r="D1006" s="26"/>
      <c r="E1006" s="26"/>
      <c r="F1006" s="26"/>
      <c r="G1006" s="26"/>
      <c r="H1006" s="5"/>
    </row>
    <row r="1007" spans="3:8" ht="14.25" customHeight="1">
      <c r="C1007" s="245"/>
      <c r="D1007" s="26"/>
      <c r="E1007" s="26"/>
      <c r="F1007" s="26"/>
      <c r="G1007" s="26"/>
      <c r="H1007" s="5"/>
    </row>
    <row r="1008" spans="3:8" ht="14.25" customHeight="1">
      <c r="C1008" s="245"/>
      <c r="D1008" s="26"/>
      <c r="E1008" s="26"/>
      <c r="F1008" s="26"/>
      <c r="G1008" s="26"/>
      <c r="H1008" s="5"/>
    </row>
    <row r="1009" spans="1:46" ht="14.25" customHeight="1">
      <c r="C1009" s="245"/>
      <c r="D1009" s="26"/>
      <c r="E1009" s="26"/>
      <c r="F1009" s="26"/>
      <c r="G1009" s="26"/>
      <c r="H1009" s="5"/>
    </row>
    <row r="1010" spans="1:46" ht="14.25" customHeight="1">
      <c r="C1010" s="245"/>
      <c r="D1010" s="26"/>
      <c r="E1010" s="26"/>
      <c r="F1010" s="26"/>
      <c r="G1010" s="26"/>
      <c r="H1010" s="5"/>
    </row>
    <row r="1011" spans="1:46" ht="14.25" customHeight="1">
      <c r="C1011" s="245"/>
      <c r="D1011" s="26"/>
      <c r="E1011" s="26"/>
      <c r="F1011" s="26"/>
      <c r="G1011" s="26"/>
      <c r="H1011" s="5"/>
    </row>
    <row r="1012" spans="1:46" s="8" customFormat="1" ht="12.75" customHeight="1">
      <c r="B1012" s="518" t="str">
        <f>TITLE!$C$22</f>
        <v>Полотна збірні: ЛАДА-КОНЦЕПТ</v>
      </c>
      <c r="C1012" s="518"/>
      <c r="D1012" s="118"/>
      <c r="E1012" s="118"/>
      <c r="F1012" s="118"/>
      <c r="G1012" s="118"/>
      <c r="H1012" s="520"/>
      <c r="I1012" s="520"/>
      <c r="J1012" s="121"/>
      <c r="K1012" s="121"/>
      <c r="L1012" s="121"/>
      <c r="M1012" s="121"/>
      <c r="N1012" s="121"/>
      <c r="O1012" s="121"/>
      <c r="P1012" s="121"/>
      <c r="Q1012" s="121"/>
      <c r="R1012" s="121"/>
      <c r="S1012" s="121"/>
      <c r="T1012" s="529" t="str">
        <f>IF($C$1="ENG",CONCATENATE("up to: ",B939),CONCATENATE("вгору до: ",B939))</f>
        <v>вгору до: Полотна збірні: ЛІСА</v>
      </c>
      <c r="U1012" s="529"/>
      <c r="V1012" s="529"/>
      <c r="W1012" s="529"/>
      <c r="AN1012" s="280"/>
      <c r="AO1012" s="280"/>
      <c r="AP1012" s="280"/>
      <c r="AQ1012" s="280"/>
      <c r="AR1012" s="280"/>
      <c r="AS1012" s="280"/>
      <c r="AT1012" s="280"/>
    </row>
    <row r="1013" spans="1:46" s="8" customFormat="1" ht="5.0999999999999996" customHeight="1">
      <c r="B1013" s="117"/>
      <c r="C1013" s="419"/>
      <c r="D1013" s="9"/>
      <c r="E1013" s="9"/>
      <c r="F1013" s="9"/>
      <c r="G1013" s="9"/>
      <c r="H1013" s="120"/>
      <c r="I1013" s="120"/>
      <c r="T1013" s="115"/>
      <c r="U1013" s="115"/>
      <c r="V1013" s="115"/>
      <c r="W1013" s="115"/>
      <c r="AN1013" s="280"/>
      <c r="AO1013" s="280"/>
      <c r="AP1013" s="280"/>
      <c r="AQ1013" s="280"/>
      <c r="AR1013" s="280"/>
      <c r="AS1013" s="280"/>
      <c r="AT1013" s="280"/>
    </row>
    <row r="1014" spans="1:46" s="8" customFormat="1" ht="12.75" customHeight="1">
      <c r="B1014" s="536" t="str">
        <f>IF($C$1="ENG","model","модель")</f>
        <v>модель</v>
      </c>
      <c r="C1014" s="122" t="str">
        <f>IF($C$1="ENG","cover:","покриття:")</f>
        <v>покриття:</v>
      </c>
      <c r="D1014" s="522" t="str">
        <f>IF($C$1="ENG","Verto-CELL","Verto-CELL")</f>
        <v>Verto-CELL</v>
      </c>
      <c r="E1014" s="524"/>
      <c r="F1014" s="522" t="str">
        <f>IF($C$1="ENG","UNI-MAT","UNI-MAT")</f>
        <v>UNI-MAT</v>
      </c>
      <c r="G1014" s="524"/>
      <c r="H1014" s="522" t="str">
        <f>IF($C$1="ENG","RESIST","RESIST")</f>
        <v>RESIST</v>
      </c>
      <c r="I1014" s="524"/>
      <c r="J1014" s="522" t="str">
        <f>IF($C$1="ENG","Verto LINE-3D","Verto LINE-3D")</f>
        <v>Verto LINE-3D</v>
      </c>
      <c r="K1014" s="524"/>
      <c r="L1014" s="522" t="str">
        <f>IF($C$1="ENG","ECO Shpon","ЕКО Шпон")</f>
        <v>ЕКО Шпон</v>
      </c>
      <c r="M1014" s="524"/>
      <c r="P1014" s="84"/>
      <c r="Q1014" s="84"/>
      <c r="T1014" s="115"/>
      <c r="U1014" s="115"/>
      <c r="V1014" s="115"/>
      <c r="W1014" s="115"/>
      <c r="AN1014" s="280"/>
      <c r="AO1014" s="280"/>
      <c r="AP1014" s="280"/>
      <c r="AQ1014" s="280"/>
      <c r="AR1014" s="280"/>
      <c r="AS1014" s="280"/>
      <c r="AT1014" s="280"/>
    </row>
    <row r="1015" spans="1:46" s="8" customFormat="1" ht="27.75" customHeight="1">
      <c r="B1015" s="537"/>
      <c r="C1015" s="123" t="str">
        <f>IF($C$1="ENG","filling:","заповнення:")</f>
        <v>заповнення:</v>
      </c>
      <c r="D1015" s="527" t="str">
        <f>IF($C$1="ENG","softwood","клеєний сосновий брус")</f>
        <v>клеєний сосновий брус</v>
      </c>
      <c r="E1015" s="528"/>
      <c r="F1015" s="527" t="str">
        <f>IF($C$1="ENG","softwood","клеєний сосновий брус")</f>
        <v>клеєний сосновий брус</v>
      </c>
      <c r="G1015" s="528"/>
      <c r="H1015" s="527" t="str">
        <f>IF($C$1="ENG","softwood","клеєний сосновий брус")</f>
        <v>клеєний сосновий брус</v>
      </c>
      <c r="I1015" s="528"/>
      <c r="J1015" s="527" t="str">
        <f>IF($C$1="ENG","softwood","клеєний сосновий брус")</f>
        <v>клеєний сосновий брус</v>
      </c>
      <c r="K1015" s="528"/>
      <c r="L1015" s="527" t="str">
        <f>IF($C$1="ENG","softwood","клеєний сосновий брус")</f>
        <v>клеєний сосновий брус</v>
      </c>
      <c r="M1015" s="528"/>
      <c r="P1015" s="84"/>
      <c r="Q1015" s="84"/>
      <c r="T1015" s="115"/>
      <c r="U1015" s="115"/>
      <c r="V1015" s="115"/>
      <c r="W1015" s="115"/>
      <c r="AD1015" s="382">
        <f>AD1017/AC1017-1</f>
        <v>0.10894308943089426</v>
      </c>
      <c r="AE1015" s="382">
        <f>AE1017/AD1017-1</f>
        <v>3.0791788856304958E-2</v>
      </c>
      <c r="AF1015" s="382">
        <f>AF1017/AE1017-1</f>
        <v>9.1038406827880447E-2</v>
      </c>
      <c r="AG1015" s="382">
        <f>AG1017/AF1017-1</f>
        <v>4.8239895697522739E-2</v>
      </c>
      <c r="AN1015" s="280"/>
      <c r="AO1015" s="280"/>
      <c r="AP1015" s="280"/>
      <c r="AQ1015" s="280"/>
      <c r="AR1015" s="280"/>
      <c r="AS1015" s="280"/>
      <c r="AT1015" s="280"/>
    </row>
    <row r="1016" spans="1:46" ht="12.75" customHeight="1">
      <c r="A1016" s="8"/>
      <c r="B1016" s="538"/>
      <c r="C1016" s="124" t="str">
        <f>IF($C$1="ENG","glazing:","скління:")</f>
        <v>скління:</v>
      </c>
      <c r="D1016" s="513" t="str">
        <f>IF($C$1="ENG","Satin","Сатин")</f>
        <v>Сатин</v>
      </c>
      <c r="E1016" s="516"/>
      <c r="F1016" s="513" t="str">
        <f>IF($C$1="ENG","Satin","Сатин")</f>
        <v>Сатин</v>
      </c>
      <c r="G1016" s="516"/>
      <c r="H1016" s="513" t="str">
        <f>IF($C$1="ENG","Satin","Сатин")</f>
        <v>Сатин</v>
      </c>
      <c r="I1016" s="516"/>
      <c r="J1016" s="513" t="str">
        <f>IF($C$1="ENG","Satin","Сатин")</f>
        <v>Сатин</v>
      </c>
      <c r="K1016" s="516"/>
      <c r="L1016" s="513" t="str">
        <f>IF($C$1="ENG","Satin","Сатин")</f>
        <v>Сатин</v>
      </c>
      <c r="M1016" s="516"/>
      <c r="N1016" s="11"/>
      <c r="O1016" s="11"/>
      <c r="P1016" s="84"/>
      <c r="Q1016" s="84"/>
      <c r="R1016" s="11"/>
      <c r="S1016" s="11"/>
      <c r="T1016" s="11"/>
    </row>
    <row r="1017" spans="1:46" ht="35.1" customHeight="1">
      <c r="A1017" s="8"/>
      <c r="B1017" s="16" t="s">
        <v>28</v>
      </c>
      <c r="C1017" s="17"/>
      <c r="D1017" s="18">
        <f t="shared" ref="D1017:D1022" si="129">IF(AC1017="","",(1-$W$2)*(AC1017/1.2))</f>
        <v>5125</v>
      </c>
      <c r="E1017" s="66">
        <f t="shared" ref="E1017:E1022" si="130">IF($W$5=0.2,D1017*1.2,D1017)/$W$4</f>
        <v>6150</v>
      </c>
      <c r="F1017" s="18">
        <f t="shared" ref="F1017:F1022" si="131">IF(AD1017="","",(1-$W$2)*(AD1017/1.2))</f>
        <v>5683.3333333333339</v>
      </c>
      <c r="G1017" s="66">
        <f t="shared" ref="G1017:G1022" si="132">IF($W$5=0.2,F1017*1.2,F1017)/$W$4</f>
        <v>6820.0000000000009</v>
      </c>
      <c r="H1017" s="18">
        <f t="shared" ref="H1017:H1022" si="133">IF(AE1017="","",(1-$W$2)*(AE1017/1.2))</f>
        <v>5858.3333333333339</v>
      </c>
      <c r="I1017" s="66">
        <f t="shared" ref="I1017:I1022" si="134">IF($W$5=0.2,H1017*1.2,H1017)/$W$4</f>
        <v>7030.0000000000009</v>
      </c>
      <c r="J1017" s="18">
        <f t="shared" ref="J1017:J1022" si="135">IF(AF1017="","",(1-$W$2)*(AF1017/1.2))</f>
        <v>6391.666666666667</v>
      </c>
      <c r="K1017" s="66">
        <f t="shared" ref="K1017:K1022" si="136">IF($W$5=0.2,J1017*1.2,J1017)/$W$4</f>
        <v>7670</v>
      </c>
      <c r="L1017" s="18">
        <f t="shared" ref="L1017:L1022" si="137">IF(AG1017="","",(1-$W$2)*(AG1017/1.2))</f>
        <v>6700</v>
      </c>
      <c r="M1017" s="66">
        <f t="shared" ref="M1017:M1022" si="138">IF($W$5=0.2,L1017*1.2,L1017)/$W$4</f>
        <v>8040</v>
      </c>
      <c r="N1017" s="290"/>
      <c r="O1017" s="8"/>
      <c r="P1017" s="84"/>
      <c r="Q1017" s="84"/>
      <c r="R1017" s="290"/>
      <c r="S1017" s="8"/>
      <c r="T1017" s="290"/>
      <c r="U1017" s="84"/>
      <c r="V1017" s="290"/>
      <c r="W1017" s="84"/>
      <c r="X1017" s="22"/>
      <c r="Y1017" s="22"/>
      <c r="Z1017" s="22"/>
      <c r="AA1017" s="22"/>
      <c r="AB1017" s="22"/>
      <c r="AC1017" s="332">
        <v>6150</v>
      </c>
      <c r="AD1017" s="390">
        <v>6820</v>
      </c>
      <c r="AE1017" s="332">
        <v>7030</v>
      </c>
      <c r="AF1017" s="332">
        <v>7670</v>
      </c>
      <c r="AG1017" s="332">
        <v>8040</v>
      </c>
      <c r="AH1017" s="289">
        <v>6150</v>
      </c>
      <c r="AI1017" s="289">
        <f>AH1017/AC1017-1</f>
        <v>0</v>
      </c>
      <c r="AJ1017" s="289">
        <v>6820</v>
      </c>
      <c r="AK1017" s="289">
        <f>AJ1017/AD1017-1</f>
        <v>0</v>
      </c>
      <c r="AL1017" s="289">
        <v>7030</v>
      </c>
      <c r="AM1017" s="289">
        <f>AL1017/AE1017-1</f>
        <v>0</v>
      </c>
      <c r="AN1017" s="289">
        <v>7670</v>
      </c>
      <c r="AO1017" s="289">
        <f>AN1017/AF1017-1</f>
        <v>0</v>
      </c>
      <c r="AP1017" s="289">
        <v>8040</v>
      </c>
      <c r="AQ1017" s="289">
        <f>AP1017/AG1017-1</f>
        <v>0</v>
      </c>
    </row>
    <row r="1018" spans="1:46" ht="35.1" customHeight="1">
      <c r="A1018" s="8"/>
      <c r="B1018" s="16" t="s">
        <v>22</v>
      </c>
      <c r="C1018" s="17"/>
      <c r="D1018" s="18">
        <f t="shared" si="129"/>
        <v>5308.3333333333339</v>
      </c>
      <c r="E1018" s="66">
        <f t="shared" si="130"/>
        <v>6370.0000000000009</v>
      </c>
      <c r="F1018" s="18">
        <f t="shared" si="131"/>
        <v>5900</v>
      </c>
      <c r="G1018" s="66">
        <f t="shared" si="132"/>
        <v>7080</v>
      </c>
      <c r="H1018" s="18">
        <f t="shared" si="133"/>
        <v>6083.3333333333339</v>
      </c>
      <c r="I1018" s="66">
        <f t="shared" si="134"/>
        <v>7300.0000000000009</v>
      </c>
      <c r="J1018" s="18">
        <f t="shared" si="135"/>
        <v>6516.666666666667</v>
      </c>
      <c r="K1018" s="66">
        <f t="shared" si="136"/>
        <v>7820</v>
      </c>
      <c r="L1018" s="18">
        <f t="shared" si="137"/>
        <v>6808.3333333333339</v>
      </c>
      <c r="M1018" s="66">
        <f t="shared" si="138"/>
        <v>8170</v>
      </c>
      <c r="N1018" s="290"/>
      <c r="O1018" s="8"/>
      <c r="P1018" s="84"/>
      <c r="Q1018" s="84"/>
      <c r="R1018" s="290"/>
      <c r="S1018" s="8"/>
      <c r="T1018" s="290"/>
      <c r="U1018" s="84"/>
      <c r="V1018" s="290"/>
      <c r="W1018" s="84"/>
      <c r="X1018" s="22"/>
      <c r="Y1018" s="22"/>
      <c r="Z1018" s="22"/>
      <c r="AA1018" s="22"/>
      <c r="AB1018" s="22"/>
      <c r="AC1018" s="332">
        <v>6370</v>
      </c>
      <c r="AD1018" s="390">
        <v>7080</v>
      </c>
      <c r="AE1018" s="332">
        <v>7300</v>
      </c>
      <c r="AF1018" s="332">
        <v>7820</v>
      </c>
      <c r="AG1018" s="332">
        <v>8170</v>
      </c>
      <c r="AH1018" s="289">
        <v>6370</v>
      </c>
      <c r="AI1018" s="289">
        <f t="shared" ref="AI1018:AI1022" si="139">AH1018/AC1018-1</f>
        <v>0</v>
      </c>
      <c r="AJ1018" s="289">
        <v>7080</v>
      </c>
      <c r="AK1018" s="289">
        <f t="shared" ref="AK1018:AK1022" si="140">AJ1018/AD1018-1</f>
        <v>0</v>
      </c>
      <c r="AL1018" s="289">
        <v>7300</v>
      </c>
      <c r="AM1018" s="289">
        <f t="shared" ref="AM1018:AM1022" si="141">AL1018/AE1018-1</f>
        <v>0</v>
      </c>
      <c r="AN1018" s="289">
        <v>7820</v>
      </c>
      <c r="AO1018" s="289">
        <f t="shared" ref="AO1018:AO1022" si="142">AN1018/AF1018-1</f>
        <v>0</v>
      </c>
      <c r="AP1018" s="289">
        <v>8170</v>
      </c>
      <c r="AQ1018" s="289">
        <f t="shared" ref="AQ1018:AQ1022" si="143">AP1018/AG1018-1</f>
        <v>0</v>
      </c>
    </row>
    <row r="1019" spans="1:46" ht="35.1" customHeight="1">
      <c r="A1019" s="8"/>
      <c r="B1019" s="16" t="s">
        <v>23</v>
      </c>
      <c r="C1019" s="17"/>
      <c r="D1019" s="18">
        <f t="shared" si="129"/>
        <v>5600</v>
      </c>
      <c r="E1019" s="66">
        <f t="shared" si="130"/>
        <v>6720</v>
      </c>
      <c r="F1019" s="18">
        <f t="shared" si="131"/>
        <v>6216.666666666667</v>
      </c>
      <c r="G1019" s="66">
        <f t="shared" si="132"/>
        <v>7460</v>
      </c>
      <c r="H1019" s="18">
        <f t="shared" si="133"/>
        <v>6400</v>
      </c>
      <c r="I1019" s="66">
        <f t="shared" si="134"/>
        <v>7680</v>
      </c>
      <c r="J1019" s="18">
        <f t="shared" si="135"/>
        <v>7125</v>
      </c>
      <c r="K1019" s="66">
        <f t="shared" si="136"/>
        <v>8550</v>
      </c>
      <c r="L1019" s="18">
        <f t="shared" si="137"/>
        <v>7175</v>
      </c>
      <c r="M1019" s="66">
        <f t="shared" si="138"/>
        <v>8610</v>
      </c>
      <c r="N1019" s="290"/>
      <c r="O1019" s="8"/>
      <c r="P1019" s="84"/>
      <c r="Q1019" s="84"/>
      <c r="R1019" s="290"/>
      <c r="S1019" s="8"/>
      <c r="T1019" s="290"/>
      <c r="U1019" s="84"/>
      <c r="V1019" s="290"/>
      <c r="W1019" s="84"/>
      <c r="X1019" s="22"/>
      <c r="Y1019" s="22"/>
      <c r="Z1019" s="22"/>
      <c r="AA1019" s="22"/>
      <c r="AB1019" s="22"/>
      <c r="AC1019" s="332">
        <v>6720</v>
      </c>
      <c r="AD1019" s="390">
        <v>7460</v>
      </c>
      <c r="AE1019" s="332">
        <v>7680</v>
      </c>
      <c r="AF1019" s="332">
        <v>8550</v>
      </c>
      <c r="AG1019" s="332">
        <v>8610</v>
      </c>
      <c r="AH1019" s="289">
        <v>6720</v>
      </c>
      <c r="AI1019" s="289">
        <f t="shared" si="139"/>
        <v>0</v>
      </c>
      <c r="AJ1019" s="289">
        <v>7460</v>
      </c>
      <c r="AK1019" s="289">
        <f t="shared" si="140"/>
        <v>0</v>
      </c>
      <c r="AL1019" s="289">
        <v>7680</v>
      </c>
      <c r="AM1019" s="289">
        <f t="shared" si="141"/>
        <v>0</v>
      </c>
      <c r="AN1019" s="289">
        <v>8550</v>
      </c>
      <c r="AO1019" s="289">
        <f t="shared" si="142"/>
        <v>0</v>
      </c>
      <c r="AP1019" s="289">
        <v>8610</v>
      </c>
      <c r="AQ1019" s="289">
        <f t="shared" si="143"/>
        <v>0</v>
      </c>
    </row>
    <row r="1020" spans="1:46" ht="35.1" customHeight="1">
      <c r="A1020" s="8"/>
      <c r="B1020" s="16" t="s">
        <v>8</v>
      </c>
      <c r="C1020" s="17"/>
      <c r="D1020" s="18">
        <f t="shared" si="129"/>
        <v>5308.3333333333339</v>
      </c>
      <c r="E1020" s="66">
        <f t="shared" si="130"/>
        <v>6370.0000000000009</v>
      </c>
      <c r="F1020" s="18">
        <f t="shared" si="131"/>
        <v>5900</v>
      </c>
      <c r="G1020" s="66">
        <f t="shared" si="132"/>
        <v>7080</v>
      </c>
      <c r="H1020" s="18">
        <f t="shared" si="133"/>
        <v>6083.3333333333339</v>
      </c>
      <c r="I1020" s="66">
        <f t="shared" si="134"/>
        <v>7300.0000000000009</v>
      </c>
      <c r="J1020" s="18">
        <f t="shared" si="135"/>
        <v>6516.666666666667</v>
      </c>
      <c r="K1020" s="66">
        <f t="shared" si="136"/>
        <v>7820</v>
      </c>
      <c r="L1020" s="18">
        <f t="shared" si="137"/>
        <v>6808.3333333333339</v>
      </c>
      <c r="M1020" s="66">
        <f t="shared" si="138"/>
        <v>8170</v>
      </c>
      <c r="N1020" s="290"/>
      <c r="O1020" s="84"/>
      <c r="P1020" s="84"/>
      <c r="Q1020" s="84"/>
      <c r="R1020" s="290"/>
      <c r="S1020" s="84"/>
      <c r="T1020" s="290"/>
      <c r="U1020" s="84"/>
      <c r="V1020" s="290"/>
      <c r="W1020" s="84"/>
      <c r="X1020" s="22"/>
      <c r="Y1020" s="22"/>
      <c r="Z1020" s="22"/>
      <c r="AA1020" s="22"/>
      <c r="AB1020" s="22"/>
      <c r="AC1020" s="332">
        <v>6370</v>
      </c>
      <c r="AD1020" s="390">
        <v>7080</v>
      </c>
      <c r="AE1020" s="332">
        <v>7300</v>
      </c>
      <c r="AF1020" s="332">
        <v>7820</v>
      </c>
      <c r="AG1020" s="332">
        <v>8170</v>
      </c>
      <c r="AH1020" s="289">
        <v>6370</v>
      </c>
      <c r="AI1020" s="289">
        <f t="shared" si="139"/>
        <v>0</v>
      </c>
      <c r="AJ1020" s="289">
        <v>7080</v>
      </c>
      <c r="AK1020" s="289">
        <f t="shared" si="140"/>
        <v>0</v>
      </c>
      <c r="AL1020" s="289">
        <v>7300</v>
      </c>
      <c r="AM1020" s="289">
        <f t="shared" si="141"/>
        <v>0</v>
      </c>
      <c r="AN1020" s="289">
        <v>7820</v>
      </c>
      <c r="AO1020" s="289">
        <f t="shared" si="142"/>
        <v>0</v>
      </c>
      <c r="AP1020" s="289">
        <v>8170</v>
      </c>
      <c r="AQ1020" s="289">
        <f t="shared" si="143"/>
        <v>0</v>
      </c>
    </row>
    <row r="1021" spans="1:46" ht="35.1" customHeight="1">
      <c r="A1021" s="8"/>
      <c r="B1021" s="16" t="s">
        <v>9</v>
      </c>
      <c r="C1021" s="17"/>
      <c r="D1021" s="18">
        <f t="shared" si="129"/>
        <v>5050</v>
      </c>
      <c r="E1021" s="66">
        <f t="shared" si="130"/>
        <v>6060</v>
      </c>
      <c r="F1021" s="18">
        <f t="shared" si="131"/>
        <v>5600</v>
      </c>
      <c r="G1021" s="66">
        <f t="shared" si="132"/>
        <v>6720</v>
      </c>
      <c r="H1021" s="18">
        <f t="shared" si="133"/>
        <v>5775</v>
      </c>
      <c r="I1021" s="66">
        <f t="shared" si="134"/>
        <v>6930</v>
      </c>
      <c r="J1021" s="18">
        <f t="shared" si="135"/>
        <v>6233.3333333333339</v>
      </c>
      <c r="K1021" s="66">
        <f t="shared" si="136"/>
        <v>7480</v>
      </c>
      <c r="L1021" s="18">
        <f t="shared" si="137"/>
        <v>6525</v>
      </c>
      <c r="M1021" s="66">
        <f t="shared" si="138"/>
        <v>7830</v>
      </c>
      <c r="N1021" s="290"/>
      <c r="O1021" s="8"/>
      <c r="P1021" s="84"/>
      <c r="Q1021" s="84"/>
      <c r="R1021" s="290"/>
      <c r="S1021" s="8"/>
      <c r="T1021" s="290"/>
      <c r="U1021" s="84"/>
      <c r="V1021" s="290"/>
      <c r="W1021" s="84"/>
      <c r="X1021" s="22"/>
      <c r="Y1021" s="22"/>
      <c r="Z1021" s="22"/>
      <c r="AA1021" s="22"/>
      <c r="AB1021" s="22"/>
      <c r="AC1021" s="332">
        <v>6060</v>
      </c>
      <c r="AD1021" s="390">
        <v>6720</v>
      </c>
      <c r="AE1021" s="332">
        <v>6930</v>
      </c>
      <c r="AF1021" s="332">
        <v>7480</v>
      </c>
      <c r="AG1021" s="332">
        <v>7830</v>
      </c>
      <c r="AH1021" s="289">
        <v>6060</v>
      </c>
      <c r="AI1021" s="289">
        <f t="shared" si="139"/>
        <v>0</v>
      </c>
      <c r="AJ1021" s="289">
        <v>6720</v>
      </c>
      <c r="AK1021" s="289">
        <f t="shared" si="140"/>
        <v>0</v>
      </c>
      <c r="AL1021" s="289">
        <v>6930</v>
      </c>
      <c r="AM1021" s="289">
        <f t="shared" si="141"/>
        <v>0</v>
      </c>
      <c r="AN1021" s="289">
        <v>7480</v>
      </c>
      <c r="AO1021" s="289">
        <f t="shared" si="142"/>
        <v>0</v>
      </c>
      <c r="AP1021" s="289">
        <v>7830</v>
      </c>
      <c r="AQ1021" s="289">
        <f t="shared" si="143"/>
        <v>0</v>
      </c>
    </row>
    <row r="1022" spans="1:46" ht="35.1" customHeight="1">
      <c r="A1022" s="8"/>
      <c r="B1022" s="23" t="s">
        <v>10</v>
      </c>
      <c r="C1022" s="24"/>
      <c r="D1022" s="25">
        <f t="shared" si="129"/>
        <v>4783.3333333333339</v>
      </c>
      <c r="E1022" s="69">
        <f t="shared" si="130"/>
        <v>5740.0000000000009</v>
      </c>
      <c r="F1022" s="25">
        <f t="shared" si="131"/>
        <v>5300</v>
      </c>
      <c r="G1022" s="69">
        <f t="shared" si="132"/>
        <v>6360</v>
      </c>
      <c r="H1022" s="25">
        <f t="shared" si="133"/>
        <v>5483.3333333333339</v>
      </c>
      <c r="I1022" s="69">
        <f t="shared" si="134"/>
        <v>6580.0000000000009</v>
      </c>
      <c r="J1022" s="25">
        <f t="shared" si="135"/>
        <v>5858.3333333333339</v>
      </c>
      <c r="K1022" s="69">
        <f t="shared" si="136"/>
        <v>7030.0000000000009</v>
      </c>
      <c r="L1022" s="25">
        <f t="shared" si="137"/>
        <v>6100</v>
      </c>
      <c r="M1022" s="69">
        <f t="shared" si="138"/>
        <v>7320</v>
      </c>
      <c r="N1022" s="290"/>
      <c r="O1022" s="8"/>
      <c r="P1022" s="84"/>
      <c r="Q1022" s="84"/>
      <c r="R1022" s="290"/>
      <c r="S1022" s="8"/>
      <c r="T1022" s="290"/>
      <c r="U1022" s="84"/>
      <c r="V1022" s="290"/>
      <c r="W1022" s="84"/>
      <c r="X1022" s="22"/>
      <c r="Y1022" s="22"/>
      <c r="Z1022" s="22"/>
      <c r="AA1022" s="22"/>
      <c r="AB1022" s="22"/>
      <c r="AC1022" s="332">
        <v>5740</v>
      </c>
      <c r="AD1022" s="390">
        <v>6360</v>
      </c>
      <c r="AE1022" s="332">
        <v>6580</v>
      </c>
      <c r="AF1022" s="332">
        <v>7030</v>
      </c>
      <c r="AG1022" s="332">
        <v>7320</v>
      </c>
      <c r="AH1022" s="289">
        <v>5740</v>
      </c>
      <c r="AI1022" s="289">
        <f t="shared" si="139"/>
        <v>0</v>
      </c>
      <c r="AJ1022" s="289">
        <v>6360</v>
      </c>
      <c r="AK1022" s="289">
        <f t="shared" si="140"/>
        <v>0</v>
      </c>
      <c r="AL1022" s="289">
        <v>6580</v>
      </c>
      <c r="AM1022" s="289">
        <f t="shared" si="141"/>
        <v>0</v>
      </c>
      <c r="AN1022" s="289">
        <v>7030</v>
      </c>
      <c r="AO1022" s="289">
        <f t="shared" si="142"/>
        <v>0</v>
      </c>
      <c r="AP1022" s="289">
        <v>7320</v>
      </c>
      <c r="AQ1022" s="289">
        <f t="shared" si="143"/>
        <v>0</v>
      </c>
    </row>
    <row r="1023" spans="1:46">
      <c r="C1023" s="245"/>
      <c r="D1023" s="26"/>
      <c r="E1023" s="57"/>
      <c r="F1023" s="26"/>
      <c r="G1023" s="57"/>
      <c r="H1023" s="10"/>
      <c r="I1023" s="8"/>
      <c r="J1023" s="8"/>
      <c r="K1023" s="8"/>
      <c r="L1023" s="8"/>
      <c r="P1023" s="84"/>
      <c r="Q1023" s="84"/>
      <c r="W1023" s="20"/>
      <c r="X1023" s="22"/>
      <c r="Y1023" s="22"/>
      <c r="Z1023" s="22"/>
      <c r="AA1023" s="22"/>
      <c r="AB1023" s="22"/>
    </row>
    <row r="1024" spans="1:46">
      <c r="B1024" s="212" t="str">
        <f>IF($C$1="ENG","For additonal charge:","Послуги за додаткову плату:")</f>
        <v>Послуги за додаткову плату:</v>
      </c>
      <c r="C1024" s="420"/>
      <c r="D1024" s="213"/>
      <c r="E1024" s="214"/>
      <c r="F1024" s="26"/>
      <c r="G1024" s="57"/>
      <c r="H1024" s="10"/>
      <c r="I1024" s="8"/>
      <c r="J1024" s="8"/>
      <c r="K1024" s="8"/>
    </row>
    <row r="1025" spans="2:38" ht="5.0999999999999996" customHeight="1">
      <c r="B1025" s="27"/>
      <c r="C1025" s="245"/>
      <c r="D1025" s="26"/>
      <c r="E1025" s="57"/>
      <c r="F1025" s="26"/>
      <c r="G1025" s="26"/>
      <c r="H1025" s="10"/>
      <c r="I1025" s="8"/>
      <c r="J1025" s="8"/>
      <c r="K1025" s="8"/>
    </row>
    <row r="1026" spans="2:38">
      <c r="B1026" s="539" t="str">
        <f>IF($C$1="ENG","door leaf with width 100","полотно розміром 100")</f>
        <v>полотно розміром 100</v>
      </c>
      <c r="C1026" s="540"/>
      <c r="D1026" s="409">
        <f t="shared" ref="D1026:D1039" si="144">IF(AC1026="","",(1-$W$2)*(AC1026/1.2))</f>
        <v>600</v>
      </c>
      <c r="E1026" s="92">
        <f t="shared" ref="E1026:E1038" si="145">IF($W$5=0.2,D1026*1.2,D1026)/$W$4</f>
        <v>720</v>
      </c>
      <c r="F1026" s="26"/>
      <c r="G1026" s="26"/>
      <c r="H1026" s="10"/>
      <c r="I1026" s="8"/>
      <c r="J1026" s="8"/>
      <c r="K1026" s="8"/>
      <c r="AC1026" s="298">
        <v>720</v>
      </c>
      <c r="AD1026" s="289">
        <v>720</v>
      </c>
      <c r="AE1026" s="289">
        <f>AD1026/AC1026-1</f>
        <v>0</v>
      </c>
      <c r="AF1026" s="289"/>
      <c r="AG1026" s="289"/>
      <c r="AH1026" s="289"/>
      <c r="AI1026" s="289"/>
      <c r="AJ1026" s="289"/>
      <c r="AK1026" s="289"/>
      <c r="AL1026" s="289"/>
    </row>
    <row r="1027" spans="2:38">
      <c r="B1027" s="532" t="str">
        <f>IF($C$1="ENG","Ventilation sleeves (1 row)","вентиляційні віддушини (1ряд)")</f>
        <v>вентиляційні віддушини (1ряд)</v>
      </c>
      <c r="C1027" s="533"/>
      <c r="D1027" s="404">
        <f t="shared" si="144"/>
        <v>208.33333333333334</v>
      </c>
      <c r="E1027" s="93">
        <f t="shared" si="145"/>
        <v>250</v>
      </c>
      <c r="F1027" s="26"/>
      <c r="G1027" s="26"/>
      <c r="I1027" s="11"/>
      <c r="J1027" s="11"/>
      <c r="K1027" s="11"/>
      <c r="AC1027" s="298">
        <v>250</v>
      </c>
      <c r="AD1027" s="289">
        <v>250</v>
      </c>
      <c r="AE1027" s="289">
        <f t="shared" ref="AE1027:AE1038" si="146">AD1027/AC1027-1</f>
        <v>0</v>
      </c>
      <c r="AF1027" s="289"/>
      <c r="AG1027" s="289"/>
      <c r="AH1027" s="289"/>
      <c r="AI1027" s="289"/>
      <c r="AJ1027" s="289"/>
      <c r="AK1027" s="289"/>
      <c r="AL1027" s="289"/>
    </row>
    <row r="1028" spans="2:38">
      <c r="B1028" s="539" t="str">
        <f>IF($C$1="ENG","Ventilation cut","вентиляційний підріз")</f>
        <v>вентиляційний підріз</v>
      </c>
      <c r="C1028" s="540"/>
      <c r="D1028" s="404">
        <f t="shared" si="144"/>
        <v>141.66666666666669</v>
      </c>
      <c r="E1028" s="66">
        <f t="shared" si="145"/>
        <v>170.00000000000003</v>
      </c>
      <c r="F1028" s="26"/>
      <c r="G1028" s="26"/>
      <c r="I1028" s="59"/>
      <c r="J1028" s="28"/>
      <c r="AC1028" s="298">
        <v>170</v>
      </c>
      <c r="AD1028" s="289">
        <v>170</v>
      </c>
      <c r="AE1028" s="289">
        <f t="shared" si="146"/>
        <v>0</v>
      </c>
      <c r="AF1028" s="289"/>
      <c r="AG1028" s="289"/>
      <c r="AH1028" s="289"/>
      <c r="AI1028" s="289"/>
      <c r="AJ1028" s="289"/>
      <c r="AK1028" s="289"/>
      <c r="AL1028" s="289"/>
    </row>
    <row r="1029" spans="2:38">
      <c r="B1029" s="532" t="str">
        <f>IF($C$1="ENG","glazing Graphite / Bronze","скло Графіт / Бронза")</f>
        <v>скло Графіт / Бронза</v>
      </c>
      <c r="C1029" s="533"/>
      <c r="D1029" s="406">
        <f t="shared" si="144"/>
        <v>458.33333333333337</v>
      </c>
      <c r="E1029" s="93">
        <f t="shared" si="145"/>
        <v>550</v>
      </c>
      <c r="F1029" s="26"/>
      <c r="G1029" s="26"/>
      <c r="H1029" s="5"/>
      <c r="AC1029" s="298">
        <v>550</v>
      </c>
      <c r="AD1029" s="289">
        <v>550</v>
      </c>
      <c r="AE1029" s="289">
        <f t="shared" si="146"/>
        <v>0</v>
      </c>
      <c r="AF1029" s="289"/>
      <c r="AG1029" s="289"/>
      <c r="AH1029" s="289"/>
      <c r="AI1029" s="289"/>
      <c r="AJ1029" s="289"/>
      <c r="AK1029" s="289"/>
      <c r="AL1029" s="289"/>
    </row>
    <row r="1030" spans="2:38">
      <c r="B1030" s="532" t="str">
        <f>IF($C$1="ENG","glazing Lacobel black ","скло Lacobel чорне")</f>
        <v>скло Lacobel чорне</v>
      </c>
      <c r="C1030" s="533"/>
      <c r="D1030" s="406">
        <f t="shared" si="144"/>
        <v>458.33333333333337</v>
      </c>
      <c r="E1030" s="93">
        <f>IF($W$5=0.2,D1030*1.2,D1030)/$W$4</f>
        <v>550</v>
      </c>
      <c r="F1030" s="26"/>
      <c r="G1030" s="26"/>
      <c r="H1030" s="5"/>
      <c r="AC1030" s="298">
        <v>550</v>
      </c>
      <c r="AD1030" s="298">
        <v>550</v>
      </c>
      <c r="AE1030" s="289"/>
      <c r="AF1030" s="289"/>
      <c r="AG1030" s="289"/>
      <c r="AH1030" s="289"/>
      <c r="AI1030" s="289"/>
      <c r="AJ1030" s="289"/>
      <c r="AK1030" s="289"/>
      <c r="AL1030" s="289"/>
    </row>
    <row r="1031" spans="2:38">
      <c r="B1031" s="532" t="str">
        <f>IF($C$1="ENG","door lock Soft","замок Soft")</f>
        <v>замок Soft</v>
      </c>
      <c r="C1031" s="533"/>
      <c r="D1031" s="406">
        <f t="shared" si="144"/>
        <v>458.33333333333337</v>
      </c>
      <c r="E1031" s="93">
        <f t="shared" si="145"/>
        <v>550</v>
      </c>
      <c r="F1031" s="26"/>
      <c r="G1031" s="26"/>
      <c r="H1031" s="5"/>
      <c r="AC1031" s="298">
        <v>550</v>
      </c>
      <c r="AD1031" s="289">
        <v>550</v>
      </c>
      <c r="AE1031" s="289">
        <f t="shared" si="146"/>
        <v>0</v>
      </c>
      <c r="AF1031" s="289"/>
      <c r="AG1031" s="289"/>
      <c r="AH1031" s="289"/>
      <c r="AI1031" s="289"/>
      <c r="AJ1031" s="289"/>
      <c r="AK1031" s="289"/>
      <c r="AL1031" s="289"/>
    </row>
    <row r="1032" spans="2:38">
      <c r="B1032" s="532" t="str">
        <f>IF($C$1="ENG","door lock Soft black","замок Soft чорн.")</f>
        <v>замок Soft чорн.</v>
      </c>
      <c r="C1032" s="533"/>
      <c r="D1032" s="406">
        <f t="shared" ref="D1032" si="147">IF(AC1032="","",(1-$W$2)*(AC1032/1.2))</f>
        <v>566.66666666666674</v>
      </c>
      <c r="E1032" s="93">
        <f t="shared" ref="E1032" si="148">IF($W$5=0.2,D1032*1.2,D1032)/$W$4</f>
        <v>680.00000000000011</v>
      </c>
      <c r="F1032" s="26"/>
      <c r="G1032" s="26"/>
      <c r="H1032" s="5"/>
      <c r="AC1032" s="298">
        <v>680</v>
      </c>
      <c r="AD1032" s="289"/>
      <c r="AE1032" s="289"/>
      <c r="AF1032" s="289"/>
      <c r="AG1032" s="289"/>
      <c r="AH1032" s="289"/>
      <c r="AI1032" s="289"/>
      <c r="AJ1032" s="289"/>
      <c r="AK1032" s="289"/>
      <c r="AL1032" s="289"/>
    </row>
    <row r="1033" spans="2:38">
      <c r="B1033" s="532" t="str">
        <f>IF($C$1="ENG","door lock Magnet","замок Magnet")</f>
        <v>замок Magnet</v>
      </c>
      <c r="C1033" s="533"/>
      <c r="D1033" s="406">
        <f t="shared" si="144"/>
        <v>666.66666666666674</v>
      </c>
      <c r="E1033" s="93">
        <f t="shared" si="145"/>
        <v>800.00000000000011</v>
      </c>
      <c r="F1033" s="26"/>
      <c r="G1033" s="26"/>
      <c r="H1033" s="5"/>
      <c r="AC1033" s="298">
        <v>800</v>
      </c>
      <c r="AD1033" s="289">
        <v>800</v>
      </c>
      <c r="AE1033" s="289">
        <f t="shared" si="146"/>
        <v>0</v>
      </c>
      <c r="AF1033" s="289"/>
      <c r="AG1033" s="289"/>
      <c r="AH1033" s="289"/>
      <c r="AI1033" s="289"/>
      <c r="AJ1033" s="289"/>
      <c r="AK1033" s="289"/>
      <c r="AL1033" s="289"/>
    </row>
    <row r="1034" spans="2:38">
      <c r="B1034" s="532" t="s">
        <v>75</v>
      </c>
      <c r="C1034" s="533"/>
      <c r="D1034" s="406">
        <f t="shared" ref="D1034" si="149">IF(AC1034="","",(1-$W$2)*(AC1034/1.2))</f>
        <v>833.33333333333337</v>
      </c>
      <c r="E1034" s="93">
        <f t="shared" ref="E1034" si="150">IF($W$5=0.2,D1034*1.2,D1034)/$W$4</f>
        <v>1000</v>
      </c>
      <c r="F1034" s="26"/>
      <c r="G1034" s="26"/>
      <c r="H1034" s="5"/>
      <c r="AC1034" s="298">
        <v>1000</v>
      </c>
      <c r="AD1034" s="289"/>
      <c r="AE1034" s="289"/>
      <c r="AF1034" s="289"/>
      <c r="AG1034" s="289"/>
      <c r="AH1034" s="289"/>
      <c r="AI1034" s="289"/>
      <c r="AJ1034" s="289"/>
      <c r="AK1034" s="289"/>
      <c r="AL1034" s="289"/>
    </row>
    <row r="1035" spans="2:38">
      <c r="B1035" s="532" t="str">
        <f>IF($C$1="ENG","door handle-lock (for sliding doors)","ручка-замок (для дверей купе)")</f>
        <v>ручка-замок (для дверей купе)</v>
      </c>
      <c r="C1035" s="533"/>
      <c r="D1035" s="404">
        <f t="shared" si="144"/>
        <v>466.66666666666669</v>
      </c>
      <c r="E1035" s="93">
        <f t="shared" si="145"/>
        <v>560</v>
      </c>
      <c r="F1035" s="26"/>
      <c r="G1035" s="26"/>
      <c r="I1035" s="11"/>
      <c r="J1035" s="11"/>
      <c r="K1035" s="19"/>
      <c r="AC1035" s="298">
        <v>560</v>
      </c>
      <c r="AD1035" s="289">
        <v>560</v>
      </c>
      <c r="AE1035" s="289">
        <f t="shared" si="146"/>
        <v>0</v>
      </c>
      <c r="AF1035" s="289"/>
      <c r="AG1035" s="289"/>
      <c r="AH1035" s="289"/>
      <c r="AI1035" s="289"/>
      <c r="AJ1035" s="289"/>
      <c r="AK1035" s="289"/>
      <c r="AL1035" s="289"/>
    </row>
    <row r="1036" spans="2:38">
      <c r="B1036" s="532" t="str">
        <f>IF($C$1="ENG","cylinder incert","циліндр несиметричний")</f>
        <v>циліндр несиметричний</v>
      </c>
      <c r="C1036" s="533"/>
      <c r="D1036" s="404">
        <f t="shared" si="144"/>
        <v>316.66666666666669</v>
      </c>
      <c r="E1036" s="93">
        <f t="shared" si="145"/>
        <v>380</v>
      </c>
      <c r="F1036" s="26"/>
      <c r="G1036" s="26"/>
      <c r="AC1036" s="298">
        <v>380</v>
      </c>
      <c r="AD1036" s="289">
        <v>380</v>
      </c>
      <c r="AE1036" s="289">
        <f t="shared" si="146"/>
        <v>0</v>
      </c>
      <c r="AF1036" s="289"/>
      <c r="AG1036" s="289"/>
      <c r="AH1036" s="289"/>
      <c r="AI1036" s="289"/>
      <c r="AJ1036" s="289"/>
      <c r="AK1036" s="289"/>
      <c r="AL1036" s="289"/>
    </row>
    <row r="1037" spans="2:38">
      <c r="B1037" s="532" t="str">
        <f>IF($C$1="ENG","door hindge Prestige (1 unit)","завіса Prestige (1 шт)")</f>
        <v>завіса Prestige (1 шт)</v>
      </c>
      <c r="C1037" s="533"/>
      <c r="D1037" s="407">
        <f t="shared" si="144"/>
        <v>216.66666666666669</v>
      </c>
      <c r="E1037" s="93">
        <f t="shared" si="145"/>
        <v>260</v>
      </c>
      <c r="F1037" s="26"/>
      <c r="G1037" s="26"/>
      <c r="AC1037" s="298">
        <v>260</v>
      </c>
      <c r="AD1037" s="289">
        <v>260</v>
      </c>
      <c r="AE1037" s="289">
        <f t="shared" si="146"/>
        <v>0</v>
      </c>
      <c r="AF1037" s="289"/>
      <c r="AG1037" s="289"/>
      <c r="AH1037" s="289"/>
      <c r="AI1037" s="289"/>
      <c r="AJ1037" s="289"/>
      <c r="AK1037" s="289"/>
      <c r="AL1037" s="289"/>
    </row>
    <row r="1038" spans="2:38">
      <c r="B1038" s="532" t="str">
        <f>IF($C$1="ENG","door hinge caps (1 set)","накладка на завіси (1 к-т)")</f>
        <v>накладка на завіси (1 к-т)</v>
      </c>
      <c r="C1038" s="533"/>
      <c r="D1038" s="407">
        <f t="shared" si="144"/>
        <v>66.666666666666671</v>
      </c>
      <c r="E1038" s="93">
        <f t="shared" si="145"/>
        <v>80</v>
      </c>
      <c r="F1038" s="26"/>
      <c r="G1038" s="26"/>
      <c r="AC1038" s="298">
        <v>80</v>
      </c>
      <c r="AD1038" s="289">
        <v>80</v>
      </c>
      <c r="AE1038" s="289">
        <f t="shared" si="146"/>
        <v>0</v>
      </c>
      <c r="AF1038" s="289"/>
      <c r="AG1038" s="289"/>
      <c r="AH1038" s="289"/>
      <c r="AI1038" s="289"/>
      <c r="AJ1038" s="289"/>
      <c r="AK1038" s="289"/>
      <c r="AL1038" s="289"/>
    </row>
    <row r="1039" spans="2:38">
      <c r="B1039" s="532" t="str">
        <f>IF($C$1="ENG","door handle","дверна ручка")</f>
        <v>дверна ручка</v>
      </c>
      <c r="C1039" s="533"/>
      <c r="D1039" s="408" t="str">
        <f t="shared" si="144"/>
        <v/>
      </c>
      <c r="E1039" s="247" t="str">
        <f>IF($C$1="ENG","see Handles Price","див. Таблицю Ручки")</f>
        <v>див. Таблицю Ручки</v>
      </c>
      <c r="F1039" s="26"/>
      <c r="G1039" s="26"/>
      <c r="AC1039" s="289"/>
      <c r="AD1039" s="289"/>
      <c r="AE1039" s="289"/>
      <c r="AF1039" s="289"/>
      <c r="AG1039" s="289"/>
      <c r="AH1039" s="289"/>
      <c r="AI1039" s="289"/>
      <c r="AJ1039" s="289"/>
      <c r="AK1039" s="289"/>
      <c r="AL1039" s="289"/>
    </row>
    <row r="1040" spans="2:38" ht="14.25" customHeight="1">
      <c r="C1040" s="245"/>
      <c r="D1040" s="26"/>
      <c r="E1040" s="26"/>
      <c r="F1040" s="26"/>
      <c r="G1040" s="26"/>
      <c r="H1040" s="5"/>
      <c r="T1040" s="525" t="str">
        <f>IF($C$1="ENG",CONCATENATE("down to: ",B1090),CONCATENATE("вниз до: ",B1090))</f>
        <v>вниз до: Полотна збірні: ЛАДА-НОВА</v>
      </c>
      <c r="U1040" s="525"/>
      <c r="V1040" s="525"/>
      <c r="W1040" s="525"/>
    </row>
    <row r="1041" spans="3:8" ht="14.25" customHeight="1">
      <c r="C1041" s="245"/>
      <c r="D1041" s="26"/>
      <c r="E1041" s="26"/>
      <c r="F1041" s="26"/>
      <c r="G1041" s="26"/>
      <c r="H1041" s="5"/>
    </row>
    <row r="1042" spans="3:8" ht="14.25" customHeight="1">
      <c r="C1042" s="245"/>
      <c r="D1042" s="26"/>
      <c r="E1042" s="26"/>
      <c r="F1042" s="26"/>
      <c r="G1042" s="26"/>
      <c r="H1042" s="5"/>
    </row>
    <row r="1043" spans="3:8" ht="14.25" customHeight="1">
      <c r="C1043" s="245"/>
      <c r="D1043" s="26"/>
      <c r="E1043" s="26"/>
      <c r="F1043" s="26"/>
      <c r="G1043" s="26"/>
      <c r="H1043" s="5"/>
    </row>
    <row r="1044" spans="3:8" ht="14.25" customHeight="1">
      <c r="C1044" s="245"/>
      <c r="D1044" s="26"/>
      <c r="E1044" s="26"/>
      <c r="F1044" s="26"/>
      <c r="G1044" s="26"/>
      <c r="H1044" s="5"/>
    </row>
    <row r="1045" spans="3:8" ht="14.25" customHeight="1">
      <c r="C1045" s="245"/>
      <c r="D1045" s="26"/>
      <c r="E1045" s="26"/>
      <c r="F1045" s="26"/>
      <c r="G1045" s="26"/>
      <c r="H1045" s="5"/>
    </row>
    <row r="1046" spans="3:8" ht="14.25" customHeight="1">
      <c r="C1046" s="245"/>
      <c r="D1046" s="26"/>
      <c r="E1046" s="26"/>
      <c r="F1046" s="26"/>
      <c r="G1046" s="26"/>
      <c r="H1046" s="5"/>
    </row>
    <row r="1047" spans="3:8" ht="14.25" customHeight="1">
      <c r="C1047" s="245"/>
      <c r="D1047" s="26"/>
      <c r="E1047" s="26"/>
      <c r="F1047" s="26"/>
      <c r="G1047" s="26"/>
      <c r="H1047" s="5"/>
    </row>
    <row r="1048" spans="3:8" ht="14.25" customHeight="1">
      <c r="C1048" s="245"/>
      <c r="D1048" s="26"/>
      <c r="E1048" s="26"/>
      <c r="F1048" s="26"/>
      <c r="G1048" s="26"/>
      <c r="H1048" s="5"/>
    </row>
    <row r="1049" spans="3:8" ht="14.25" customHeight="1">
      <c r="C1049" s="245"/>
      <c r="D1049" s="26"/>
      <c r="E1049" s="26"/>
      <c r="F1049" s="26"/>
      <c r="G1049" s="26"/>
      <c r="H1049" s="5"/>
    </row>
    <row r="1050" spans="3:8" ht="14.25" customHeight="1">
      <c r="C1050" s="245"/>
      <c r="D1050" s="26"/>
      <c r="E1050" s="26"/>
      <c r="F1050" s="26"/>
      <c r="G1050" s="26"/>
      <c r="H1050" s="5"/>
    </row>
    <row r="1051" spans="3:8" ht="14.25" customHeight="1">
      <c r="C1051" s="245"/>
      <c r="D1051" s="26"/>
      <c r="E1051" s="26"/>
      <c r="F1051" s="26"/>
      <c r="G1051" s="26"/>
      <c r="H1051" s="5"/>
    </row>
    <row r="1052" spans="3:8" ht="14.25" customHeight="1">
      <c r="C1052" s="245"/>
      <c r="D1052" s="26"/>
      <c r="E1052" s="26"/>
      <c r="F1052" s="26"/>
      <c r="G1052" s="26"/>
      <c r="H1052" s="5"/>
    </row>
    <row r="1053" spans="3:8" ht="14.25" customHeight="1">
      <c r="C1053" s="245"/>
      <c r="D1053" s="26"/>
      <c r="E1053" s="26"/>
      <c r="F1053" s="26"/>
      <c r="G1053" s="26"/>
      <c r="H1053" s="5"/>
    </row>
    <row r="1054" spans="3:8" ht="14.25" customHeight="1">
      <c r="C1054" s="245"/>
      <c r="D1054" s="26"/>
      <c r="E1054" s="26"/>
      <c r="F1054" s="26"/>
      <c r="G1054" s="26"/>
      <c r="H1054" s="5"/>
    </row>
    <row r="1055" spans="3:8" ht="14.25" customHeight="1">
      <c r="C1055" s="245"/>
      <c r="D1055" s="26"/>
      <c r="E1055" s="26"/>
      <c r="F1055" s="26"/>
      <c r="G1055" s="26"/>
      <c r="H1055" s="5"/>
    </row>
    <row r="1056" spans="3:8" ht="14.25" customHeight="1">
      <c r="C1056" s="245"/>
      <c r="D1056" s="26"/>
      <c r="E1056" s="26"/>
      <c r="F1056" s="26"/>
      <c r="G1056" s="26"/>
      <c r="H1056" s="5"/>
    </row>
    <row r="1057" spans="3:8" ht="14.25" customHeight="1">
      <c r="C1057" s="245"/>
      <c r="D1057" s="26"/>
      <c r="E1057" s="26"/>
      <c r="F1057" s="26"/>
      <c r="G1057" s="26"/>
      <c r="H1057" s="5"/>
    </row>
    <row r="1058" spans="3:8" ht="14.25" customHeight="1">
      <c r="C1058" s="245"/>
      <c r="D1058" s="26"/>
      <c r="E1058" s="26"/>
      <c r="F1058" s="26"/>
      <c r="G1058" s="26"/>
      <c r="H1058" s="5"/>
    </row>
    <row r="1059" spans="3:8" ht="14.25" customHeight="1">
      <c r="C1059" s="245"/>
      <c r="D1059" s="26"/>
      <c r="E1059" s="26"/>
      <c r="F1059" s="26"/>
      <c r="G1059" s="26"/>
      <c r="H1059" s="5"/>
    </row>
    <row r="1060" spans="3:8" ht="14.25" customHeight="1">
      <c r="C1060" s="245"/>
      <c r="D1060" s="26"/>
      <c r="E1060" s="26"/>
      <c r="F1060" s="26"/>
      <c r="G1060" s="26"/>
      <c r="H1060" s="5"/>
    </row>
    <row r="1061" spans="3:8" ht="14.25" customHeight="1">
      <c r="C1061" s="245"/>
      <c r="D1061" s="26"/>
      <c r="E1061" s="26"/>
      <c r="F1061" s="26"/>
      <c r="G1061" s="26"/>
      <c r="H1061" s="5"/>
    </row>
    <row r="1062" spans="3:8" ht="14.25" customHeight="1">
      <c r="C1062" s="245"/>
      <c r="D1062" s="26"/>
      <c r="E1062" s="26"/>
      <c r="F1062" s="26"/>
      <c r="G1062" s="26"/>
      <c r="H1062" s="5"/>
    </row>
    <row r="1063" spans="3:8" ht="14.25" customHeight="1">
      <c r="C1063" s="245"/>
      <c r="D1063" s="26"/>
      <c r="E1063" s="26"/>
      <c r="F1063" s="26"/>
      <c r="G1063" s="26"/>
      <c r="H1063" s="5"/>
    </row>
    <row r="1064" spans="3:8" ht="14.25" customHeight="1">
      <c r="C1064" s="245"/>
      <c r="D1064" s="26"/>
      <c r="E1064" s="26"/>
      <c r="F1064" s="26"/>
      <c r="G1064" s="26"/>
      <c r="H1064" s="5"/>
    </row>
    <row r="1065" spans="3:8" ht="14.25" customHeight="1">
      <c r="C1065" s="245"/>
      <c r="D1065" s="26"/>
      <c r="E1065" s="26"/>
      <c r="F1065" s="26"/>
      <c r="G1065" s="26"/>
      <c r="H1065" s="5"/>
    </row>
    <row r="1066" spans="3:8" ht="14.25" customHeight="1">
      <c r="C1066" s="245"/>
      <c r="D1066" s="26"/>
      <c r="E1066" s="26"/>
      <c r="F1066" s="26"/>
      <c r="G1066" s="26"/>
      <c r="H1066" s="5"/>
    </row>
    <row r="1067" spans="3:8" ht="14.25" customHeight="1">
      <c r="C1067" s="245"/>
      <c r="D1067" s="26"/>
      <c r="E1067" s="26"/>
      <c r="F1067" s="26"/>
      <c r="G1067" s="26"/>
      <c r="H1067" s="5"/>
    </row>
    <row r="1068" spans="3:8" ht="14.25" customHeight="1">
      <c r="C1068" s="245"/>
      <c r="D1068" s="26"/>
      <c r="E1068" s="26"/>
      <c r="F1068" s="26"/>
      <c r="G1068" s="26"/>
      <c r="H1068" s="5"/>
    </row>
    <row r="1069" spans="3:8" ht="14.25" customHeight="1">
      <c r="C1069" s="245"/>
      <c r="D1069" s="26"/>
      <c r="E1069" s="26"/>
      <c r="F1069" s="26"/>
      <c r="G1069" s="26"/>
      <c r="H1069" s="5"/>
    </row>
    <row r="1070" spans="3:8" ht="14.25" customHeight="1">
      <c r="C1070" s="245"/>
      <c r="D1070" s="26"/>
      <c r="E1070" s="26"/>
      <c r="F1070" s="26"/>
      <c r="G1070" s="26"/>
      <c r="H1070" s="5"/>
    </row>
    <row r="1071" spans="3:8" ht="14.25" customHeight="1">
      <c r="C1071" s="245"/>
      <c r="D1071" s="26"/>
      <c r="E1071" s="26"/>
      <c r="F1071" s="26"/>
      <c r="G1071" s="26"/>
      <c r="H1071" s="5"/>
    </row>
    <row r="1072" spans="3:8" ht="14.25" customHeight="1">
      <c r="C1072" s="245"/>
      <c r="D1072" s="26"/>
      <c r="E1072" s="26"/>
      <c r="F1072" s="26"/>
      <c r="G1072" s="26"/>
      <c r="H1072" s="5"/>
    </row>
    <row r="1073" spans="3:8" ht="14.25" customHeight="1">
      <c r="C1073" s="245"/>
      <c r="D1073" s="26"/>
      <c r="E1073" s="26"/>
      <c r="F1073" s="26"/>
      <c r="G1073" s="26"/>
      <c r="H1073" s="5"/>
    </row>
    <row r="1074" spans="3:8" ht="14.25" customHeight="1">
      <c r="C1074" s="245"/>
      <c r="D1074" s="26"/>
      <c r="E1074" s="26"/>
      <c r="F1074" s="26"/>
      <c r="G1074" s="26"/>
      <c r="H1074" s="5"/>
    </row>
    <row r="1075" spans="3:8" ht="14.25" customHeight="1">
      <c r="C1075" s="245"/>
      <c r="D1075" s="26"/>
      <c r="E1075" s="26"/>
      <c r="F1075" s="26"/>
      <c r="G1075" s="26"/>
      <c r="H1075" s="5"/>
    </row>
    <row r="1076" spans="3:8" ht="14.25" customHeight="1">
      <c r="C1076" s="245"/>
      <c r="D1076" s="26"/>
      <c r="E1076" s="26"/>
      <c r="F1076" s="26"/>
      <c r="G1076" s="26"/>
      <c r="H1076" s="5"/>
    </row>
    <row r="1077" spans="3:8" ht="14.25" customHeight="1">
      <c r="C1077" s="245"/>
      <c r="D1077" s="26"/>
      <c r="E1077" s="26"/>
      <c r="F1077" s="26"/>
      <c r="G1077" s="26"/>
      <c r="H1077" s="5"/>
    </row>
    <row r="1078" spans="3:8" ht="14.25" customHeight="1">
      <c r="C1078" s="245"/>
      <c r="D1078" s="26"/>
      <c r="E1078" s="26"/>
      <c r="F1078" s="26"/>
      <c r="G1078" s="26"/>
      <c r="H1078" s="5"/>
    </row>
    <row r="1079" spans="3:8" ht="14.25" customHeight="1">
      <c r="C1079" s="245"/>
      <c r="D1079" s="26"/>
      <c r="E1079" s="26"/>
      <c r="F1079" s="26"/>
      <c r="G1079" s="26"/>
      <c r="H1079" s="5"/>
    </row>
    <row r="1080" spans="3:8" ht="14.25" customHeight="1">
      <c r="C1080" s="245"/>
      <c r="D1080" s="26"/>
      <c r="E1080" s="26"/>
      <c r="F1080" s="26"/>
      <c r="G1080" s="26"/>
      <c r="H1080" s="5"/>
    </row>
    <row r="1081" spans="3:8" ht="14.25" customHeight="1">
      <c r="C1081" s="245"/>
      <c r="D1081" s="26"/>
      <c r="E1081" s="26"/>
      <c r="F1081" s="26"/>
      <c r="G1081" s="26"/>
      <c r="H1081" s="5"/>
    </row>
    <row r="1082" spans="3:8" ht="14.25" customHeight="1">
      <c r="C1082" s="245"/>
      <c r="D1082" s="26"/>
      <c r="E1082" s="26"/>
      <c r="F1082" s="26"/>
      <c r="G1082" s="26"/>
      <c r="H1082" s="5"/>
    </row>
    <row r="1083" spans="3:8" ht="14.25" customHeight="1">
      <c r="C1083" s="245"/>
      <c r="D1083" s="26"/>
      <c r="E1083" s="26"/>
      <c r="F1083" s="26"/>
      <c r="G1083" s="26"/>
      <c r="H1083" s="5"/>
    </row>
    <row r="1084" spans="3:8" ht="14.25" customHeight="1">
      <c r="C1084" s="245"/>
      <c r="D1084" s="26"/>
      <c r="E1084" s="26"/>
      <c r="F1084" s="26"/>
      <c r="G1084" s="26"/>
      <c r="H1084" s="5"/>
    </row>
    <row r="1085" spans="3:8" ht="14.25" customHeight="1">
      <c r="C1085" s="245"/>
      <c r="D1085" s="26"/>
      <c r="E1085" s="26"/>
      <c r="F1085" s="26"/>
      <c r="G1085" s="26"/>
      <c r="H1085" s="5"/>
    </row>
    <row r="1086" spans="3:8" ht="14.25" customHeight="1">
      <c r="C1086" s="245"/>
      <c r="D1086" s="26"/>
      <c r="E1086" s="26"/>
      <c r="F1086" s="26"/>
      <c r="G1086" s="26"/>
      <c r="H1086" s="5"/>
    </row>
    <row r="1087" spans="3:8" ht="14.25" customHeight="1">
      <c r="C1087" s="245"/>
      <c r="D1087" s="26"/>
      <c r="E1087" s="26"/>
      <c r="F1087" s="26"/>
      <c r="G1087" s="26"/>
      <c r="H1087" s="5"/>
    </row>
    <row r="1088" spans="3:8" ht="14.25" customHeight="1">
      <c r="C1088" s="245"/>
      <c r="D1088" s="26"/>
      <c r="E1088" s="26"/>
      <c r="F1088" s="26"/>
      <c r="G1088" s="26"/>
      <c r="H1088" s="5"/>
    </row>
    <row r="1089" spans="1:46" ht="14.25" customHeight="1">
      <c r="C1089" s="245"/>
      <c r="D1089" s="26"/>
      <c r="E1089" s="26"/>
      <c r="F1089" s="26"/>
      <c r="G1089" s="26"/>
      <c r="H1089" s="5"/>
    </row>
    <row r="1090" spans="1:46" s="8" customFormat="1">
      <c r="B1090" s="518" t="str">
        <f>TITLE!$C$23</f>
        <v>Полотна збірні: ЛАДА-НОВА</v>
      </c>
      <c r="C1090" s="518"/>
      <c r="D1090" s="118"/>
      <c r="E1090" s="118"/>
      <c r="F1090" s="118"/>
      <c r="G1090" s="118"/>
      <c r="H1090" s="520"/>
      <c r="I1090" s="520"/>
      <c r="J1090" s="121"/>
      <c r="K1090" s="121"/>
      <c r="L1090" s="121"/>
      <c r="M1090" s="121"/>
      <c r="N1090" s="121"/>
      <c r="O1090" s="121"/>
      <c r="P1090" s="121"/>
      <c r="Q1090" s="121"/>
      <c r="R1090" s="121"/>
      <c r="S1090" s="121"/>
      <c r="T1090" s="529" t="str">
        <f>IF($C$1="ENG",CONCATENATE("up to: ",B1012),CONCATENATE("вгору до: ",B1012))</f>
        <v>вгору до: Полотна збірні: ЛАДА-КОНЦЕПТ</v>
      </c>
      <c r="U1090" s="529"/>
      <c r="V1090" s="529"/>
      <c r="W1090" s="529"/>
      <c r="AE1090" s="289">
        <f>Z1090/100*12+Z1090</f>
        <v>0</v>
      </c>
      <c r="AF1090" s="289" t="e">
        <f>AE1090/Z1090-1</f>
        <v>#DIV/0!</v>
      </c>
      <c r="AN1090" s="280"/>
      <c r="AO1090" s="280"/>
      <c r="AP1090" s="280"/>
      <c r="AQ1090" s="280"/>
      <c r="AR1090" s="280"/>
      <c r="AS1090" s="280"/>
      <c r="AT1090" s="280"/>
    </row>
    <row r="1091" spans="1:46" s="8" customFormat="1" ht="5.0999999999999996" customHeight="1">
      <c r="B1091" s="117"/>
      <c r="C1091" s="419"/>
      <c r="D1091" s="9"/>
      <c r="E1091" s="9"/>
      <c r="F1091" s="9"/>
      <c r="G1091" s="9"/>
      <c r="H1091" s="120"/>
      <c r="I1091" s="120"/>
      <c r="J1091" s="1"/>
      <c r="K1091" s="1"/>
      <c r="T1091" s="115"/>
      <c r="U1091" s="115"/>
      <c r="V1091" s="115"/>
      <c r="W1091" s="115"/>
      <c r="AN1091" s="280"/>
      <c r="AO1091" s="280"/>
      <c r="AP1091" s="280"/>
      <c r="AQ1091" s="280"/>
      <c r="AR1091" s="280"/>
      <c r="AS1091" s="280"/>
      <c r="AT1091" s="280"/>
    </row>
    <row r="1092" spans="1:46" s="8" customFormat="1" ht="12.75" customHeight="1">
      <c r="B1092" s="536" t="str">
        <f>IF($C$1="ENG","model","модель")</f>
        <v>модель</v>
      </c>
      <c r="C1092" s="122" t="str">
        <f>IF($C$1="ENG","cover:","покриття:")</f>
        <v>покриття:</v>
      </c>
      <c r="D1092" s="522" t="str">
        <f>IF($C$1="ENG","Verto-CELL","Verto-CELL")</f>
        <v>Verto-CELL</v>
      </c>
      <c r="E1092" s="524"/>
      <c r="F1092" s="522" t="str">
        <f>IF($C$1="ENG","UNI-MAT","UNI-MAT")</f>
        <v>UNI-MAT</v>
      </c>
      <c r="G1092" s="524"/>
      <c r="H1092" s="522" t="str">
        <f>IF($C$1="ENG","RESIST","RESIST")</f>
        <v>RESIST</v>
      </c>
      <c r="I1092" s="524"/>
      <c r="J1092" s="522" t="str">
        <f>IF($C$1="ENG","Verto LINE-3D","Verto LINE-3D")</f>
        <v>Verto LINE-3D</v>
      </c>
      <c r="K1092" s="524"/>
      <c r="L1092" s="522" t="str">
        <f>IF($C$1="ENG","ECO Shpon","ЕКО Шпон")</f>
        <v>ЕКО Шпон</v>
      </c>
      <c r="M1092" s="524"/>
      <c r="P1092" s="104"/>
      <c r="Q1092" s="104"/>
      <c r="T1092" s="115"/>
      <c r="U1092" s="115"/>
      <c r="V1092" s="115"/>
      <c r="W1092" s="115"/>
      <c r="AN1092" s="280"/>
      <c r="AO1092" s="280"/>
      <c r="AP1092" s="280"/>
      <c r="AQ1092" s="280"/>
      <c r="AR1092" s="280"/>
      <c r="AS1092" s="280"/>
      <c r="AT1092" s="280"/>
    </row>
    <row r="1093" spans="1:46" s="8" customFormat="1" ht="27.75" customHeight="1">
      <c r="B1093" s="537"/>
      <c r="C1093" s="123" t="str">
        <f>IF($C$1="ENG","filling:","заповнення:")</f>
        <v>заповнення:</v>
      </c>
      <c r="D1093" s="527" t="str">
        <f>IF($C$1="ENG","softwood","клеєний сосновий брус")</f>
        <v>клеєний сосновий брус</v>
      </c>
      <c r="E1093" s="528"/>
      <c r="F1093" s="527" t="str">
        <f>IF($C$1="ENG","softwood","клеєний сосновий брус")</f>
        <v>клеєний сосновий брус</v>
      </c>
      <c r="G1093" s="528"/>
      <c r="H1093" s="527" t="str">
        <f>IF($C$1="ENG","softwood","клеєний сосновий брус")</f>
        <v>клеєний сосновий брус</v>
      </c>
      <c r="I1093" s="528"/>
      <c r="J1093" s="527" t="str">
        <f>IF($C$1="ENG","softwood","клеєний сосновий брус")</f>
        <v>клеєний сосновий брус</v>
      </c>
      <c r="K1093" s="528"/>
      <c r="L1093" s="527" t="str">
        <f>IF($C$1="ENG","softwood","клеєний сосновий брус")</f>
        <v>клеєний сосновий брус</v>
      </c>
      <c r="M1093" s="528"/>
      <c r="N1093" s="11"/>
      <c r="O1093" s="11"/>
      <c r="P1093" s="104"/>
      <c r="Q1093" s="104"/>
      <c r="R1093" s="11"/>
      <c r="S1093" s="11"/>
      <c r="T1093" s="11"/>
      <c r="U1093" s="115"/>
      <c r="V1093" s="115"/>
      <c r="W1093" s="115"/>
      <c r="AD1093" s="382">
        <f>AD1095/AC1095-1</f>
        <v>0.11081441922563418</v>
      </c>
      <c r="AE1093" s="382">
        <f>AE1095/AD1095-1</f>
        <v>3.9663461538461453E-2</v>
      </c>
      <c r="AF1093" s="382">
        <f>AF1095/AE1095-1</f>
        <v>9.0173410404624343E-2</v>
      </c>
      <c r="AG1093" s="382">
        <f>AG1095/AF1095-1</f>
        <v>4.9840933191940717E-2</v>
      </c>
      <c r="AN1093" s="280"/>
      <c r="AO1093" s="280"/>
      <c r="AP1093" s="280"/>
      <c r="AQ1093" s="280"/>
      <c r="AR1093" s="280"/>
      <c r="AS1093" s="280"/>
      <c r="AT1093" s="280"/>
    </row>
    <row r="1094" spans="1:46" ht="12.75" customHeight="1">
      <c r="A1094" s="8"/>
      <c r="B1094" s="538"/>
      <c r="C1094" s="124" t="str">
        <f>IF($C$1="ENG","glazing:","скління:")</f>
        <v>скління:</v>
      </c>
      <c r="D1094" s="513" t="str">
        <f>IF($C$1="ENG","Satin","Сатин")</f>
        <v>Сатин</v>
      </c>
      <c r="E1094" s="516"/>
      <c r="F1094" s="513" t="str">
        <f>IF($C$1="ENG","Satin","Сатин")</f>
        <v>Сатин</v>
      </c>
      <c r="G1094" s="516"/>
      <c r="H1094" s="513" t="str">
        <f>IF($C$1="ENG","Satin","Сатин")</f>
        <v>Сатин</v>
      </c>
      <c r="I1094" s="516"/>
      <c r="J1094" s="513" t="str">
        <f>IF($C$1="ENG","Satin","Сатин")</f>
        <v>Сатин</v>
      </c>
      <c r="K1094" s="516"/>
      <c r="L1094" s="513" t="str">
        <f>IF($C$1="ENG","Satin","Сатин")</f>
        <v>Сатин</v>
      </c>
      <c r="M1094" s="516"/>
      <c r="N1094" s="11"/>
      <c r="O1094" s="11"/>
      <c r="P1094" s="104"/>
      <c r="Q1094" s="104"/>
      <c r="R1094" s="11"/>
      <c r="S1094" s="11"/>
      <c r="T1094" s="11"/>
    </row>
    <row r="1095" spans="1:46" ht="35.1" customHeight="1">
      <c r="A1095" s="8"/>
      <c r="B1095" s="13" t="s">
        <v>13</v>
      </c>
      <c r="C1095" s="14"/>
      <c r="D1095" s="15">
        <f t="shared" ref="D1095:D1100" si="151">IF(AC1095="","",(1-$W$2)*(AC1095/1.2))</f>
        <v>6241.666666666667</v>
      </c>
      <c r="E1095" s="64">
        <f t="shared" ref="E1095:E1100" si="152">IF($W$5=0.2,D1095*1.2,D1095)/$W$4</f>
        <v>7490</v>
      </c>
      <c r="F1095" s="15">
        <f t="shared" ref="F1095:F1100" si="153">IF(AD1095="","",(1-$W$2)*(AD1095/1.2))</f>
        <v>6933.3333333333339</v>
      </c>
      <c r="G1095" s="64">
        <f t="shared" ref="G1095:G1100" si="154">IF($W$5=0.2,F1095*1.2,F1095)/$W$4</f>
        <v>8320</v>
      </c>
      <c r="H1095" s="15">
        <f t="shared" ref="H1095:H1100" si="155">IF(AE1095="","",(1-$W$2)*(AE1095/1.2))</f>
        <v>7208.3333333333339</v>
      </c>
      <c r="I1095" s="64">
        <f t="shared" ref="I1095:I1100" si="156">IF($W$5=0.2,H1095*1.2,H1095)/$W$4</f>
        <v>8650</v>
      </c>
      <c r="J1095" s="15">
        <f t="shared" ref="J1095:J1100" si="157">IF(AF1095="","",(1-$W$2)*(AF1095/1.2))</f>
        <v>7858.3333333333339</v>
      </c>
      <c r="K1095" s="64">
        <f t="shared" ref="K1095:K1100" si="158">IF($W$5=0.2,J1095*1.2,J1095)/$W$4</f>
        <v>9430</v>
      </c>
      <c r="L1095" s="15">
        <f t="shared" ref="L1095:L1100" si="159">IF(AG1095="","",(1-$W$2)*(AG1095/1.2))</f>
        <v>8250</v>
      </c>
      <c r="M1095" s="64">
        <f t="shared" ref="M1095:M1100" si="160">IF($W$5=0.2,L1095*1.2,L1095)/$W$4</f>
        <v>9900</v>
      </c>
      <c r="N1095" s="104"/>
      <c r="O1095" s="20"/>
      <c r="P1095" s="104"/>
      <c r="Q1095" s="104"/>
      <c r="R1095" s="104"/>
      <c r="S1095" s="20"/>
      <c r="T1095" s="104"/>
      <c r="U1095" s="20"/>
      <c r="V1095" s="104"/>
      <c r="W1095" s="20"/>
      <c r="X1095" s="22"/>
      <c r="Y1095" s="22"/>
      <c r="Z1095" s="22"/>
      <c r="AA1095" s="22"/>
      <c r="AB1095" s="22"/>
      <c r="AC1095" s="332">
        <v>7490</v>
      </c>
      <c r="AD1095" s="390">
        <v>8320</v>
      </c>
      <c r="AE1095" s="332">
        <v>8650</v>
      </c>
      <c r="AF1095" s="332">
        <v>9430</v>
      </c>
      <c r="AG1095" s="332">
        <v>9900</v>
      </c>
      <c r="AH1095" s="289">
        <v>7490</v>
      </c>
      <c r="AI1095" s="289">
        <f>AH1095/AC1095-1</f>
        <v>0</v>
      </c>
      <c r="AJ1095" s="289">
        <v>8320</v>
      </c>
      <c r="AK1095" s="289">
        <f>AJ1095/AD1095-1</f>
        <v>0</v>
      </c>
      <c r="AL1095" s="289">
        <v>8650</v>
      </c>
      <c r="AM1095" s="289">
        <f>AL1095/AE1095-1</f>
        <v>0</v>
      </c>
      <c r="AN1095" s="289">
        <v>9430</v>
      </c>
      <c r="AO1095" s="289">
        <f>AN1095/AF1095-1</f>
        <v>0</v>
      </c>
      <c r="AP1095" s="289">
        <v>9900</v>
      </c>
      <c r="AQ1095" s="289">
        <f>AP1095/AG1095-1</f>
        <v>0</v>
      </c>
    </row>
    <row r="1096" spans="1:46" ht="35.1" customHeight="1">
      <c r="A1096" s="8"/>
      <c r="B1096" s="16" t="s">
        <v>78</v>
      </c>
      <c r="C1096" s="17"/>
      <c r="D1096" s="18">
        <f t="shared" si="151"/>
        <v>4775</v>
      </c>
      <c r="E1096" s="66">
        <f t="shared" si="152"/>
        <v>5730</v>
      </c>
      <c r="F1096" s="18">
        <f t="shared" si="153"/>
        <v>5300</v>
      </c>
      <c r="G1096" s="66">
        <f>IF($W$5=0.2,F1096*1.2,F1096)/$W$4</f>
        <v>6360</v>
      </c>
      <c r="H1096" s="18">
        <f t="shared" si="155"/>
        <v>5600</v>
      </c>
      <c r="I1096" s="66">
        <f t="shared" si="156"/>
        <v>6720</v>
      </c>
      <c r="J1096" s="18">
        <f t="shared" si="157"/>
        <v>6008.3333333333339</v>
      </c>
      <c r="K1096" s="66">
        <f t="shared" si="158"/>
        <v>7210.0000000000009</v>
      </c>
      <c r="L1096" s="18">
        <f t="shared" si="159"/>
        <v>6283.3333333333339</v>
      </c>
      <c r="M1096" s="66">
        <f t="shared" si="160"/>
        <v>7540</v>
      </c>
      <c r="N1096" s="104"/>
      <c r="O1096" s="20"/>
      <c r="P1096" s="104"/>
      <c r="Q1096" s="104"/>
      <c r="R1096" s="104"/>
      <c r="S1096" s="20"/>
      <c r="T1096" s="104"/>
      <c r="U1096" s="20"/>
      <c r="V1096" s="104"/>
      <c r="W1096" s="20"/>
      <c r="X1096" s="22"/>
      <c r="Y1096" s="22"/>
      <c r="Z1096" s="22"/>
      <c r="AA1096" s="22"/>
      <c r="AB1096" s="22"/>
      <c r="AC1096" s="332">
        <v>5730</v>
      </c>
      <c r="AD1096" s="390">
        <v>6360</v>
      </c>
      <c r="AE1096" s="332">
        <v>6720</v>
      </c>
      <c r="AF1096" s="332">
        <v>7210</v>
      </c>
      <c r="AG1096" s="332">
        <v>7540</v>
      </c>
      <c r="AH1096" s="289">
        <v>5730</v>
      </c>
      <c r="AI1096" s="289">
        <f t="shared" ref="AI1096:AI1100" si="161">AH1096/AC1096-1</f>
        <v>0</v>
      </c>
      <c r="AJ1096" s="289">
        <v>6360</v>
      </c>
      <c r="AK1096" s="289">
        <f t="shared" ref="AK1096:AK1100" si="162">AJ1096/AD1096-1</f>
        <v>0</v>
      </c>
      <c r="AL1096" s="289">
        <v>6720</v>
      </c>
      <c r="AM1096" s="289">
        <f t="shared" ref="AM1096:AM1100" si="163">AL1096/AE1096-1</f>
        <v>0</v>
      </c>
      <c r="AN1096" s="289">
        <v>7210</v>
      </c>
      <c r="AO1096" s="289">
        <f t="shared" ref="AO1096:AO1100" si="164">AN1096/AF1096-1</f>
        <v>0</v>
      </c>
      <c r="AP1096" s="289">
        <v>7540</v>
      </c>
      <c r="AQ1096" s="289">
        <f t="shared" ref="AQ1096:AQ1100" si="165">AP1096/AG1096-1</f>
        <v>0</v>
      </c>
    </row>
    <row r="1097" spans="1:46" ht="35.1" customHeight="1">
      <c r="A1097" s="8"/>
      <c r="B1097" s="16" t="s">
        <v>34</v>
      </c>
      <c r="C1097" s="17"/>
      <c r="D1097" s="18">
        <f t="shared" si="151"/>
        <v>5541.666666666667</v>
      </c>
      <c r="E1097" s="66">
        <f t="shared" si="152"/>
        <v>6650</v>
      </c>
      <c r="F1097" s="18">
        <f t="shared" si="153"/>
        <v>6150</v>
      </c>
      <c r="G1097" s="66">
        <f t="shared" si="154"/>
        <v>7380</v>
      </c>
      <c r="H1097" s="18">
        <f t="shared" si="155"/>
        <v>6483.3333333333339</v>
      </c>
      <c r="I1097" s="66">
        <f t="shared" si="156"/>
        <v>7780</v>
      </c>
      <c r="J1097" s="18">
        <f t="shared" si="157"/>
        <v>7125</v>
      </c>
      <c r="K1097" s="66">
        <f t="shared" si="158"/>
        <v>8550</v>
      </c>
      <c r="L1097" s="18">
        <f t="shared" si="159"/>
        <v>7466.666666666667</v>
      </c>
      <c r="M1097" s="66">
        <f t="shared" si="160"/>
        <v>8960</v>
      </c>
      <c r="N1097" s="104"/>
      <c r="O1097" s="20"/>
      <c r="P1097" s="104"/>
      <c r="Q1097" s="104"/>
      <c r="R1097" s="104"/>
      <c r="S1097" s="20"/>
      <c r="T1097" s="104"/>
      <c r="U1097" s="20"/>
      <c r="V1097" s="104"/>
      <c r="W1097" s="20"/>
      <c r="X1097" s="22"/>
      <c r="Y1097" s="22"/>
      <c r="Z1097" s="22"/>
      <c r="AA1097" s="22"/>
      <c r="AB1097" s="22"/>
      <c r="AC1097" s="332">
        <v>6650</v>
      </c>
      <c r="AD1097" s="390">
        <v>7380</v>
      </c>
      <c r="AE1097" s="332">
        <v>7780</v>
      </c>
      <c r="AF1097" s="332">
        <v>8550</v>
      </c>
      <c r="AG1097" s="332">
        <v>8960</v>
      </c>
      <c r="AH1097" s="289">
        <v>6650</v>
      </c>
      <c r="AI1097" s="289">
        <f t="shared" si="161"/>
        <v>0</v>
      </c>
      <c r="AJ1097" s="289">
        <v>7380</v>
      </c>
      <c r="AK1097" s="289">
        <f t="shared" si="162"/>
        <v>0</v>
      </c>
      <c r="AL1097" s="289">
        <v>7780</v>
      </c>
      <c r="AM1097" s="289">
        <f t="shared" si="163"/>
        <v>0</v>
      </c>
      <c r="AN1097" s="289">
        <v>8550</v>
      </c>
      <c r="AO1097" s="289">
        <f t="shared" si="164"/>
        <v>0</v>
      </c>
      <c r="AP1097" s="289">
        <v>8960</v>
      </c>
      <c r="AQ1097" s="289">
        <f t="shared" si="165"/>
        <v>0</v>
      </c>
    </row>
    <row r="1098" spans="1:46" ht="35.1" customHeight="1">
      <c r="A1098" s="8"/>
      <c r="B1098" s="16" t="s">
        <v>7</v>
      </c>
      <c r="C1098" s="17"/>
      <c r="D1098" s="18">
        <f t="shared" si="151"/>
        <v>6075</v>
      </c>
      <c r="E1098" s="66">
        <f t="shared" si="152"/>
        <v>7290</v>
      </c>
      <c r="F1098" s="18">
        <f t="shared" si="153"/>
        <v>6750</v>
      </c>
      <c r="G1098" s="66">
        <f t="shared" si="154"/>
        <v>8100</v>
      </c>
      <c r="H1098" s="18">
        <f t="shared" si="155"/>
        <v>7183.3333333333339</v>
      </c>
      <c r="I1098" s="66">
        <f t="shared" si="156"/>
        <v>8620</v>
      </c>
      <c r="J1098" s="18">
        <f t="shared" si="157"/>
        <v>7908.3333333333339</v>
      </c>
      <c r="K1098" s="66">
        <f t="shared" si="158"/>
        <v>9490</v>
      </c>
      <c r="L1098" s="18">
        <f t="shared" si="159"/>
        <v>8366.6666666666679</v>
      </c>
      <c r="M1098" s="66">
        <f t="shared" si="160"/>
        <v>10040.000000000002</v>
      </c>
      <c r="N1098" s="104"/>
      <c r="O1098" s="20"/>
      <c r="P1098" s="104"/>
      <c r="Q1098" s="104"/>
      <c r="R1098" s="104"/>
      <c r="S1098" s="20"/>
      <c r="T1098" s="104"/>
      <c r="U1098" s="20"/>
      <c r="V1098" s="104"/>
      <c r="W1098" s="20"/>
      <c r="X1098" s="22"/>
      <c r="Y1098" s="22"/>
      <c r="Z1098" s="22"/>
      <c r="AA1098" s="22"/>
      <c r="AB1098" s="22"/>
      <c r="AC1098" s="332">
        <v>7290</v>
      </c>
      <c r="AD1098" s="390">
        <v>8100</v>
      </c>
      <c r="AE1098" s="332">
        <v>8620</v>
      </c>
      <c r="AF1098" s="332">
        <v>9490</v>
      </c>
      <c r="AG1098" s="332">
        <v>10040</v>
      </c>
      <c r="AH1098" s="289">
        <v>7290</v>
      </c>
      <c r="AI1098" s="289">
        <f t="shared" si="161"/>
        <v>0</v>
      </c>
      <c r="AJ1098" s="289">
        <v>8100</v>
      </c>
      <c r="AK1098" s="289">
        <f t="shared" si="162"/>
        <v>0</v>
      </c>
      <c r="AL1098" s="289">
        <v>8620</v>
      </c>
      <c r="AM1098" s="289">
        <f t="shared" si="163"/>
        <v>0</v>
      </c>
      <c r="AN1098" s="289">
        <v>9490</v>
      </c>
      <c r="AO1098" s="289">
        <f t="shared" si="164"/>
        <v>0</v>
      </c>
      <c r="AP1098" s="289">
        <v>10040</v>
      </c>
      <c r="AQ1098" s="289">
        <f t="shared" si="165"/>
        <v>0</v>
      </c>
    </row>
    <row r="1099" spans="1:46" ht="35.1" customHeight="1">
      <c r="A1099" s="8"/>
      <c r="B1099" s="16" t="s">
        <v>11</v>
      </c>
      <c r="C1099" s="17"/>
      <c r="D1099" s="18">
        <f t="shared" si="151"/>
        <v>5541.666666666667</v>
      </c>
      <c r="E1099" s="66">
        <f t="shared" si="152"/>
        <v>6650</v>
      </c>
      <c r="F1099" s="18">
        <f t="shared" si="153"/>
        <v>6150</v>
      </c>
      <c r="G1099" s="66">
        <f t="shared" si="154"/>
        <v>7380</v>
      </c>
      <c r="H1099" s="18">
        <f t="shared" si="155"/>
        <v>6500</v>
      </c>
      <c r="I1099" s="66">
        <f t="shared" si="156"/>
        <v>7800</v>
      </c>
      <c r="J1099" s="18">
        <f t="shared" si="157"/>
        <v>7125</v>
      </c>
      <c r="K1099" s="66">
        <f t="shared" si="158"/>
        <v>8550</v>
      </c>
      <c r="L1099" s="18">
        <f t="shared" si="159"/>
        <v>7466.666666666667</v>
      </c>
      <c r="M1099" s="66">
        <f t="shared" si="160"/>
        <v>8960</v>
      </c>
      <c r="N1099" s="104"/>
      <c r="O1099" s="20"/>
      <c r="P1099" s="104"/>
      <c r="Q1099" s="104"/>
      <c r="R1099" s="104"/>
      <c r="S1099" s="20"/>
      <c r="T1099" s="104"/>
      <c r="U1099" s="20"/>
      <c r="V1099" s="104"/>
      <c r="W1099" s="20"/>
      <c r="X1099" s="22"/>
      <c r="Y1099" s="22"/>
      <c r="Z1099" s="22"/>
      <c r="AA1099" s="22"/>
      <c r="AB1099" s="22"/>
      <c r="AC1099" s="332">
        <v>6650</v>
      </c>
      <c r="AD1099" s="390">
        <v>7380</v>
      </c>
      <c r="AE1099" s="332">
        <v>7800</v>
      </c>
      <c r="AF1099" s="332">
        <v>8550</v>
      </c>
      <c r="AG1099" s="332">
        <v>8960</v>
      </c>
      <c r="AH1099" s="289">
        <v>6650</v>
      </c>
      <c r="AI1099" s="289">
        <f t="shared" si="161"/>
        <v>0</v>
      </c>
      <c r="AJ1099" s="289">
        <v>7380</v>
      </c>
      <c r="AK1099" s="289">
        <f t="shared" si="162"/>
        <v>0</v>
      </c>
      <c r="AL1099" s="289">
        <v>7780</v>
      </c>
      <c r="AM1099" s="289">
        <f t="shared" si="163"/>
        <v>-2.564102564102555E-3</v>
      </c>
      <c r="AN1099" s="289">
        <v>8550</v>
      </c>
      <c r="AO1099" s="289">
        <f t="shared" si="164"/>
        <v>0</v>
      </c>
      <c r="AP1099" s="289">
        <v>8960</v>
      </c>
      <c r="AQ1099" s="289">
        <f t="shared" si="165"/>
        <v>0</v>
      </c>
    </row>
    <row r="1100" spans="1:46" ht="35.1" customHeight="1">
      <c r="A1100" s="8"/>
      <c r="B1100" s="23" t="s">
        <v>12</v>
      </c>
      <c r="C1100" s="24"/>
      <c r="D1100" s="25">
        <f t="shared" si="151"/>
        <v>5541.666666666667</v>
      </c>
      <c r="E1100" s="69">
        <f t="shared" si="152"/>
        <v>6650</v>
      </c>
      <c r="F1100" s="25">
        <f t="shared" si="153"/>
        <v>6150</v>
      </c>
      <c r="G1100" s="69">
        <f t="shared" si="154"/>
        <v>7380</v>
      </c>
      <c r="H1100" s="25">
        <f t="shared" si="155"/>
        <v>6500</v>
      </c>
      <c r="I1100" s="69">
        <f t="shared" si="156"/>
        <v>7800</v>
      </c>
      <c r="J1100" s="25">
        <f t="shared" si="157"/>
        <v>7125</v>
      </c>
      <c r="K1100" s="69">
        <f t="shared" si="158"/>
        <v>8550</v>
      </c>
      <c r="L1100" s="25">
        <f t="shared" si="159"/>
        <v>7466.666666666667</v>
      </c>
      <c r="M1100" s="69">
        <f t="shared" si="160"/>
        <v>8960</v>
      </c>
      <c r="N1100" s="104"/>
      <c r="O1100" s="20"/>
      <c r="P1100" s="104"/>
      <c r="Q1100" s="104"/>
      <c r="R1100" s="104"/>
      <c r="S1100" s="20"/>
      <c r="T1100" s="104"/>
      <c r="U1100" s="20"/>
      <c r="V1100" s="104"/>
      <c r="W1100" s="20"/>
      <c r="X1100" s="22"/>
      <c r="Y1100" s="22"/>
      <c r="Z1100" s="22"/>
      <c r="AA1100" s="22"/>
      <c r="AB1100" s="22"/>
      <c r="AC1100" s="332">
        <v>6650</v>
      </c>
      <c r="AD1100" s="390">
        <v>7380</v>
      </c>
      <c r="AE1100" s="332">
        <v>7800</v>
      </c>
      <c r="AF1100" s="332">
        <v>8550</v>
      </c>
      <c r="AG1100" s="332">
        <v>8960</v>
      </c>
      <c r="AH1100" s="289">
        <v>6650</v>
      </c>
      <c r="AI1100" s="289">
        <f t="shared" si="161"/>
        <v>0</v>
      </c>
      <c r="AJ1100" s="289">
        <v>7380</v>
      </c>
      <c r="AK1100" s="289">
        <f t="shared" si="162"/>
        <v>0</v>
      </c>
      <c r="AL1100" s="289">
        <v>7800</v>
      </c>
      <c r="AM1100" s="289">
        <f t="shared" si="163"/>
        <v>0</v>
      </c>
      <c r="AN1100" s="289">
        <v>8550</v>
      </c>
      <c r="AO1100" s="289">
        <f t="shared" si="164"/>
        <v>0</v>
      </c>
      <c r="AP1100" s="289">
        <v>8960</v>
      </c>
      <c r="AQ1100" s="289">
        <f t="shared" si="165"/>
        <v>0</v>
      </c>
    </row>
    <row r="1101" spans="1:46">
      <c r="C1101" s="245"/>
      <c r="D1101" s="26"/>
      <c r="E1101" s="57"/>
      <c r="F1101" s="26"/>
      <c r="G1101" s="57"/>
      <c r="H1101" s="5"/>
      <c r="P1101" s="104"/>
      <c r="Q1101" s="104"/>
      <c r="AN1101" s="310"/>
    </row>
    <row r="1102" spans="1:46">
      <c r="B1102" s="212" t="str">
        <f>IF($C$1="ENG","For additonal charge:","Послуги за додаткову плату:")</f>
        <v>Послуги за додаткову плату:</v>
      </c>
      <c r="C1102" s="420"/>
      <c r="D1102" s="213"/>
      <c r="E1102" s="214"/>
      <c r="F1102" s="26"/>
      <c r="G1102" s="57"/>
      <c r="H1102" s="10"/>
      <c r="I1102" s="8"/>
      <c r="J1102" s="8"/>
      <c r="K1102" s="8"/>
      <c r="P1102" s="104"/>
      <c r="Q1102" s="104"/>
    </row>
    <row r="1103" spans="1:46" ht="5.0999999999999996" customHeight="1">
      <c r="B1103" s="27"/>
      <c r="C1103" s="245"/>
      <c r="D1103" s="26"/>
      <c r="E1103" s="57"/>
      <c r="F1103" s="26"/>
      <c r="G1103" s="26"/>
      <c r="H1103" s="10"/>
      <c r="I1103" s="8"/>
      <c r="J1103" s="8"/>
      <c r="K1103" s="8"/>
    </row>
    <row r="1104" spans="1:46">
      <c r="B1104" s="539" t="str">
        <f>IF($C$1="ENG","door leaf with width 100","полотно розміром 100")</f>
        <v>полотно розміром 100</v>
      </c>
      <c r="C1104" s="540"/>
      <c r="D1104" s="409">
        <f t="shared" ref="D1104:D1117" si="166">IF(AC1104="","",(1-$W$2)*(AC1104/1.2))</f>
        <v>600</v>
      </c>
      <c r="E1104" s="92">
        <f t="shared" ref="E1104:E1116" si="167">IF($W$5=0.2,D1104*1.2,D1104)/$W$4</f>
        <v>720</v>
      </c>
      <c r="F1104" s="26"/>
      <c r="G1104" s="26"/>
      <c r="H1104" s="10"/>
      <c r="I1104" s="8"/>
      <c r="J1104" s="8"/>
      <c r="K1104" s="8"/>
      <c r="AC1104" s="289">
        <v>720</v>
      </c>
      <c r="AD1104" s="289">
        <v>720</v>
      </c>
      <c r="AE1104" s="289"/>
      <c r="AF1104" s="289"/>
      <c r="AG1104" s="289"/>
      <c r="AH1104" s="289"/>
      <c r="AI1104" s="289"/>
      <c r="AJ1104" s="289"/>
      <c r="AK1104" s="289"/>
      <c r="AL1104" s="289"/>
    </row>
    <row r="1105" spans="2:38">
      <c r="B1105" s="532" t="str">
        <f>IF($C$1="ENG","Ventilation sleeves (1 row)","вентиляційні віддушини (1ряд)")</f>
        <v>вентиляційні віддушини (1ряд)</v>
      </c>
      <c r="C1105" s="533"/>
      <c r="D1105" s="404">
        <f t="shared" si="166"/>
        <v>208.33333333333334</v>
      </c>
      <c r="E1105" s="93">
        <f t="shared" si="167"/>
        <v>250</v>
      </c>
      <c r="F1105" s="26"/>
      <c r="G1105" s="26"/>
      <c r="I1105" s="11"/>
      <c r="J1105" s="11"/>
      <c r="K1105" s="11"/>
      <c r="AC1105" s="289">
        <v>250</v>
      </c>
      <c r="AD1105" s="289">
        <v>250</v>
      </c>
      <c r="AE1105" s="289"/>
      <c r="AF1105" s="289"/>
      <c r="AG1105" s="289"/>
      <c r="AH1105" s="289"/>
      <c r="AI1105" s="289"/>
      <c r="AJ1105" s="289"/>
      <c r="AK1105" s="289"/>
      <c r="AL1105" s="289"/>
    </row>
    <row r="1106" spans="2:38">
      <c r="B1106" s="539" t="str">
        <f>IF($C$1="ENG","Ventilation cut","вентиляційний підріз")</f>
        <v>вентиляційний підріз</v>
      </c>
      <c r="C1106" s="540"/>
      <c r="D1106" s="404">
        <f t="shared" si="166"/>
        <v>141.66666666666669</v>
      </c>
      <c r="E1106" s="66">
        <f t="shared" si="167"/>
        <v>170.00000000000003</v>
      </c>
      <c r="F1106" s="26"/>
      <c r="G1106" s="26"/>
      <c r="I1106" s="59"/>
      <c r="J1106" s="28"/>
      <c r="AC1106" s="289">
        <v>170</v>
      </c>
      <c r="AD1106" s="289">
        <v>170</v>
      </c>
      <c r="AE1106" s="289"/>
      <c r="AF1106" s="289"/>
      <c r="AG1106" s="289"/>
      <c r="AH1106" s="289"/>
      <c r="AI1106" s="289"/>
      <c r="AJ1106" s="289"/>
      <c r="AK1106" s="289"/>
      <c r="AL1106" s="289"/>
    </row>
    <row r="1107" spans="2:38">
      <c r="B1107" s="532" t="str">
        <f>IF($C$1="ENG","glazing Graphite / Bronze","скло Графіт / Бронза")</f>
        <v>скло Графіт / Бронза</v>
      </c>
      <c r="C1107" s="533"/>
      <c r="D1107" s="406">
        <f t="shared" si="166"/>
        <v>458.33333333333337</v>
      </c>
      <c r="E1107" s="93">
        <f t="shared" si="167"/>
        <v>550</v>
      </c>
      <c r="F1107" s="26"/>
      <c r="G1107" s="26"/>
      <c r="H1107" s="5"/>
      <c r="AC1107" s="289">
        <v>550</v>
      </c>
      <c r="AD1107" s="289">
        <v>550</v>
      </c>
      <c r="AE1107" s="289"/>
      <c r="AF1107" s="289"/>
      <c r="AG1107" s="289"/>
      <c r="AH1107" s="289"/>
      <c r="AI1107" s="289"/>
      <c r="AJ1107" s="289"/>
      <c r="AK1107" s="289"/>
      <c r="AL1107" s="289"/>
    </row>
    <row r="1108" spans="2:38">
      <c r="B1108" s="532" t="str">
        <f>IF($C$1="ENG","glazing Lacobel black ","скло Lacobel чорне")</f>
        <v>скло Lacobel чорне</v>
      </c>
      <c r="C1108" s="533"/>
      <c r="D1108" s="406">
        <f t="shared" si="166"/>
        <v>458.33333333333337</v>
      </c>
      <c r="E1108" s="93">
        <f>IF($W$5=0.2,D1108*1.2,D1108)/$W$4</f>
        <v>550</v>
      </c>
      <c r="F1108" s="26"/>
      <c r="G1108" s="26"/>
      <c r="H1108" s="5"/>
      <c r="AC1108" s="298">
        <v>550</v>
      </c>
      <c r="AD1108" s="298">
        <v>550</v>
      </c>
      <c r="AE1108" s="289"/>
      <c r="AF1108" s="289"/>
      <c r="AG1108" s="289"/>
      <c r="AH1108" s="289"/>
      <c r="AI1108" s="289"/>
      <c r="AJ1108" s="289"/>
      <c r="AK1108" s="289"/>
      <c r="AL1108" s="289"/>
    </row>
    <row r="1109" spans="2:38">
      <c r="B1109" s="532" t="str">
        <f>IF($C$1="ENG","door lock Soft","замок Soft")</f>
        <v>замок Soft</v>
      </c>
      <c r="C1109" s="533"/>
      <c r="D1109" s="406">
        <f t="shared" si="166"/>
        <v>458.33333333333337</v>
      </c>
      <c r="E1109" s="93">
        <f t="shared" si="167"/>
        <v>550</v>
      </c>
      <c r="F1109" s="26"/>
      <c r="G1109" s="26"/>
      <c r="H1109" s="5"/>
      <c r="AC1109" s="289">
        <v>550</v>
      </c>
      <c r="AD1109" s="289">
        <v>550</v>
      </c>
      <c r="AE1109" s="289"/>
      <c r="AF1109" s="289"/>
      <c r="AG1109" s="289"/>
      <c r="AH1109" s="289"/>
      <c r="AI1109" s="289"/>
      <c r="AJ1109" s="289"/>
      <c r="AK1109" s="289"/>
      <c r="AL1109" s="289"/>
    </row>
    <row r="1110" spans="2:38">
      <c r="B1110" s="532" t="str">
        <f>IF($C$1="ENG","door lock Soft black","замок Soft чорн.")</f>
        <v>замок Soft чорн.</v>
      </c>
      <c r="C1110" s="533"/>
      <c r="D1110" s="406">
        <f t="shared" ref="D1110" si="168">IF(AC1110="","",(1-$W$2)*(AC1110/1.2))</f>
        <v>566.66666666666674</v>
      </c>
      <c r="E1110" s="93">
        <f t="shared" ref="E1110" si="169">IF($W$5=0.2,D1110*1.2,D1110)/$W$4</f>
        <v>680.00000000000011</v>
      </c>
      <c r="F1110" s="26"/>
      <c r="G1110" s="26"/>
      <c r="H1110" s="5"/>
      <c r="AC1110" s="289">
        <v>680</v>
      </c>
      <c r="AD1110" s="289"/>
      <c r="AE1110" s="289"/>
      <c r="AF1110" s="289"/>
      <c r="AG1110" s="289"/>
      <c r="AH1110" s="289"/>
      <c r="AI1110" s="289"/>
      <c r="AJ1110" s="289"/>
      <c r="AK1110" s="289"/>
      <c r="AL1110" s="289"/>
    </row>
    <row r="1111" spans="2:38">
      <c r="B1111" s="532" t="str">
        <f>IF($C$1="ENG","door lock Magnet","замок Magnet")</f>
        <v>замок Magnet</v>
      </c>
      <c r="C1111" s="533"/>
      <c r="D1111" s="406">
        <f t="shared" si="166"/>
        <v>666.66666666666674</v>
      </c>
      <c r="E1111" s="93">
        <f t="shared" si="167"/>
        <v>800.00000000000011</v>
      </c>
      <c r="F1111" s="26"/>
      <c r="G1111" s="26"/>
      <c r="H1111" s="5"/>
      <c r="AC1111" s="289">
        <v>800</v>
      </c>
      <c r="AD1111" s="289">
        <v>800</v>
      </c>
      <c r="AE1111" s="289"/>
      <c r="AF1111" s="289"/>
      <c r="AG1111" s="289"/>
      <c r="AH1111" s="289"/>
      <c r="AI1111" s="289"/>
      <c r="AJ1111" s="289"/>
      <c r="AK1111" s="289"/>
      <c r="AL1111" s="289"/>
    </row>
    <row r="1112" spans="2:38">
      <c r="B1112" s="532" t="s">
        <v>75</v>
      </c>
      <c r="C1112" s="532"/>
      <c r="D1112" s="406">
        <f t="shared" ref="D1112" si="170">IF(AC1112="","",(1-$W$2)*(AC1112/1.2))</f>
        <v>833.33333333333337</v>
      </c>
      <c r="E1112" s="93">
        <f t="shared" ref="E1112" si="171">IF($W$5=0.2,D1112*1.2,D1112)/$W$4</f>
        <v>1000</v>
      </c>
      <c r="F1112" s="26"/>
      <c r="G1112" s="26"/>
      <c r="H1112" s="5"/>
      <c r="AC1112" s="289">
        <v>1000</v>
      </c>
      <c r="AD1112" s="289"/>
      <c r="AE1112" s="289"/>
      <c r="AF1112" s="289"/>
      <c r="AG1112" s="289"/>
      <c r="AH1112" s="289"/>
      <c r="AI1112" s="289"/>
      <c r="AJ1112" s="289"/>
      <c r="AK1112" s="289"/>
      <c r="AL1112" s="289"/>
    </row>
    <row r="1113" spans="2:38">
      <c r="B1113" s="532" t="str">
        <f>IF($C$1="ENG","door handle-lock (for sliding doors)","ручка-замок (для дверей купе)")</f>
        <v>ручка-замок (для дверей купе)</v>
      </c>
      <c r="C1113" s="533"/>
      <c r="D1113" s="404">
        <f t="shared" si="166"/>
        <v>466.66666666666669</v>
      </c>
      <c r="E1113" s="93">
        <f t="shared" si="167"/>
        <v>560</v>
      </c>
      <c r="F1113" s="26"/>
      <c r="G1113" s="26"/>
      <c r="I1113" s="11"/>
      <c r="J1113" s="11"/>
      <c r="K1113" s="19"/>
      <c r="AC1113" s="289">
        <v>560</v>
      </c>
      <c r="AD1113" s="289">
        <v>560</v>
      </c>
      <c r="AE1113" s="289"/>
      <c r="AF1113" s="289"/>
      <c r="AG1113" s="289"/>
      <c r="AH1113" s="289"/>
      <c r="AI1113" s="289"/>
      <c r="AJ1113" s="289"/>
      <c r="AK1113" s="289"/>
      <c r="AL1113" s="289"/>
    </row>
    <row r="1114" spans="2:38">
      <c r="B1114" s="532" t="str">
        <f>IF($C$1="ENG","cylinder incert","циліндр несиметричний")</f>
        <v>циліндр несиметричний</v>
      </c>
      <c r="C1114" s="533"/>
      <c r="D1114" s="404">
        <f t="shared" si="166"/>
        <v>316.66666666666669</v>
      </c>
      <c r="E1114" s="93">
        <f t="shared" si="167"/>
        <v>380</v>
      </c>
      <c r="F1114" s="26"/>
      <c r="G1114" s="26"/>
      <c r="AC1114" s="289">
        <v>380</v>
      </c>
      <c r="AD1114" s="289">
        <v>380</v>
      </c>
      <c r="AE1114" s="289"/>
      <c r="AF1114" s="289"/>
      <c r="AG1114" s="289"/>
      <c r="AH1114" s="289"/>
      <c r="AI1114" s="289"/>
      <c r="AJ1114" s="289"/>
      <c r="AK1114" s="289"/>
      <c r="AL1114" s="289"/>
    </row>
    <row r="1115" spans="2:38">
      <c r="B1115" s="532" t="str">
        <f>IF($C$1="ENG","door hindge Prestige (1 unit)","завіса Prestige (1 шт)")</f>
        <v>завіса Prestige (1 шт)</v>
      </c>
      <c r="C1115" s="533"/>
      <c r="D1115" s="407">
        <f t="shared" si="166"/>
        <v>216.66666666666669</v>
      </c>
      <c r="E1115" s="93">
        <f t="shared" si="167"/>
        <v>260</v>
      </c>
      <c r="F1115" s="26"/>
      <c r="G1115" s="26"/>
      <c r="AC1115" s="289">
        <v>260</v>
      </c>
      <c r="AD1115" s="289">
        <v>260</v>
      </c>
      <c r="AE1115" s="289"/>
      <c r="AF1115" s="289"/>
      <c r="AG1115" s="289"/>
      <c r="AH1115" s="289"/>
      <c r="AI1115" s="289"/>
      <c r="AJ1115" s="289"/>
      <c r="AK1115" s="289"/>
      <c r="AL1115" s="289"/>
    </row>
    <row r="1116" spans="2:38">
      <c r="B1116" s="532" t="str">
        <f>IF($C$1="ENG","door hinge caps (1 set)","накладка на завіси (1 к-т)")</f>
        <v>накладка на завіси (1 к-т)</v>
      </c>
      <c r="C1116" s="533"/>
      <c r="D1116" s="407">
        <f t="shared" si="166"/>
        <v>66.666666666666671</v>
      </c>
      <c r="E1116" s="93">
        <f t="shared" si="167"/>
        <v>80</v>
      </c>
      <c r="F1116" s="26"/>
      <c r="G1116" s="26"/>
      <c r="AC1116" s="289">
        <v>80</v>
      </c>
      <c r="AD1116" s="289">
        <v>80</v>
      </c>
      <c r="AE1116" s="289"/>
      <c r="AF1116" s="289"/>
      <c r="AG1116" s="289"/>
      <c r="AH1116" s="289"/>
      <c r="AI1116" s="289"/>
      <c r="AJ1116" s="289"/>
      <c r="AK1116" s="289"/>
      <c r="AL1116" s="289"/>
    </row>
    <row r="1117" spans="2:38">
      <c r="B1117" s="532" t="str">
        <f>IF($C$1="ENG","door handle","дверна ручка")</f>
        <v>дверна ручка</v>
      </c>
      <c r="C1117" s="533"/>
      <c r="D1117" s="408" t="str">
        <f t="shared" si="166"/>
        <v/>
      </c>
      <c r="E1117" s="247" t="str">
        <f>IF($C$1="ENG","see Handles Price","див. Таблицю Ручки")</f>
        <v>див. Таблицю Ручки</v>
      </c>
      <c r="F1117" s="26"/>
      <c r="G1117" s="26"/>
      <c r="AC1117" s="289"/>
      <c r="AD1117" s="289"/>
      <c r="AE1117" s="289"/>
      <c r="AF1117" s="289"/>
      <c r="AG1117" s="289"/>
      <c r="AH1117" s="289"/>
      <c r="AI1117" s="289"/>
      <c r="AJ1117" s="289"/>
      <c r="AK1117" s="289"/>
      <c r="AL1117" s="289"/>
    </row>
    <row r="1118" spans="2:38" ht="14.25" customHeight="1">
      <c r="C1118" s="245"/>
      <c r="D1118" s="26"/>
      <c r="E1118" s="26"/>
      <c r="F1118" s="26"/>
      <c r="G1118" s="26"/>
      <c r="H1118" s="5"/>
      <c r="T1118" s="525" t="str">
        <f>IF($C$1="ENG",CONCATENATE("down to: ",B1168),CONCATENATE("вниз до: ",B1168))</f>
        <v>вниз до: Полотна збірні: МІРА</v>
      </c>
      <c r="U1118" s="525"/>
      <c r="V1118" s="525"/>
      <c r="W1118" s="525"/>
    </row>
    <row r="1119" spans="2:38" ht="14.25" customHeight="1">
      <c r="C1119" s="245"/>
      <c r="D1119" s="26"/>
      <c r="E1119" s="26"/>
      <c r="F1119" s="26"/>
      <c r="G1119" s="26"/>
      <c r="H1119" s="5"/>
      <c r="T1119" s="115"/>
      <c r="U1119" s="115"/>
      <c r="V1119" s="115"/>
      <c r="W1119" s="115"/>
    </row>
    <row r="1120" spans="2:38" ht="14.25" customHeight="1">
      <c r="C1120" s="245"/>
      <c r="D1120" s="26"/>
      <c r="E1120" s="26"/>
      <c r="F1120" s="26"/>
      <c r="G1120" s="26"/>
      <c r="H1120" s="5"/>
      <c r="T1120" s="115"/>
      <c r="U1120" s="115"/>
      <c r="V1120" s="115"/>
      <c r="W1120" s="115"/>
    </row>
    <row r="1121" spans="3:23" ht="14.25" customHeight="1">
      <c r="C1121" s="245"/>
      <c r="D1121" s="26"/>
      <c r="E1121" s="26"/>
      <c r="F1121" s="26"/>
      <c r="G1121" s="26"/>
      <c r="H1121" s="5"/>
      <c r="T1121" s="115"/>
      <c r="U1121" s="115"/>
      <c r="V1121" s="115"/>
      <c r="W1121" s="115"/>
    </row>
    <row r="1122" spans="3:23" ht="14.25" customHeight="1">
      <c r="C1122" s="245"/>
      <c r="D1122" s="26"/>
      <c r="E1122" s="26"/>
      <c r="F1122" s="26"/>
      <c r="G1122" s="26"/>
      <c r="H1122" s="5"/>
      <c r="T1122" s="115"/>
      <c r="U1122" s="115"/>
      <c r="V1122" s="115"/>
      <c r="W1122" s="115"/>
    </row>
    <row r="1123" spans="3:23" ht="14.25" customHeight="1">
      <c r="C1123" s="245"/>
      <c r="D1123" s="26"/>
      <c r="E1123" s="26"/>
      <c r="F1123" s="26"/>
      <c r="G1123" s="26"/>
      <c r="H1123" s="5"/>
      <c r="T1123" s="115"/>
      <c r="U1123" s="115"/>
      <c r="V1123" s="115"/>
      <c r="W1123" s="115"/>
    </row>
    <row r="1124" spans="3:23" ht="14.25" customHeight="1">
      <c r="C1124" s="245"/>
      <c r="D1124" s="26"/>
      <c r="E1124" s="26"/>
      <c r="F1124" s="26"/>
      <c r="G1124" s="26"/>
      <c r="H1124" s="5"/>
      <c r="T1124" s="115"/>
      <c r="U1124" s="115"/>
      <c r="V1124" s="115"/>
      <c r="W1124" s="115"/>
    </row>
    <row r="1125" spans="3:23" ht="14.25" customHeight="1">
      <c r="C1125" s="245"/>
      <c r="D1125" s="26"/>
      <c r="E1125" s="26"/>
      <c r="F1125" s="26"/>
      <c r="G1125" s="26"/>
      <c r="H1125" s="5"/>
      <c r="T1125" s="115"/>
      <c r="U1125" s="115"/>
      <c r="V1125" s="115"/>
      <c r="W1125" s="115"/>
    </row>
    <row r="1126" spans="3:23" ht="14.25" customHeight="1">
      <c r="C1126" s="245"/>
      <c r="D1126" s="26"/>
      <c r="E1126" s="26"/>
      <c r="F1126" s="26"/>
      <c r="G1126" s="26"/>
      <c r="H1126" s="5"/>
      <c r="T1126" s="115"/>
      <c r="U1126" s="115"/>
      <c r="V1126" s="115"/>
      <c r="W1126" s="115"/>
    </row>
    <row r="1127" spans="3:23" ht="14.25" customHeight="1">
      <c r="C1127" s="245"/>
      <c r="D1127" s="26"/>
      <c r="E1127" s="26"/>
      <c r="F1127" s="26"/>
      <c r="G1127" s="26"/>
      <c r="H1127" s="5"/>
      <c r="T1127" s="115"/>
      <c r="U1127" s="115"/>
      <c r="V1127" s="115"/>
      <c r="W1127" s="115"/>
    </row>
    <row r="1128" spans="3:23" ht="14.25" customHeight="1">
      <c r="C1128" s="245"/>
      <c r="D1128" s="26"/>
      <c r="E1128" s="26"/>
      <c r="F1128" s="26"/>
      <c r="G1128" s="26"/>
      <c r="H1128" s="5"/>
      <c r="T1128" s="115"/>
      <c r="U1128" s="115"/>
      <c r="V1128" s="115"/>
      <c r="W1128" s="115"/>
    </row>
    <row r="1129" spans="3:23" ht="14.25" customHeight="1">
      <c r="C1129" s="245"/>
      <c r="D1129" s="26"/>
      <c r="E1129" s="26"/>
      <c r="F1129" s="26"/>
      <c r="G1129" s="26"/>
      <c r="H1129" s="5"/>
      <c r="T1129" s="115"/>
      <c r="U1129" s="115"/>
      <c r="V1129" s="115"/>
      <c r="W1129" s="115"/>
    </row>
    <row r="1130" spans="3:23" ht="14.25" customHeight="1">
      <c r="C1130" s="245"/>
      <c r="D1130" s="26"/>
      <c r="E1130" s="26"/>
      <c r="F1130" s="26"/>
      <c r="G1130" s="26"/>
      <c r="H1130" s="5"/>
      <c r="T1130" s="115"/>
      <c r="U1130" s="115"/>
      <c r="V1130" s="115"/>
      <c r="W1130" s="115"/>
    </row>
    <row r="1131" spans="3:23" ht="14.25" customHeight="1">
      <c r="C1131" s="245"/>
      <c r="D1131" s="26"/>
      <c r="E1131" s="26"/>
      <c r="F1131" s="26"/>
      <c r="G1131" s="26"/>
      <c r="H1131" s="5"/>
      <c r="T1131" s="115"/>
      <c r="U1131" s="115"/>
      <c r="V1131" s="115"/>
      <c r="W1131" s="115"/>
    </row>
    <row r="1132" spans="3:23" ht="14.25" customHeight="1">
      <c r="C1132" s="245"/>
      <c r="D1132" s="26"/>
      <c r="E1132" s="26"/>
      <c r="F1132" s="26"/>
      <c r="G1132" s="26"/>
      <c r="H1132" s="5"/>
      <c r="T1132" s="115"/>
      <c r="U1132" s="115"/>
      <c r="V1132" s="115"/>
      <c r="W1132" s="115"/>
    </row>
    <row r="1133" spans="3:23" ht="14.25" customHeight="1">
      <c r="C1133" s="245"/>
      <c r="D1133" s="26"/>
      <c r="E1133" s="26"/>
      <c r="F1133" s="26"/>
      <c r="G1133" s="26"/>
      <c r="H1133" s="5"/>
      <c r="T1133" s="115"/>
      <c r="U1133" s="115"/>
      <c r="V1133" s="115"/>
      <c r="W1133" s="115"/>
    </row>
    <row r="1134" spans="3:23" ht="14.25" customHeight="1">
      <c r="C1134" s="245"/>
      <c r="D1134" s="26"/>
      <c r="E1134" s="26"/>
      <c r="F1134" s="26"/>
      <c r="G1134" s="26"/>
      <c r="H1134" s="5"/>
      <c r="T1134" s="115"/>
      <c r="U1134" s="115"/>
      <c r="V1134" s="115"/>
      <c r="W1134" s="115"/>
    </row>
    <row r="1135" spans="3:23" ht="14.25" customHeight="1">
      <c r="C1135" s="245"/>
      <c r="D1135" s="26"/>
      <c r="E1135" s="26"/>
      <c r="F1135" s="26"/>
      <c r="G1135" s="26"/>
      <c r="H1135" s="5"/>
      <c r="T1135" s="115"/>
      <c r="U1135" s="115"/>
      <c r="V1135" s="115"/>
      <c r="W1135" s="115"/>
    </row>
    <row r="1136" spans="3:23" ht="14.25" customHeight="1">
      <c r="C1136" s="245"/>
      <c r="D1136" s="26"/>
      <c r="E1136" s="26"/>
      <c r="F1136" s="26"/>
      <c r="G1136" s="26"/>
      <c r="H1136" s="5"/>
      <c r="T1136" s="115"/>
      <c r="U1136" s="115"/>
      <c r="V1136" s="115"/>
      <c r="W1136" s="115"/>
    </row>
    <row r="1137" spans="3:23" ht="14.25" customHeight="1">
      <c r="C1137" s="245"/>
      <c r="D1137" s="26"/>
      <c r="E1137" s="26"/>
      <c r="F1137" s="26"/>
      <c r="G1137" s="26"/>
      <c r="H1137" s="5"/>
      <c r="T1137" s="115"/>
      <c r="U1137" s="115"/>
      <c r="V1137" s="115"/>
      <c r="W1137" s="115"/>
    </row>
    <row r="1138" spans="3:23" ht="14.25" customHeight="1">
      <c r="C1138" s="245"/>
      <c r="D1138" s="26"/>
      <c r="E1138" s="26"/>
      <c r="F1138" s="26"/>
      <c r="G1138" s="26"/>
      <c r="H1138" s="5"/>
      <c r="T1138" s="115"/>
      <c r="U1138" s="115"/>
      <c r="V1138" s="115"/>
      <c r="W1138" s="115"/>
    </row>
    <row r="1139" spans="3:23" ht="14.25" customHeight="1">
      <c r="C1139" s="245"/>
      <c r="D1139" s="26"/>
      <c r="E1139" s="26"/>
      <c r="F1139" s="26"/>
      <c r="G1139" s="26"/>
      <c r="H1139" s="5"/>
      <c r="T1139" s="115"/>
      <c r="U1139" s="115"/>
      <c r="V1139" s="115"/>
      <c r="W1139" s="115"/>
    </row>
    <row r="1140" spans="3:23" ht="14.25" customHeight="1">
      <c r="C1140" s="245"/>
      <c r="D1140" s="26"/>
      <c r="E1140" s="26"/>
      <c r="F1140" s="26"/>
      <c r="G1140" s="26"/>
      <c r="H1140" s="5"/>
      <c r="T1140" s="115"/>
      <c r="U1140" s="115"/>
      <c r="V1140" s="115"/>
      <c r="W1140" s="115"/>
    </row>
    <row r="1141" spans="3:23" ht="14.25" customHeight="1">
      <c r="C1141" s="245"/>
      <c r="D1141" s="26"/>
      <c r="E1141" s="26"/>
      <c r="F1141" s="26"/>
      <c r="G1141" s="26"/>
      <c r="H1141" s="5"/>
      <c r="T1141" s="115"/>
      <c r="U1141" s="115"/>
      <c r="V1141" s="115"/>
      <c r="W1141" s="115"/>
    </row>
    <row r="1142" spans="3:23" ht="14.25" customHeight="1">
      <c r="C1142" s="245"/>
      <c r="D1142" s="26"/>
      <c r="E1142" s="26"/>
      <c r="F1142" s="26"/>
      <c r="G1142" s="26"/>
      <c r="H1142" s="5"/>
      <c r="T1142" s="115"/>
      <c r="U1142" s="115"/>
      <c r="V1142" s="115"/>
      <c r="W1142" s="115"/>
    </row>
    <row r="1143" spans="3:23" ht="14.25" customHeight="1">
      <c r="C1143" s="245"/>
      <c r="D1143" s="26"/>
      <c r="E1143" s="26"/>
      <c r="F1143" s="26"/>
      <c r="G1143" s="26"/>
      <c r="H1143" s="5"/>
      <c r="T1143" s="115"/>
      <c r="U1143" s="115"/>
      <c r="V1143" s="115"/>
      <c r="W1143" s="115"/>
    </row>
    <row r="1144" spans="3:23" ht="14.25" customHeight="1">
      <c r="C1144" s="245"/>
      <c r="D1144" s="26"/>
      <c r="E1144" s="26"/>
      <c r="F1144" s="26"/>
      <c r="G1144" s="26"/>
      <c r="H1144" s="5"/>
      <c r="T1144" s="115"/>
      <c r="U1144" s="115"/>
      <c r="V1144" s="115"/>
      <c r="W1144" s="115"/>
    </row>
    <row r="1145" spans="3:23" ht="14.25" customHeight="1">
      <c r="C1145" s="245"/>
      <c r="D1145" s="26"/>
      <c r="E1145" s="26"/>
      <c r="F1145" s="26"/>
      <c r="G1145" s="26"/>
      <c r="H1145" s="5"/>
      <c r="T1145" s="115"/>
      <c r="U1145" s="115"/>
      <c r="V1145" s="115"/>
      <c r="W1145" s="115"/>
    </row>
    <row r="1146" spans="3:23" ht="14.25" customHeight="1">
      <c r="C1146" s="245"/>
      <c r="D1146" s="26"/>
      <c r="E1146" s="26"/>
      <c r="F1146" s="26"/>
      <c r="G1146" s="26"/>
      <c r="H1146" s="5"/>
      <c r="T1146" s="115"/>
      <c r="U1146" s="115"/>
      <c r="V1146" s="115"/>
      <c r="W1146" s="115"/>
    </row>
    <row r="1147" spans="3:23" ht="14.25" customHeight="1">
      <c r="C1147" s="245"/>
      <c r="D1147" s="26"/>
      <c r="E1147" s="26"/>
      <c r="F1147" s="26"/>
      <c r="G1147" s="26"/>
      <c r="H1147" s="5"/>
      <c r="T1147" s="115"/>
      <c r="U1147" s="115"/>
      <c r="V1147" s="115"/>
      <c r="W1147" s="115"/>
    </row>
    <row r="1148" spans="3:23" ht="14.25" customHeight="1">
      <c r="C1148" s="245"/>
      <c r="D1148" s="26"/>
      <c r="E1148" s="26"/>
      <c r="F1148" s="26"/>
      <c r="G1148" s="26"/>
      <c r="H1148" s="5"/>
      <c r="T1148" s="115"/>
      <c r="U1148" s="115"/>
      <c r="V1148" s="115"/>
      <c r="W1148" s="115"/>
    </row>
    <row r="1149" spans="3:23" ht="14.25" customHeight="1">
      <c r="C1149" s="245"/>
      <c r="D1149" s="26"/>
      <c r="E1149" s="26"/>
      <c r="F1149" s="26"/>
      <c r="G1149" s="26"/>
      <c r="H1149" s="5"/>
      <c r="T1149" s="115"/>
      <c r="U1149" s="115"/>
      <c r="V1149" s="115"/>
      <c r="W1149" s="115"/>
    </row>
    <row r="1150" spans="3:23" ht="14.25" customHeight="1">
      <c r="C1150" s="245"/>
      <c r="D1150" s="26"/>
      <c r="E1150" s="26"/>
      <c r="F1150" s="26"/>
      <c r="G1150" s="26"/>
      <c r="H1150" s="5"/>
      <c r="T1150" s="115"/>
      <c r="U1150" s="115"/>
      <c r="V1150" s="115"/>
      <c r="W1150" s="115"/>
    </row>
    <row r="1151" spans="3:23" ht="14.25" customHeight="1">
      <c r="C1151" s="245"/>
      <c r="D1151" s="26"/>
      <c r="E1151" s="26"/>
      <c r="F1151" s="26"/>
      <c r="G1151" s="26"/>
      <c r="H1151" s="5"/>
      <c r="T1151" s="115"/>
      <c r="U1151" s="115"/>
      <c r="V1151" s="115"/>
      <c r="W1151" s="115"/>
    </row>
    <row r="1152" spans="3:23" ht="14.25" customHeight="1">
      <c r="C1152" s="245"/>
      <c r="D1152" s="26"/>
      <c r="E1152" s="26"/>
      <c r="F1152" s="26"/>
      <c r="G1152" s="26"/>
      <c r="H1152" s="5"/>
      <c r="T1152" s="115"/>
      <c r="U1152" s="115"/>
      <c r="V1152" s="115"/>
      <c r="W1152" s="115"/>
    </row>
    <row r="1153" spans="2:46" ht="14.25" customHeight="1">
      <c r="C1153" s="245"/>
      <c r="D1153" s="26"/>
      <c r="E1153" s="26"/>
      <c r="F1153" s="26"/>
      <c r="G1153" s="26"/>
      <c r="H1153" s="5"/>
      <c r="T1153" s="115"/>
      <c r="U1153" s="115"/>
      <c r="V1153" s="115"/>
      <c r="W1153" s="115"/>
    </row>
    <row r="1154" spans="2:46" ht="14.25" customHeight="1">
      <c r="C1154" s="245"/>
      <c r="D1154" s="26"/>
      <c r="E1154" s="26"/>
      <c r="F1154" s="26"/>
      <c r="G1154" s="26"/>
      <c r="H1154" s="5"/>
      <c r="T1154" s="115"/>
      <c r="U1154" s="115"/>
      <c r="V1154" s="115"/>
      <c r="W1154" s="115"/>
    </row>
    <row r="1155" spans="2:46" ht="14.25" customHeight="1">
      <c r="C1155" s="245"/>
      <c r="D1155" s="26"/>
      <c r="E1155" s="26"/>
      <c r="F1155" s="26"/>
      <c r="G1155" s="26"/>
      <c r="H1155" s="5"/>
      <c r="T1155" s="115"/>
      <c r="U1155" s="115"/>
      <c r="V1155" s="115"/>
      <c r="W1155" s="115"/>
    </row>
    <row r="1156" spans="2:46" ht="14.25" customHeight="1">
      <c r="C1156" s="245"/>
      <c r="D1156" s="26"/>
      <c r="E1156" s="26"/>
      <c r="F1156" s="26"/>
      <c r="G1156" s="26"/>
      <c r="H1156" s="5"/>
      <c r="T1156" s="115"/>
      <c r="U1156" s="115"/>
      <c r="V1156" s="115"/>
      <c r="W1156" s="115"/>
    </row>
    <row r="1157" spans="2:46" ht="14.25" customHeight="1">
      <c r="C1157" s="245"/>
      <c r="D1157" s="26"/>
      <c r="E1157" s="26"/>
      <c r="F1157" s="26"/>
      <c r="G1157" s="26"/>
      <c r="H1157" s="5"/>
      <c r="T1157" s="115"/>
      <c r="U1157" s="115"/>
      <c r="V1157" s="115"/>
      <c r="W1157" s="115"/>
    </row>
    <row r="1158" spans="2:46" ht="14.25" customHeight="1">
      <c r="C1158" s="245"/>
      <c r="D1158" s="26"/>
      <c r="E1158" s="26"/>
      <c r="F1158" s="26"/>
      <c r="G1158" s="26"/>
      <c r="H1158" s="5"/>
      <c r="T1158" s="115"/>
      <c r="U1158" s="115"/>
      <c r="V1158" s="115"/>
      <c r="W1158" s="115"/>
    </row>
    <row r="1159" spans="2:46" ht="14.25" customHeight="1">
      <c r="C1159" s="245"/>
      <c r="D1159" s="26"/>
      <c r="E1159" s="26"/>
      <c r="F1159" s="26"/>
      <c r="G1159" s="26"/>
      <c r="H1159" s="5"/>
      <c r="T1159" s="115"/>
      <c r="U1159" s="115"/>
      <c r="V1159" s="115"/>
      <c r="W1159" s="115"/>
    </row>
    <row r="1160" spans="2:46" ht="14.25" customHeight="1">
      <c r="C1160" s="245"/>
      <c r="D1160" s="26"/>
      <c r="E1160" s="26"/>
      <c r="F1160" s="26"/>
      <c r="G1160" s="26"/>
      <c r="H1160" s="5"/>
      <c r="T1160" s="115"/>
      <c r="U1160" s="115"/>
      <c r="V1160" s="115"/>
      <c r="W1160" s="115"/>
    </row>
    <row r="1161" spans="2:46" ht="14.25" customHeight="1">
      <c r="C1161" s="245"/>
      <c r="D1161" s="26"/>
      <c r="E1161" s="26"/>
      <c r="F1161" s="26"/>
      <c r="G1161" s="26"/>
      <c r="H1161" s="5"/>
      <c r="T1161" s="115"/>
      <c r="U1161" s="115"/>
      <c r="V1161" s="115"/>
      <c r="W1161" s="115"/>
    </row>
    <row r="1162" spans="2:46" ht="14.25" customHeight="1">
      <c r="C1162" s="245"/>
      <c r="D1162" s="26"/>
      <c r="E1162" s="26"/>
      <c r="F1162" s="26"/>
      <c r="G1162" s="26"/>
      <c r="H1162" s="5"/>
      <c r="T1162" s="115"/>
      <c r="U1162" s="115"/>
      <c r="V1162" s="115"/>
      <c r="W1162" s="115"/>
    </row>
    <row r="1163" spans="2:46" ht="14.25" customHeight="1">
      <c r="C1163" s="245"/>
      <c r="D1163" s="26"/>
      <c r="E1163" s="26"/>
      <c r="F1163" s="26"/>
      <c r="G1163" s="26"/>
      <c r="H1163" s="5"/>
      <c r="T1163" s="115"/>
      <c r="U1163" s="115"/>
      <c r="V1163" s="115"/>
      <c r="W1163" s="115"/>
    </row>
    <row r="1164" spans="2:46" ht="14.25" customHeight="1">
      <c r="C1164" s="245"/>
      <c r="D1164" s="26"/>
      <c r="E1164" s="26"/>
      <c r="F1164" s="26"/>
      <c r="G1164" s="26"/>
      <c r="H1164" s="5"/>
      <c r="T1164" s="115"/>
      <c r="U1164" s="115"/>
      <c r="V1164" s="115"/>
      <c r="W1164" s="115"/>
    </row>
    <row r="1165" spans="2:46" ht="14.25" customHeight="1">
      <c r="C1165" s="245"/>
      <c r="D1165" s="26"/>
      <c r="E1165" s="26"/>
      <c r="F1165" s="26"/>
      <c r="G1165" s="26"/>
      <c r="H1165" s="5"/>
      <c r="T1165" s="115"/>
      <c r="U1165" s="115"/>
      <c r="V1165" s="115"/>
      <c r="W1165" s="115"/>
    </row>
    <row r="1166" spans="2:46" ht="14.25" customHeight="1">
      <c r="C1166" s="245"/>
      <c r="D1166" s="26"/>
      <c r="E1166" s="26"/>
      <c r="F1166" s="26"/>
      <c r="G1166" s="26"/>
      <c r="H1166" s="5"/>
      <c r="T1166" s="115"/>
      <c r="U1166" s="115"/>
      <c r="V1166" s="115"/>
      <c r="W1166" s="115"/>
    </row>
    <row r="1167" spans="2:46" ht="14.25" customHeight="1">
      <c r="C1167" s="245"/>
      <c r="D1167" s="26"/>
      <c r="E1167" s="26"/>
      <c r="F1167" s="26"/>
      <c r="G1167" s="26"/>
      <c r="H1167" s="5"/>
      <c r="T1167" s="115"/>
      <c r="U1167" s="115"/>
      <c r="V1167" s="115"/>
      <c r="W1167" s="115"/>
      <c r="AF1167" s="289">
        <f>AA1167/100*12+AA1167</f>
        <v>0</v>
      </c>
      <c r="AG1167" s="289" t="e">
        <f>AF1167/AA1167-1</f>
        <v>#DIV/0!</v>
      </c>
    </row>
    <row r="1168" spans="2:46" s="8" customFormat="1">
      <c r="B1168" s="518" t="str">
        <f>TITLE!C24</f>
        <v>Полотна збірні: МІРА</v>
      </c>
      <c r="C1168" s="518"/>
      <c r="D1168" s="118"/>
      <c r="E1168" s="118"/>
      <c r="F1168" s="118"/>
      <c r="G1168" s="118"/>
      <c r="H1168" s="520"/>
      <c r="I1168" s="520"/>
      <c r="J1168" s="121"/>
      <c r="K1168" s="121"/>
      <c r="L1168" s="121"/>
      <c r="M1168" s="121"/>
      <c r="N1168" s="121"/>
      <c r="O1168" s="121"/>
      <c r="P1168" s="121"/>
      <c r="Q1168" s="121"/>
      <c r="R1168" s="121"/>
      <c r="S1168" s="121"/>
      <c r="T1168" s="529" t="str">
        <f>IF($C$1="ENG",CONCATENATE("up to: ",B1090),CONCATENATE("вгору до: ",B1090))</f>
        <v>вгору до: Полотна збірні: ЛАДА-НОВА</v>
      </c>
      <c r="U1168" s="529"/>
      <c r="V1168" s="529"/>
      <c r="W1168" s="529"/>
      <c r="AN1168" s="280"/>
      <c r="AO1168" s="280"/>
      <c r="AP1168" s="280"/>
      <c r="AQ1168" s="280"/>
      <c r="AR1168" s="280"/>
      <c r="AS1168" s="280"/>
      <c r="AT1168" s="280"/>
    </row>
    <row r="1169" spans="1:46" s="8" customFormat="1" ht="5.0999999999999996" customHeight="1">
      <c r="B1169" s="117"/>
      <c r="C1169" s="419"/>
      <c r="D1169" s="9"/>
      <c r="E1169" s="9"/>
      <c r="F1169" s="9"/>
      <c r="G1169" s="9"/>
      <c r="H1169" s="120"/>
      <c r="I1169" s="120"/>
      <c r="T1169" s="115"/>
      <c r="U1169" s="115"/>
      <c r="V1169" s="115"/>
      <c r="W1169" s="115"/>
      <c r="AN1169" s="280"/>
      <c r="AO1169" s="280"/>
      <c r="AP1169" s="280"/>
      <c r="AQ1169" s="280"/>
      <c r="AR1169" s="280"/>
      <c r="AS1169" s="280"/>
      <c r="AT1169" s="280"/>
    </row>
    <row r="1170" spans="1:46" s="8" customFormat="1" ht="12.75" customHeight="1">
      <c r="B1170" s="536" t="str">
        <f>IF($C$1="ENG","model","модель")</f>
        <v>модель</v>
      </c>
      <c r="C1170" s="122" t="str">
        <f>IF($C$1="ENG","cover:","покриття:")</f>
        <v>покриття:</v>
      </c>
      <c r="D1170" s="522" t="str">
        <f>IF($C$1="ENG","Verto-CELL","Verto-CELL")</f>
        <v>Verto-CELL</v>
      </c>
      <c r="E1170" s="524"/>
      <c r="F1170" s="522" t="str">
        <f>IF($C$1="ENG","UNI-MAT","UNI-MAT")</f>
        <v>UNI-MAT</v>
      </c>
      <c r="G1170" s="524"/>
      <c r="H1170" s="522" t="str">
        <f>IF($C$1="ENG","RESIST","RESIST")</f>
        <v>RESIST</v>
      </c>
      <c r="I1170" s="524"/>
      <c r="J1170" s="522" t="str">
        <f>IF($C$1="ENG","Verto LINE-3D","Verto LINE-3D")</f>
        <v>Verto LINE-3D</v>
      </c>
      <c r="K1170" s="524"/>
      <c r="L1170" s="522" t="str">
        <f>IF($C$1="ENG","ECO Shpon","ЕКО Шпон")</f>
        <v>ЕКО Шпон</v>
      </c>
      <c r="M1170" s="524"/>
      <c r="P1170" s="1"/>
      <c r="Q1170" s="1"/>
      <c r="T1170" s="115"/>
      <c r="U1170" s="115"/>
      <c r="V1170" s="115"/>
      <c r="W1170" s="115"/>
      <c r="AN1170" s="280"/>
      <c r="AO1170" s="280"/>
      <c r="AP1170" s="280"/>
      <c r="AQ1170" s="280"/>
      <c r="AR1170" s="280"/>
      <c r="AS1170" s="280"/>
      <c r="AT1170" s="280"/>
    </row>
    <row r="1171" spans="1:46" s="8" customFormat="1" ht="24" customHeight="1">
      <c r="B1171" s="537"/>
      <c r="C1171" s="123" t="str">
        <f>IF($C$1="ENG","filling:","заповнення:")</f>
        <v>заповнення:</v>
      </c>
      <c r="D1171" s="527" t="str">
        <f>IF($C$1="ENG","softwood","клеєний сосновий брус")</f>
        <v>клеєний сосновий брус</v>
      </c>
      <c r="E1171" s="528"/>
      <c r="F1171" s="527" t="str">
        <f>IF($C$1="ENG","softwood","клеєний сосновий брус")</f>
        <v>клеєний сосновий брус</v>
      </c>
      <c r="G1171" s="528"/>
      <c r="H1171" s="527" t="str">
        <f>IF($C$1="ENG","softwood","клеєний сосновий брус")</f>
        <v>клеєний сосновий брус</v>
      </c>
      <c r="I1171" s="528"/>
      <c r="J1171" s="527" t="str">
        <f>IF($C$1="ENG","softwood","клеєний сосновий брус")</f>
        <v>клеєний сосновий брус</v>
      </c>
      <c r="K1171" s="528"/>
      <c r="L1171" s="527" t="str">
        <f>IF($C$1="ENG","softwood","клеєний сосновий брус")</f>
        <v>клеєний сосновий брус</v>
      </c>
      <c r="M1171" s="528"/>
      <c r="P1171" s="1"/>
      <c r="Q1171" s="1"/>
      <c r="T1171" s="115"/>
      <c r="U1171" s="115"/>
      <c r="V1171" s="115"/>
      <c r="W1171" s="115"/>
      <c r="AD1171" s="382">
        <f>AD1173/AC1173-1</f>
        <v>0.13956834532374107</v>
      </c>
      <c r="AE1171" s="382">
        <f>AE1173/AD1173-1</f>
        <v>4.4191919191919116E-2</v>
      </c>
      <c r="AF1171" s="382">
        <f>AF1173/AE1173-1</f>
        <v>7.3760580411124543E-2</v>
      </c>
      <c r="AG1171" s="382">
        <f>AG1173/AF1173-1</f>
        <v>4.8423423423423317E-2</v>
      </c>
      <c r="AH1171" s="8">
        <v>6200</v>
      </c>
      <c r="AI1171" s="8">
        <v>7380</v>
      </c>
      <c r="AJ1171" s="8">
        <v>7930</v>
      </c>
      <c r="AK1171" s="8">
        <v>8310</v>
      </c>
      <c r="AN1171" s="280"/>
      <c r="AO1171" s="280"/>
      <c r="AP1171" s="280"/>
      <c r="AQ1171" s="280"/>
      <c r="AR1171" s="280"/>
      <c r="AS1171" s="280"/>
      <c r="AT1171" s="280"/>
    </row>
    <row r="1172" spans="1:46" ht="12.75" customHeight="1">
      <c r="A1172" s="8"/>
      <c r="B1172" s="538"/>
      <c r="C1172" s="124" t="str">
        <f>IF($C$1="ENG","glazing:","скління:")</f>
        <v>скління:</v>
      </c>
      <c r="D1172" s="513" t="str">
        <f>IF($C$1="ENG","Satin","Сатин")</f>
        <v>Сатин</v>
      </c>
      <c r="E1172" s="516"/>
      <c r="F1172" s="513" t="str">
        <f>IF($C$1="ENG","Satin","Сатин")</f>
        <v>Сатин</v>
      </c>
      <c r="G1172" s="516"/>
      <c r="H1172" s="513" t="str">
        <f>IF($C$1="ENG","Satin","Сатин")</f>
        <v>Сатин</v>
      </c>
      <c r="I1172" s="516"/>
      <c r="J1172" s="513" t="str">
        <f>IF($C$1="ENG","Satin","Сатин")</f>
        <v>Сатин</v>
      </c>
      <c r="K1172" s="516"/>
      <c r="L1172" s="513" t="str">
        <f>IF($C$1="ENG","Satin","Сатин")</f>
        <v>Сатин</v>
      </c>
      <c r="M1172" s="516"/>
    </row>
    <row r="1173" spans="1:46" ht="35.1" customHeight="1">
      <c r="A1173" s="8"/>
      <c r="B1173" s="16" t="s">
        <v>47</v>
      </c>
      <c r="C1173" s="17"/>
      <c r="D1173" s="18">
        <f>IF(AC1173="","",(1-$W$2)*(AC1173/1.2))</f>
        <v>5791.666666666667</v>
      </c>
      <c r="E1173" s="66">
        <f>IF($W$5=0.2,D1173*1.2,D1173)/$W$4</f>
        <v>6950</v>
      </c>
      <c r="F1173" s="18">
        <f>IF(AD1173="","",(1-$W$2)*(AD1173/1.2))</f>
        <v>6600</v>
      </c>
      <c r="G1173" s="66">
        <f>IF($W$5=0.2,F1173*1.2,F1173)/$W$4</f>
        <v>7920</v>
      </c>
      <c r="H1173" s="18">
        <f>IF(AE1173="","",(1-$W$2)*(AE1173/1.2))</f>
        <v>6891.666666666667</v>
      </c>
      <c r="I1173" s="66">
        <f>IF($W$5=0.2,H1173*1.2,H1173)/$W$4</f>
        <v>8270</v>
      </c>
      <c r="J1173" s="18">
        <f>IF(AF1173="","",(1-$W$2)*(AF1173/1.2))</f>
        <v>7400</v>
      </c>
      <c r="K1173" s="66">
        <f>IF($W$5=0.2,J1173*1.2,J1173)/$W$4</f>
        <v>8880</v>
      </c>
      <c r="L1173" s="18">
        <f>IF(AG1173="","",(1-$W$2)*(AG1173/1.2))</f>
        <v>7758.3333333333339</v>
      </c>
      <c r="M1173" s="66">
        <f>IF($W$5=0.2,L1173*1.2,L1173)/$W$4</f>
        <v>9310</v>
      </c>
      <c r="N1173" s="104"/>
      <c r="R1173" s="104"/>
      <c r="T1173" s="104"/>
      <c r="U1173" s="20"/>
      <c r="V1173" s="104"/>
      <c r="W1173" s="20"/>
      <c r="X1173" s="104"/>
      <c r="Y1173" s="104"/>
      <c r="Z1173" s="104"/>
      <c r="AA1173" s="104"/>
      <c r="AB1173" s="104"/>
      <c r="AC1173" s="332">
        <v>6950</v>
      </c>
      <c r="AD1173" s="390">
        <v>7920</v>
      </c>
      <c r="AE1173" s="332">
        <v>8270</v>
      </c>
      <c r="AF1173" s="332">
        <v>8880</v>
      </c>
      <c r="AG1173" s="332">
        <v>9310</v>
      </c>
      <c r="AH1173" s="289">
        <v>6950</v>
      </c>
      <c r="AI1173" s="289">
        <f>AH1173/AC1173-1</f>
        <v>0</v>
      </c>
      <c r="AJ1173" s="289">
        <v>7920</v>
      </c>
      <c r="AK1173" s="289">
        <f>AJ1173/AD1173-1</f>
        <v>0</v>
      </c>
      <c r="AL1173" s="289">
        <v>8270</v>
      </c>
      <c r="AM1173" s="289">
        <f>AL1173/AE1173-1</f>
        <v>0</v>
      </c>
      <c r="AN1173" s="289">
        <v>8880</v>
      </c>
      <c r="AO1173" s="289">
        <f>AN1173/AF1173-1</f>
        <v>0</v>
      </c>
      <c r="AP1173" s="289">
        <v>9310</v>
      </c>
      <c r="AQ1173" s="289">
        <f>AP1173/AG1173-1</f>
        <v>0</v>
      </c>
    </row>
    <row r="1174" spans="1:46" ht="35.1" customHeight="1">
      <c r="A1174" s="8"/>
      <c r="B1174" s="23" t="s">
        <v>48</v>
      </c>
      <c r="C1174" s="24"/>
      <c r="D1174" s="25">
        <f>IF(AC1174="","",(1-$W$2)*(AC1174/1.2))</f>
        <v>5791.666666666667</v>
      </c>
      <c r="E1174" s="69">
        <f>IF($W$5=0.2,D1174*1.2,D1174)/$W$4</f>
        <v>6950</v>
      </c>
      <c r="F1174" s="25">
        <f>IF(AD1174="","",(1-$W$2)*(AD1174/1.2))</f>
        <v>6600</v>
      </c>
      <c r="G1174" s="69">
        <f>IF($W$5=0.2,F1174*1.2,F1174)/$W$4</f>
        <v>7920</v>
      </c>
      <c r="H1174" s="25">
        <f>IF(AE1174="","",(1-$W$2)*(AE1174/1.2))</f>
        <v>6891.666666666667</v>
      </c>
      <c r="I1174" s="69">
        <f>IF($W$5=0.2,H1174*1.2,H1174)/$W$4</f>
        <v>8270</v>
      </c>
      <c r="J1174" s="25">
        <f>IF(AF1174="","",(1-$W$2)*(AF1174/1.2))</f>
        <v>7400</v>
      </c>
      <c r="K1174" s="69">
        <f>IF($W$5=0.2,J1174*1.2,J1174)/$W$4</f>
        <v>8880</v>
      </c>
      <c r="L1174" s="25">
        <f>IF(AG1174="","",(1-$W$2)*(AG1174/1.2))</f>
        <v>7758.3333333333339</v>
      </c>
      <c r="M1174" s="69">
        <f>IF($W$5=0.2,L1174*1.2,L1174)/$W$4</f>
        <v>9310</v>
      </c>
      <c r="N1174" s="104"/>
      <c r="R1174" s="104"/>
      <c r="T1174" s="104"/>
      <c r="U1174" s="20"/>
      <c r="V1174" s="104"/>
      <c r="W1174" s="20"/>
      <c r="X1174" s="104"/>
      <c r="Y1174" s="104"/>
      <c r="Z1174" s="104"/>
      <c r="AA1174" s="104"/>
      <c r="AB1174" s="104"/>
      <c r="AC1174" s="332">
        <v>6950</v>
      </c>
      <c r="AD1174" s="390">
        <v>7920</v>
      </c>
      <c r="AE1174" s="332">
        <v>8270</v>
      </c>
      <c r="AF1174" s="332">
        <v>8880</v>
      </c>
      <c r="AG1174" s="332">
        <v>9310</v>
      </c>
      <c r="AH1174" s="289">
        <v>6950</v>
      </c>
      <c r="AI1174" s="289">
        <f>AH1174/AC1174-1</f>
        <v>0</v>
      </c>
      <c r="AJ1174" s="289">
        <v>7920</v>
      </c>
      <c r="AK1174" s="289">
        <f>AJ1174/AD1174-1</f>
        <v>0</v>
      </c>
      <c r="AL1174" s="289">
        <v>8270</v>
      </c>
      <c r="AM1174" s="289">
        <f>AL1174/AE1174-1</f>
        <v>0</v>
      </c>
      <c r="AN1174" s="289">
        <v>8880</v>
      </c>
      <c r="AO1174" s="289">
        <f>AN1174/AF1174-1</f>
        <v>0</v>
      </c>
      <c r="AP1174" s="289">
        <v>9310</v>
      </c>
      <c r="AQ1174" s="289">
        <f>AP1174/AG1174-1</f>
        <v>0</v>
      </c>
    </row>
    <row r="1175" spans="1:46">
      <c r="C1175" s="245"/>
      <c r="D1175" s="26"/>
      <c r="E1175" s="57"/>
      <c r="F1175" s="26"/>
      <c r="G1175" s="57"/>
      <c r="H1175" s="10"/>
      <c r="I1175" s="8"/>
      <c r="J1175" s="8"/>
      <c r="K1175" s="8"/>
    </row>
    <row r="1176" spans="1:46">
      <c r="B1176" s="212" t="str">
        <f>IF($C$1="ENG","For additonal charge:","Послуги за додаткову плату:")</f>
        <v>Послуги за додаткову плату:</v>
      </c>
      <c r="C1176" s="420"/>
      <c r="D1176" s="213"/>
      <c r="E1176" s="214"/>
      <c r="F1176" s="26"/>
      <c r="G1176" s="57"/>
      <c r="H1176" s="10"/>
      <c r="I1176" s="8"/>
      <c r="J1176" s="8"/>
      <c r="K1176" s="8"/>
    </row>
    <row r="1177" spans="1:46" ht="5.0999999999999996" customHeight="1">
      <c r="B1177" s="27"/>
      <c r="C1177" s="245"/>
      <c r="D1177" s="26"/>
      <c r="E1177" s="57"/>
      <c r="F1177" s="26"/>
      <c r="G1177" s="57"/>
      <c r="H1177" s="10"/>
      <c r="I1177" s="8"/>
      <c r="J1177" s="8"/>
      <c r="K1177" s="8"/>
    </row>
    <row r="1178" spans="1:46">
      <c r="B1178" s="539" t="str">
        <f>IF($C$1="ENG","door leaf with width 100","полотно розміром 100")</f>
        <v>полотно розміром 100</v>
      </c>
      <c r="C1178" s="540"/>
      <c r="D1178" s="409">
        <f t="shared" ref="D1178:D1190" si="172">IF(AC1178="","",(1-$W$2)*(AC1178/1.2))</f>
        <v>600</v>
      </c>
      <c r="E1178" s="92">
        <f t="shared" ref="E1178:E1189" si="173">IF($W$5=0.2,D1178*1.2,D1178)/$W$4</f>
        <v>720</v>
      </c>
      <c r="F1178" s="26"/>
      <c r="G1178" s="26"/>
      <c r="H1178" s="10"/>
      <c r="I1178" s="8"/>
      <c r="J1178" s="8"/>
      <c r="K1178" s="8"/>
      <c r="AC1178" s="298">
        <v>720</v>
      </c>
      <c r="AD1178" s="289">
        <v>720</v>
      </c>
      <c r="AE1178" s="289">
        <f>AD1178/AC1178-1</f>
        <v>0</v>
      </c>
      <c r="AF1178" s="289"/>
      <c r="AG1178" s="289"/>
      <c r="AH1178" s="289"/>
      <c r="AI1178" s="289"/>
      <c r="AJ1178" s="289"/>
      <c r="AK1178" s="289"/>
      <c r="AL1178" s="289"/>
    </row>
    <row r="1179" spans="1:46">
      <c r="B1179" s="539" t="str">
        <f>IF($C$1="ENG","Ventilation cut","вентиляційний підріз")</f>
        <v>вентиляційний підріз</v>
      </c>
      <c r="C1179" s="540"/>
      <c r="D1179" s="404">
        <f t="shared" si="172"/>
        <v>141.66666666666669</v>
      </c>
      <c r="E1179" s="66">
        <f t="shared" si="173"/>
        <v>170.00000000000003</v>
      </c>
      <c r="F1179" s="26"/>
      <c r="G1179" s="26"/>
      <c r="I1179" s="59"/>
      <c r="J1179" s="28"/>
      <c r="AC1179" s="298">
        <v>170</v>
      </c>
      <c r="AD1179" s="289">
        <v>170</v>
      </c>
      <c r="AE1179" s="289">
        <f t="shared" ref="AE1179:AE1189" si="174">AD1179/AC1179-1</f>
        <v>0</v>
      </c>
      <c r="AF1179" s="289"/>
      <c r="AG1179" s="289"/>
      <c r="AH1179" s="289"/>
      <c r="AI1179" s="289"/>
      <c r="AJ1179" s="289"/>
      <c r="AK1179" s="289"/>
      <c r="AL1179" s="289"/>
    </row>
    <row r="1180" spans="1:46">
      <c r="B1180" s="532" t="str">
        <f>IF($C$1="ENG","glazing Graphite / Bronze","скло Графіт / Бронза")</f>
        <v>скло Графіт / Бронза</v>
      </c>
      <c r="C1180" s="533"/>
      <c r="D1180" s="406">
        <f t="shared" si="172"/>
        <v>458.33333333333337</v>
      </c>
      <c r="E1180" s="93">
        <f t="shared" si="173"/>
        <v>550</v>
      </c>
      <c r="F1180" s="26"/>
      <c r="G1180" s="26"/>
      <c r="H1180" s="5"/>
      <c r="AC1180" s="298">
        <v>550</v>
      </c>
      <c r="AD1180" s="289">
        <v>550</v>
      </c>
      <c r="AE1180" s="289">
        <f t="shared" si="174"/>
        <v>0</v>
      </c>
      <c r="AF1180" s="289"/>
      <c r="AG1180" s="289"/>
      <c r="AH1180" s="289"/>
      <c r="AI1180" s="289"/>
      <c r="AJ1180" s="289"/>
      <c r="AK1180" s="289"/>
      <c r="AL1180" s="289"/>
    </row>
    <row r="1181" spans="1:46">
      <c r="B1181" s="532" t="str">
        <f>IF($C$1="ENG","glazing Lacobel black ","скло Lacobel чорне")</f>
        <v>скло Lacobel чорне</v>
      </c>
      <c r="C1181" s="533"/>
      <c r="D1181" s="406">
        <f t="shared" si="172"/>
        <v>458.33333333333337</v>
      </c>
      <c r="E1181" s="93">
        <f>IF($W$5=0.2,D1181*1.2,D1181)/$W$4</f>
        <v>550</v>
      </c>
      <c r="F1181" s="26"/>
      <c r="G1181" s="26"/>
      <c r="H1181" s="5"/>
      <c r="AC1181" s="298">
        <v>550</v>
      </c>
      <c r="AD1181" s="298">
        <v>550</v>
      </c>
      <c r="AE1181" s="289"/>
      <c r="AF1181" s="289"/>
      <c r="AG1181" s="289"/>
      <c r="AH1181" s="289"/>
      <c r="AI1181" s="289"/>
      <c r="AJ1181" s="289"/>
      <c r="AK1181" s="289"/>
      <c r="AL1181" s="289"/>
    </row>
    <row r="1182" spans="1:46">
      <c r="B1182" s="532" t="str">
        <f>IF($C$1="ENG","door lock Soft","замок Soft")</f>
        <v>замок Soft</v>
      </c>
      <c r="C1182" s="533"/>
      <c r="D1182" s="406">
        <f t="shared" si="172"/>
        <v>458.33333333333337</v>
      </c>
      <c r="E1182" s="93">
        <f t="shared" si="173"/>
        <v>550</v>
      </c>
      <c r="F1182" s="26"/>
      <c r="G1182" s="26"/>
      <c r="H1182" s="5"/>
      <c r="AC1182" s="298">
        <v>550</v>
      </c>
      <c r="AD1182" s="289">
        <v>550</v>
      </c>
      <c r="AE1182" s="289">
        <f t="shared" si="174"/>
        <v>0</v>
      </c>
      <c r="AF1182" s="289"/>
      <c r="AG1182" s="289"/>
      <c r="AH1182" s="289"/>
      <c r="AI1182" s="289"/>
      <c r="AJ1182" s="289"/>
      <c r="AK1182" s="289"/>
      <c r="AL1182" s="289"/>
    </row>
    <row r="1183" spans="1:46">
      <c r="B1183" s="532" t="str">
        <f>IF($C$1="ENG","door lock Soft black","замок Soft чорн.")</f>
        <v>замок Soft чорн.</v>
      </c>
      <c r="C1183" s="533"/>
      <c r="D1183" s="406">
        <f t="shared" ref="D1183" si="175">IF(AC1183="","",(1-$W$2)*(AC1183/1.2))</f>
        <v>566.66666666666674</v>
      </c>
      <c r="E1183" s="93">
        <f t="shared" ref="E1183" si="176">IF($W$5=0.2,D1183*1.2,D1183)/$W$4</f>
        <v>680.00000000000011</v>
      </c>
      <c r="F1183" s="26"/>
      <c r="G1183" s="26"/>
      <c r="H1183" s="5"/>
      <c r="AC1183" s="298">
        <v>680</v>
      </c>
      <c r="AD1183" s="289"/>
      <c r="AE1183" s="289"/>
      <c r="AF1183" s="289"/>
      <c r="AG1183" s="289"/>
      <c r="AH1183" s="289"/>
      <c r="AI1183" s="289"/>
      <c r="AJ1183" s="289"/>
      <c r="AK1183" s="289"/>
      <c r="AL1183" s="289"/>
    </row>
    <row r="1184" spans="1:46">
      <c r="B1184" s="532" t="str">
        <f>IF($C$1="ENG","door lock Magnet","замок Magnet")</f>
        <v>замок Magnet</v>
      </c>
      <c r="C1184" s="533"/>
      <c r="D1184" s="406">
        <f t="shared" si="172"/>
        <v>666.66666666666674</v>
      </c>
      <c r="E1184" s="93">
        <f t="shared" si="173"/>
        <v>800.00000000000011</v>
      </c>
      <c r="F1184" s="26"/>
      <c r="G1184" s="26"/>
      <c r="H1184" s="5"/>
      <c r="AC1184" s="298">
        <v>800</v>
      </c>
      <c r="AD1184" s="289">
        <v>800</v>
      </c>
      <c r="AE1184" s="289">
        <f t="shared" si="174"/>
        <v>0</v>
      </c>
      <c r="AF1184" s="289"/>
      <c r="AG1184" s="289"/>
      <c r="AH1184" s="289"/>
      <c r="AI1184" s="289"/>
      <c r="AJ1184" s="289"/>
      <c r="AK1184" s="289"/>
      <c r="AL1184" s="289"/>
    </row>
    <row r="1185" spans="2:38">
      <c r="B1185" s="532" t="s">
        <v>75</v>
      </c>
      <c r="C1185" s="532"/>
      <c r="D1185" s="406">
        <f t="shared" ref="D1185" si="177">IF(AC1185="","",(1-$W$2)*(AC1185/1.2))</f>
        <v>833.33333333333337</v>
      </c>
      <c r="E1185" s="93">
        <f t="shared" ref="E1185" si="178">IF($W$5=0.2,D1185*1.2,D1185)/$W$4</f>
        <v>1000</v>
      </c>
      <c r="F1185" s="26"/>
      <c r="G1185" s="26"/>
      <c r="H1185" s="5"/>
      <c r="AC1185" s="298">
        <v>1000</v>
      </c>
      <c r="AD1185" s="289"/>
      <c r="AE1185" s="289"/>
      <c r="AF1185" s="289"/>
      <c r="AG1185" s="289"/>
      <c r="AH1185" s="289"/>
      <c r="AI1185" s="289"/>
      <c r="AJ1185" s="289"/>
      <c r="AK1185" s="289"/>
      <c r="AL1185" s="289"/>
    </row>
    <row r="1186" spans="2:38">
      <c r="B1186" s="532" t="str">
        <f>IF($C$1="ENG","door handle-lock (for sliding doors)","ручка-замок (для дверей купе)")</f>
        <v>ручка-замок (для дверей купе)</v>
      </c>
      <c r="C1186" s="533"/>
      <c r="D1186" s="404">
        <f t="shared" si="172"/>
        <v>466.66666666666669</v>
      </c>
      <c r="E1186" s="93">
        <f t="shared" si="173"/>
        <v>560</v>
      </c>
      <c r="F1186" s="26"/>
      <c r="G1186" s="26"/>
      <c r="I1186" s="11"/>
      <c r="J1186" s="11"/>
      <c r="K1186" s="19"/>
      <c r="AC1186" s="298">
        <v>560</v>
      </c>
      <c r="AD1186" s="289">
        <v>560</v>
      </c>
      <c r="AE1186" s="289">
        <f t="shared" si="174"/>
        <v>0</v>
      </c>
      <c r="AF1186" s="289"/>
      <c r="AG1186" s="289"/>
      <c r="AH1186" s="289"/>
      <c r="AI1186" s="289"/>
      <c r="AJ1186" s="289"/>
      <c r="AK1186" s="289"/>
      <c r="AL1186" s="289"/>
    </row>
    <row r="1187" spans="2:38">
      <c r="B1187" s="532" t="str">
        <f>IF($C$1="ENG","cylinder incert","циліндр несиметричний")</f>
        <v>циліндр несиметричний</v>
      </c>
      <c r="C1187" s="533"/>
      <c r="D1187" s="404">
        <f t="shared" si="172"/>
        <v>316.66666666666669</v>
      </c>
      <c r="E1187" s="93">
        <f t="shared" si="173"/>
        <v>380</v>
      </c>
      <c r="F1187" s="26"/>
      <c r="G1187" s="26"/>
      <c r="AC1187" s="298">
        <v>380</v>
      </c>
      <c r="AD1187" s="289">
        <v>380</v>
      </c>
      <c r="AE1187" s="289">
        <f t="shared" si="174"/>
        <v>0</v>
      </c>
      <c r="AF1187" s="289"/>
      <c r="AG1187" s="289"/>
      <c r="AH1187" s="289"/>
      <c r="AI1187" s="289"/>
      <c r="AJ1187" s="289"/>
      <c r="AK1187" s="289"/>
      <c r="AL1187" s="289"/>
    </row>
    <row r="1188" spans="2:38">
      <c r="B1188" s="532" t="str">
        <f>IF($C$1="ENG","door hindge Prestige (1 unit)","завіса Prestige (1 шт)")</f>
        <v>завіса Prestige (1 шт)</v>
      </c>
      <c r="C1188" s="533"/>
      <c r="D1188" s="407">
        <f t="shared" si="172"/>
        <v>216.66666666666669</v>
      </c>
      <c r="E1188" s="93">
        <f t="shared" si="173"/>
        <v>260</v>
      </c>
      <c r="F1188" s="26"/>
      <c r="G1188" s="26"/>
      <c r="AC1188" s="298">
        <v>260</v>
      </c>
      <c r="AD1188" s="289">
        <v>260</v>
      </c>
      <c r="AE1188" s="289">
        <f t="shared" si="174"/>
        <v>0</v>
      </c>
      <c r="AF1188" s="289"/>
      <c r="AG1188" s="289"/>
      <c r="AH1188" s="289"/>
      <c r="AI1188" s="289"/>
      <c r="AJ1188" s="289"/>
      <c r="AK1188" s="289"/>
      <c r="AL1188" s="289"/>
    </row>
    <row r="1189" spans="2:38">
      <c r="B1189" s="532" t="str">
        <f>IF($C$1="ENG","door hinge caps (1 set)","накладка на завіси (1 к-т)")</f>
        <v>накладка на завіси (1 к-т)</v>
      </c>
      <c r="C1189" s="533"/>
      <c r="D1189" s="407">
        <f t="shared" si="172"/>
        <v>66.666666666666671</v>
      </c>
      <c r="E1189" s="93">
        <f t="shared" si="173"/>
        <v>80</v>
      </c>
      <c r="F1189" s="26"/>
      <c r="G1189" s="26"/>
      <c r="AC1189" s="298">
        <v>80</v>
      </c>
      <c r="AD1189" s="289">
        <v>80</v>
      </c>
      <c r="AE1189" s="289">
        <f t="shared" si="174"/>
        <v>0</v>
      </c>
      <c r="AF1189" s="289"/>
      <c r="AG1189" s="289"/>
      <c r="AH1189" s="289"/>
      <c r="AI1189" s="289"/>
      <c r="AJ1189" s="289"/>
      <c r="AK1189" s="289"/>
      <c r="AL1189" s="289"/>
    </row>
    <row r="1190" spans="2:38">
      <c r="B1190" s="532" t="str">
        <f>IF($C$1="ENG","door handle","дверна ручка")</f>
        <v>дверна ручка</v>
      </c>
      <c r="C1190" s="533"/>
      <c r="D1190" s="408" t="str">
        <f t="shared" si="172"/>
        <v/>
      </c>
      <c r="E1190" s="247" t="str">
        <f>IF($C$1="ENG","see Handles Price","див. Таблицю Ручки")</f>
        <v>див. Таблицю Ручки</v>
      </c>
      <c r="F1190" s="26"/>
      <c r="G1190" s="26"/>
      <c r="AC1190" s="289"/>
      <c r="AD1190" s="289"/>
      <c r="AE1190" s="289"/>
      <c r="AF1190" s="289"/>
      <c r="AG1190" s="289"/>
      <c r="AH1190" s="289"/>
      <c r="AI1190" s="289"/>
      <c r="AJ1190" s="289"/>
      <c r="AK1190" s="289"/>
      <c r="AL1190" s="289"/>
    </row>
    <row r="1191" spans="2:38" ht="14.25" customHeight="1">
      <c r="C1191" s="245"/>
      <c r="D1191" s="26"/>
      <c r="E1191" s="26"/>
      <c r="F1191" s="26"/>
      <c r="G1191" s="26"/>
      <c r="H1191" s="5"/>
      <c r="T1191" s="525" t="str">
        <f>IF($C$1="ENG",CONCATENATE("down to: ",B1241),CONCATENATE("вниз до: ",B1241))</f>
        <v>вниз до: Полотна збірні: ЛАДА-ЛОФТ</v>
      </c>
      <c r="U1191" s="525"/>
      <c r="V1191" s="525"/>
      <c r="W1191" s="525"/>
    </row>
    <row r="1192" spans="2:38" ht="14.25" customHeight="1">
      <c r="C1192" s="245"/>
      <c r="D1192" s="26"/>
      <c r="E1192" s="26"/>
      <c r="F1192" s="26"/>
      <c r="G1192" s="26"/>
      <c r="H1192" s="5"/>
    </row>
    <row r="1193" spans="2:38" ht="14.25" customHeight="1">
      <c r="C1193" s="245"/>
      <c r="D1193" s="26"/>
      <c r="E1193" s="26"/>
      <c r="F1193" s="26"/>
      <c r="G1193" s="26"/>
      <c r="H1193" s="5"/>
    </row>
    <row r="1194" spans="2:38" ht="14.25" customHeight="1">
      <c r="C1194" s="245"/>
      <c r="D1194" s="26"/>
      <c r="E1194" s="26"/>
      <c r="F1194" s="26"/>
      <c r="G1194" s="26"/>
      <c r="H1194" s="5"/>
    </row>
    <row r="1195" spans="2:38" ht="14.25" customHeight="1">
      <c r="C1195" s="245"/>
      <c r="D1195" s="26"/>
      <c r="E1195" s="26"/>
      <c r="F1195" s="26"/>
      <c r="G1195" s="26"/>
      <c r="H1195" s="5"/>
    </row>
    <row r="1196" spans="2:38" ht="14.25" customHeight="1">
      <c r="C1196" s="245"/>
      <c r="D1196" s="26"/>
      <c r="E1196" s="26"/>
      <c r="F1196" s="26"/>
      <c r="G1196" s="26"/>
      <c r="H1196" s="5"/>
    </row>
    <row r="1197" spans="2:38" ht="14.25" customHeight="1">
      <c r="C1197" s="245"/>
      <c r="D1197" s="26"/>
      <c r="E1197" s="26"/>
      <c r="F1197" s="26"/>
      <c r="G1197" s="26"/>
      <c r="H1197" s="5"/>
    </row>
    <row r="1198" spans="2:38" ht="14.25" customHeight="1">
      <c r="C1198" s="245"/>
      <c r="D1198" s="26"/>
      <c r="E1198" s="26"/>
      <c r="F1198" s="26"/>
      <c r="G1198" s="26"/>
      <c r="H1198" s="5"/>
    </row>
    <row r="1199" spans="2:38" ht="14.25" customHeight="1">
      <c r="C1199" s="245"/>
      <c r="D1199" s="26"/>
      <c r="E1199" s="26"/>
      <c r="F1199" s="26"/>
      <c r="G1199" s="26"/>
      <c r="H1199" s="5"/>
    </row>
    <row r="1200" spans="2:38" ht="14.25" customHeight="1">
      <c r="C1200" s="245"/>
      <c r="D1200" s="26"/>
      <c r="E1200" s="26"/>
      <c r="F1200" s="26"/>
      <c r="G1200" s="26"/>
      <c r="H1200" s="5"/>
    </row>
    <row r="1201" spans="3:8" ht="14.25" customHeight="1">
      <c r="C1201" s="245"/>
      <c r="D1201" s="26"/>
      <c r="E1201" s="26"/>
      <c r="F1201" s="26"/>
      <c r="G1201" s="26"/>
      <c r="H1201" s="5"/>
    </row>
    <row r="1202" spans="3:8" ht="14.25" customHeight="1">
      <c r="C1202" s="245"/>
      <c r="D1202" s="26"/>
      <c r="E1202" s="26"/>
      <c r="F1202" s="26"/>
      <c r="G1202" s="26"/>
      <c r="H1202" s="5"/>
    </row>
    <row r="1203" spans="3:8" ht="14.25" customHeight="1">
      <c r="C1203" s="245"/>
      <c r="D1203" s="26"/>
      <c r="E1203" s="26"/>
      <c r="F1203" s="26"/>
      <c r="G1203" s="26"/>
      <c r="H1203" s="5"/>
    </row>
    <row r="1204" spans="3:8" ht="14.25" customHeight="1">
      <c r="C1204" s="245"/>
      <c r="D1204" s="26"/>
      <c r="E1204" s="26"/>
      <c r="F1204" s="26"/>
      <c r="G1204" s="26"/>
      <c r="H1204" s="5"/>
    </row>
    <row r="1205" spans="3:8" ht="14.25" customHeight="1">
      <c r="C1205" s="245"/>
      <c r="D1205" s="26"/>
      <c r="E1205" s="26"/>
      <c r="F1205" s="26"/>
      <c r="G1205" s="26"/>
      <c r="H1205" s="5"/>
    </row>
    <row r="1206" spans="3:8" ht="14.25" customHeight="1">
      <c r="C1206" s="245"/>
      <c r="D1206" s="26"/>
      <c r="E1206" s="26"/>
      <c r="F1206" s="26"/>
      <c r="G1206" s="26"/>
      <c r="H1206" s="5"/>
    </row>
    <row r="1207" spans="3:8" ht="14.25" customHeight="1">
      <c r="C1207" s="245"/>
      <c r="D1207" s="26"/>
      <c r="E1207" s="26"/>
      <c r="F1207" s="26"/>
      <c r="G1207" s="26"/>
      <c r="H1207" s="5"/>
    </row>
    <row r="1208" spans="3:8" ht="14.25" customHeight="1">
      <c r="C1208" s="245"/>
      <c r="D1208" s="26"/>
      <c r="E1208" s="26"/>
      <c r="F1208" s="26"/>
      <c r="G1208" s="26"/>
      <c r="H1208" s="5"/>
    </row>
    <row r="1209" spans="3:8" ht="14.25" customHeight="1">
      <c r="C1209" s="245"/>
      <c r="D1209" s="26"/>
      <c r="E1209" s="26"/>
      <c r="F1209" s="26"/>
      <c r="G1209" s="26"/>
      <c r="H1209" s="5"/>
    </row>
    <row r="1210" spans="3:8" ht="14.25" customHeight="1">
      <c r="C1210" s="245"/>
      <c r="D1210" s="26"/>
      <c r="E1210" s="26"/>
      <c r="F1210" s="26"/>
      <c r="G1210" s="26"/>
      <c r="H1210" s="5"/>
    </row>
    <row r="1211" spans="3:8" ht="14.25" customHeight="1">
      <c r="C1211" s="245"/>
      <c r="D1211" s="26"/>
      <c r="E1211" s="26"/>
      <c r="F1211" s="26"/>
      <c r="G1211" s="26"/>
      <c r="H1211" s="5"/>
    </row>
    <row r="1212" spans="3:8" ht="14.25" customHeight="1">
      <c r="C1212" s="245"/>
      <c r="D1212" s="26"/>
      <c r="E1212" s="26"/>
      <c r="F1212" s="26"/>
      <c r="G1212" s="26"/>
      <c r="H1212" s="5"/>
    </row>
    <row r="1213" spans="3:8" ht="14.25" customHeight="1">
      <c r="C1213" s="245"/>
      <c r="D1213" s="26"/>
      <c r="E1213" s="26"/>
      <c r="F1213" s="26"/>
      <c r="G1213" s="26"/>
      <c r="H1213" s="5"/>
    </row>
    <row r="1214" spans="3:8" ht="14.25" customHeight="1">
      <c r="C1214" s="245"/>
      <c r="D1214" s="26"/>
      <c r="E1214" s="26"/>
      <c r="F1214" s="26"/>
      <c r="G1214" s="26"/>
      <c r="H1214" s="5"/>
    </row>
    <row r="1215" spans="3:8" ht="14.25" customHeight="1">
      <c r="C1215" s="245"/>
      <c r="D1215" s="26"/>
      <c r="E1215" s="26"/>
      <c r="F1215" s="26"/>
      <c r="G1215" s="26"/>
      <c r="H1215" s="5"/>
    </row>
    <row r="1216" spans="3:8" ht="14.25" customHeight="1">
      <c r="C1216" s="245"/>
      <c r="D1216" s="26"/>
      <c r="E1216" s="26"/>
      <c r="F1216" s="26"/>
      <c r="G1216" s="26"/>
      <c r="H1216" s="5"/>
    </row>
    <row r="1217" spans="3:8" ht="14.25" customHeight="1">
      <c r="C1217" s="245"/>
      <c r="D1217" s="26"/>
      <c r="E1217" s="26"/>
      <c r="F1217" s="26"/>
      <c r="G1217" s="26"/>
      <c r="H1217" s="5"/>
    </row>
    <row r="1218" spans="3:8" ht="14.25" customHeight="1">
      <c r="C1218" s="245"/>
      <c r="D1218" s="26"/>
      <c r="E1218" s="26"/>
      <c r="F1218" s="26"/>
      <c r="G1218" s="26"/>
      <c r="H1218" s="5"/>
    </row>
    <row r="1219" spans="3:8" ht="14.25" customHeight="1">
      <c r="C1219" s="245"/>
      <c r="D1219" s="26"/>
      <c r="E1219" s="26"/>
      <c r="F1219" s="26"/>
      <c r="G1219" s="26"/>
      <c r="H1219" s="5"/>
    </row>
    <row r="1220" spans="3:8" ht="14.25" customHeight="1">
      <c r="C1220" s="245"/>
      <c r="D1220" s="26"/>
      <c r="E1220" s="26"/>
      <c r="F1220" s="26"/>
      <c r="G1220" s="26"/>
      <c r="H1220" s="5"/>
    </row>
    <row r="1221" spans="3:8" ht="14.25" customHeight="1">
      <c r="C1221" s="245"/>
      <c r="D1221" s="26"/>
      <c r="E1221" s="26"/>
      <c r="F1221" s="26"/>
      <c r="G1221" s="26"/>
      <c r="H1221" s="5"/>
    </row>
    <row r="1222" spans="3:8" ht="14.25" customHeight="1">
      <c r="C1222" s="245"/>
      <c r="D1222" s="26"/>
      <c r="E1222" s="26"/>
      <c r="F1222" s="26"/>
      <c r="G1222" s="26"/>
      <c r="H1222" s="5"/>
    </row>
    <row r="1223" spans="3:8" ht="14.25" customHeight="1">
      <c r="C1223" s="245"/>
      <c r="D1223" s="26"/>
      <c r="E1223" s="26"/>
      <c r="F1223" s="26"/>
      <c r="G1223" s="26"/>
      <c r="H1223" s="5"/>
    </row>
    <row r="1224" spans="3:8" ht="14.25" customHeight="1">
      <c r="C1224" s="245"/>
      <c r="D1224" s="26"/>
      <c r="E1224" s="26"/>
      <c r="F1224" s="26"/>
      <c r="G1224" s="26"/>
      <c r="H1224" s="5"/>
    </row>
    <row r="1225" spans="3:8" ht="14.25" customHeight="1">
      <c r="C1225" s="245"/>
      <c r="D1225" s="26"/>
      <c r="E1225" s="26"/>
      <c r="F1225" s="26"/>
      <c r="G1225" s="26"/>
      <c r="H1225" s="5"/>
    </row>
    <row r="1226" spans="3:8" ht="14.25" customHeight="1">
      <c r="C1226" s="245"/>
      <c r="D1226" s="26"/>
      <c r="E1226" s="26"/>
      <c r="F1226" s="26"/>
      <c r="G1226" s="26"/>
      <c r="H1226" s="5"/>
    </row>
    <row r="1227" spans="3:8" ht="14.25" customHeight="1">
      <c r="C1227" s="245"/>
      <c r="D1227" s="26"/>
      <c r="E1227" s="26"/>
      <c r="F1227" s="26"/>
      <c r="G1227" s="26"/>
      <c r="H1227" s="5"/>
    </row>
    <row r="1228" spans="3:8" ht="14.25" customHeight="1">
      <c r="C1228" s="245"/>
      <c r="D1228" s="26"/>
      <c r="E1228" s="26"/>
      <c r="F1228" s="26"/>
      <c r="G1228" s="26"/>
      <c r="H1228" s="5"/>
    </row>
    <row r="1229" spans="3:8" ht="14.25" customHeight="1">
      <c r="C1229" s="245"/>
      <c r="D1229" s="26"/>
      <c r="E1229" s="26"/>
      <c r="F1229" s="26"/>
      <c r="G1229" s="26"/>
      <c r="H1229" s="5"/>
    </row>
    <row r="1230" spans="3:8" ht="14.25" customHeight="1">
      <c r="C1230" s="245"/>
      <c r="D1230" s="26"/>
      <c r="E1230" s="26"/>
      <c r="F1230" s="26"/>
      <c r="G1230" s="26"/>
      <c r="H1230" s="5"/>
    </row>
    <row r="1231" spans="3:8" ht="14.25" customHeight="1">
      <c r="C1231" s="245"/>
      <c r="D1231" s="26"/>
      <c r="E1231" s="26"/>
      <c r="F1231" s="26"/>
      <c r="G1231" s="26"/>
      <c r="H1231" s="5"/>
    </row>
    <row r="1232" spans="3:8" ht="14.25" customHeight="1">
      <c r="C1232" s="245"/>
      <c r="D1232" s="26"/>
      <c r="E1232" s="26"/>
      <c r="F1232" s="26"/>
      <c r="G1232" s="26"/>
      <c r="H1232" s="5"/>
    </row>
    <row r="1233" spans="2:43" ht="14.25" customHeight="1">
      <c r="C1233" s="245"/>
      <c r="D1233" s="26"/>
      <c r="E1233" s="26"/>
      <c r="F1233" s="26"/>
      <c r="G1233" s="26"/>
      <c r="H1233" s="5"/>
    </row>
    <row r="1234" spans="2:43" ht="14.25" customHeight="1">
      <c r="C1234" s="245"/>
      <c r="D1234" s="26"/>
      <c r="E1234" s="26"/>
      <c r="F1234" s="26"/>
      <c r="G1234" s="26"/>
      <c r="H1234" s="5"/>
    </row>
    <row r="1235" spans="2:43" ht="14.25" customHeight="1">
      <c r="C1235" s="245"/>
      <c r="D1235" s="26"/>
      <c r="E1235" s="26"/>
      <c r="F1235" s="26"/>
      <c r="G1235" s="26"/>
      <c r="H1235" s="5"/>
    </row>
    <row r="1236" spans="2:43" ht="14.25" customHeight="1">
      <c r="C1236" s="245"/>
      <c r="D1236" s="26"/>
      <c r="E1236" s="26"/>
      <c r="F1236" s="26"/>
      <c r="G1236" s="26"/>
      <c r="H1236" s="5"/>
    </row>
    <row r="1237" spans="2:43" ht="14.25" customHeight="1">
      <c r="C1237" s="245"/>
      <c r="D1237" s="26"/>
      <c r="E1237" s="26"/>
      <c r="F1237" s="26"/>
      <c r="G1237" s="26"/>
      <c r="H1237" s="5"/>
    </row>
    <row r="1238" spans="2:43" ht="14.25" customHeight="1">
      <c r="C1238" s="245"/>
      <c r="D1238" s="26"/>
      <c r="E1238" s="26"/>
      <c r="F1238" s="26"/>
      <c r="G1238" s="26"/>
      <c r="H1238" s="5"/>
    </row>
    <row r="1239" spans="2:43" ht="14.25" customHeight="1">
      <c r="C1239" s="245"/>
      <c r="D1239" s="26"/>
      <c r="E1239" s="26"/>
      <c r="F1239" s="26"/>
      <c r="G1239" s="26"/>
      <c r="H1239" s="5"/>
    </row>
    <row r="1240" spans="2:43" ht="14.25" customHeight="1">
      <c r="C1240" s="245"/>
      <c r="D1240" s="26"/>
      <c r="E1240" s="26"/>
      <c r="F1240" s="26"/>
      <c r="G1240" s="26"/>
      <c r="H1240" s="5"/>
    </row>
    <row r="1241" spans="2:43" ht="14.25" customHeight="1">
      <c r="B1241" s="518" t="str">
        <f>TITLE!$C$25</f>
        <v>Полотна збірні: ЛАДА-ЛОФТ</v>
      </c>
      <c r="C1241" s="518"/>
      <c r="D1241" s="118"/>
      <c r="E1241" s="118"/>
      <c r="F1241" s="118"/>
      <c r="G1241" s="118"/>
      <c r="H1241" s="520"/>
      <c r="I1241" s="520"/>
      <c r="J1241" s="121"/>
      <c r="K1241" s="121"/>
      <c r="L1241" s="121"/>
      <c r="M1241" s="121"/>
      <c r="N1241" s="121"/>
      <c r="O1241" s="121"/>
      <c r="P1241" s="121"/>
      <c r="Q1241" s="121"/>
      <c r="R1241" s="121"/>
      <c r="S1241" s="121"/>
      <c r="T1241" s="529" t="str">
        <f>IF($C$1="ENG",CONCATENATE("up to: ",B1168),CONCATENATE("вгору до: ",B1168))</f>
        <v>вгору до: Полотна збірні: МІРА</v>
      </c>
      <c r="U1241" s="529"/>
      <c r="V1241" s="529"/>
      <c r="W1241" s="529"/>
      <c r="X1241" s="8"/>
      <c r="Y1241" s="8"/>
      <c r="Z1241" s="8"/>
      <c r="AA1241" s="8"/>
      <c r="AB1241" s="8"/>
      <c r="AC1241" s="8"/>
      <c r="AD1241" s="8"/>
      <c r="AE1241" s="8"/>
      <c r="AF1241" s="8"/>
      <c r="AG1241" s="8"/>
      <c r="AH1241" s="8"/>
      <c r="AI1241" s="8"/>
      <c r="AJ1241" s="8"/>
      <c r="AK1241" s="8"/>
      <c r="AL1241" s="8"/>
    </row>
    <row r="1242" spans="2:43" ht="5.0999999999999996" customHeight="1">
      <c r="B1242" s="117"/>
      <c r="C1242" s="419"/>
      <c r="D1242" s="9"/>
      <c r="E1242" s="9"/>
      <c r="F1242" s="9"/>
      <c r="G1242" s="9"/>
      <c r="H1242" s="120"/>
      <c r="I1242" s="120"/>
      <c r="L1242" s="8"/>
      <c r="M1242" s="8"/>
      <c r="N1242" s="8"/>
      <c r="O1242" s="8"/>
      <c r="P1242" s="8"/>
      <c r="Q1242" s="8"/>
      <c r="R1242" s="8"/>
      <c r="S1242" s="8"/>
      <c r="T1242" s="115"/>
      <c r="U1242" s="115"/>
      <c r="V1242" s="115"/>
      <c r="W1242" s="115"/>
      <c r="X1242" s="8"/>
      <c r="Y1242" s="8"/>
      <c r="Z1242" s="8"/>
      <c r="AA1242" s="8"/>
      <c r="AB1242" s="8"/>
      <c r="AC1242" s="8"/>
      <c r="AD1242" s="8"/>
      <c r="AE1242" s="8"/>
      <c r="AF1242" s="8"/>
      <c r="AG1242" s="8"/>
      <c r="AH1242" s="8"/>
      <c r="AI1242" s="8"/>
      <c r="AJ1242" s="8"/>
      <c r="AK1242" s="8"/>
      <c r="AL1242" s="8"/>
    </row>
    <row r="1243" spans="2:43" ht="12.75" customHeight="1">
      <c r="B1243" s="536" t="str">
        <f>IF($C$1="ENG","model","модель")</f>
        <v>модель</v>
      </c>
      <c r="C1243" s="122" t="str">
        <f>IF($C$1="ENG","cover:","покриття:")</f>
        <v>покриття:</v>
      </c>
      <c r="D1243" s="522" t="str">
        <f>IF($C$1="ENG","Verto-CELL","Verto-CELL")</f>
        <v>Verto-CELL</v>
      </c>
      <c r="E1243" s="524"/>
      <c r="F1243" s="522" t="str">
        <f>IF($C$1="ENG","UNI-MAT","UNI-MAT")</f>
        <v>UNI-MAT</v>
      </c>
      <c r="G1243" s="524"/>
      <c r="H1243" s="522" t="str">
        <f>IF($C$1="ENG","RESIST","RESIST")</f>
        <v>RESIST</v>
      </c>
      <c r="I1243" s="524"/>
      <c r="J1243" s="522" t="str">
        <f>IF($C$1="ENG","Verto LINE-3D","Verto LINE-3D")</f>
        <v>Verto LINE-3D</v>
      </c>
      <c r="K1243" s="524"/>
      <c r="L1243" s="522" t="str">
        <f>IF($C$1="ENG","ECO Shpon","ЕКО Шпон")</f>
        <v>ЕКО Шпон</v>
      </c>
      <c r="M1243" s="524"/>
      <c r="N1243" s="8"/>
      <c r="O1243" s="8"/>
      <c r="P1243" s="20"/>
      <c r="Q1243" s="20"/>
      <c r="R1243" s="8"/>
      <c r="S1243" s="8"/>
      <c r="T1243" s="115"/>
      <c r="U1243" s="115"/>
      <c r="V1243" s="115"/>
      <c r="W1243" s="115"/>
      <c r="X1243" s="8"/>
      <c r="Y1243" s="8"/>
      <c r="Z1243" s="8"/>
      <c r="AA1243" s="8"/>
      <c r="AB1243" s="8"/>
      <c r="AC1243" s="8"/>
      <c r="AD1243" s="8"/>
      <c r="AE1243" s="8"/>
      <c r="AF1243" s="8"/>
      <c r="AG1243" s="8"/>
      <c r="AH1243" s="8"/>
      <c r="AI1243" s="8"/>
      <c r="AJ1243" s="8"/>
      <c r="AK1243" s="8"/>
      <c r="AL1243" s="8"/>
    </row>
    <row r="1244" spans="2:43" ht="24" customHeight="1">
      <c r="B1244" s="537"/>
      <c r="C1244" s="123" t="str">
        <f>IF($C$1="ENG","filling:","заповнення:")</f>
        <v>заповнення:</v>
      </c>
      <c r="D1244" s="527" t="str">
        <f>IF($C$1="ENG","softwood","клеєний сосновий брус")</f>
        <v>клеєний сосновий брус</v>
      </c>
      <c r="E1244" s="528"/>
      <c r="F1244" s="527" t="str">
        <f>IF($C$1="ENG","softwood","клеєний сосновий брус")</f>
        <v>клеєний сосновий брус</v>
      </c>
      <c r="G1244" s="528"/>
      <c r="H1244" s="527" t="str">
        <f>IF($C$1="ENG","softwood","клеєний сосновий брус")</f>
        <v>клеєний сосновий брус</v>
      </c>
      <c r="I1244" s="528"/>
      <c r="J1244" s="527" t="str">
        <f>IF($C$1="ENG","softwood","клеєний сосновий брус")</f>
        <v>клеєний сосновий брус</v>
      </c>
      <c r="K1244" s="528"/>
      <c r="L1244" s="527" t="str">
        <f>IF($C$1="ENG","softwood","клеєний сосновий брус")</f>
        <v>клеєний сосновий брус</v>
      </c>
      <c r="M1244" s="528"/>
      <c r="N1244" s="11"/>
      <c r="O1244" s="11"/>
      <c r="P1244" s="20"/>
      <c r="Q1244" s="20"/>
      <c r="R1244" s="11"/>
      <c r="S1244" s="11"/>
      <c r="T1244" s="11"/>
      <c r="U1244" s="115"/>
      <c r="V1244" s="115"/>
      <c r="W1244" s="115"/>
      <c r="X1244" s="8"/>
      <c r="Y1244" s="8"/>
      <c r="Z1244" s="8"/>
      <c r="AA1244" s="8"/>
      <c r="AB1244" s="8"/>
      <c r="AC1244" s="8"/>
      <c r="AD1244" s="382">
        <f>AD1246/AC1246-1</f>
        <v>0.14006024096385539</v>
      </c>
      <c r="AE1244" s="382">
        <f>AE1246/AD1246-1</f>
        <v>2.9062087186261465E-2</v>
      </c>
      <c r="AF1244" s="382">
        <f>AF1246/AE1246-1</f>
        <v>7.7021822849807409E-2</v>
      </c>
      <c r="AG1244" s="382">
        <f>AG1246/AF1246-1</f>
        <v>4.6483909415971469E-2</v>
      </c>
      <c r="AH1244" s="8"/>
      <c r="AI1244" s="8"/>
      <c r="AJ1244" s="8"/>
      <c r="AK1244" s="8"/>
      <c r="AL1244" s="8"/>
    </row>
    <row r="1245" spans="2:43" ht="12.75" customHeight="1">
      <c r="B1245" s="538"/>
      <c r="C1245" s="124" t="str">
        <f>IF($C$1="ENG","glazing:","скління:")</f>
        <v>скління:</v>
      </c>
      <c r="D1245" s="513" t="str">
        <f>IF($C$1="ENG","Satin","Сатин")</f>
        <v>Сатин</v>
      </c>
      <c r="E1245" s="516"/>
      <c r="F1245" s="513" t="str">
        <f>IF($C$1="ENG","Satin","Сатин")</f>
        <v>Сатин</v>
      </c>
      <c r="G1245" s="516"/>
      <c r="H1245" s="513" t="str">
        <f>IF($C$1="ENG","Satin","Сатин")</f>
        <v>Сатин</v>
      </c>
      <c r="I1245" s="516"/>
      <c r="J1245" s="513" t="str">
        <f>IF($C$1="ENG","Satin","Сатин")</f>
        <v>Сатин</v>
      </c>
      <c r="K1245" s="516"/>
      <c r="L1245" s="513" t="str">
        <f>IF($C$1="ENG","Satin","Сатин")</f>
        <v>Сатин</v>
      </c>
      <c r="M1245" s="516"/>
      <c r="N1245" s="11"/>
      <c r="O1245" s="11"/>
      <c r="P1245" s="20"/>
      <c r="Q1245" s="20"/>
      <c r="R1245" s="11"/>
      <c r="S1245" s="11"/>
      <c r="T1245" s="11"/>
    </row>
    <row r="1246" spans="2:43" ht="34.5" customHeight="1">
      <c r="B1246" s="13" t="s">
        <v>19</v>
      </c>
      <c r="C1246" s="14"/>
      <c r="D1246" s="15">
        <f>IF(AC1246="","",(1-$W$2)*(AC1246/1.2))</f>
        <v>5533.3333333333339</v>
      </c>
      <c r="E1246" s="64">
        <f>IF($W$5=0.2,D1246*1.2,D1246)/$W$4</f>
        <v>6640.0000000000009</v>
      </c>
      <c r="F1246" s="15">
        <f>IF(AD1246="","",(1-$W$2)*(AD1246/1.2))</f>
        <v>6308.3333333333339</v>
      </c>
      <c r="G1246" s="64">
        <f>IF($W$5=0.2,F1246*1.2,F1246)/$W$4</f>
        <v>7570</v>
      </c>
      <c r="H1246" s="15">
        <f>IF(AE1246="","",(1-$W$2)*(AE1246/1.2))</f>
        <v>6491.666666666667</v>
      </c>
      <c r="I1246" s="64">
        <f>IF($W$5=0.2,H1246*1.2,H1246)/$W$4</f>
        <v>7790</v>
      </c>
      <c r="J1246" s="15">
        <f>IF(AF1246="","",(1-$W$2)*(AF1246/1.2))</f>
        <v>6991.666666666667</v>
      </c>
      <c r="K1246" s="64">
        <f>IF($W$5=0.2,J1246*1.2,J1246)/$W$4</f>
        <v>8390</v>
      </c>
      <c r="L1246" s="15">
        <f>IF(AG1246="","",(1-$W$2)*(AG1246/1.2))</f>
        <v>7316.666666666667</v>
      </c>
      <c r="M1246" s="64">
        <f>IF($W$5=0.2,L1246*1.2,L1246)/$W$4</f>
        <v>8780</v>
      </c>
      <c r="N1246" s="104"/>
      <c r="O1246" s="20"/>
      <c r="P1246" s="20"/>
      <c r="Q1246" s="20"/>
      <c r="R1246" s="104"/>
      <c r="S1246" s="20"/>
      <c r="T1246" s="104"/>
      <c r="U1246" s="20"/>
      <c r="V1246" s="104"/>
      <c r="W1246" s="20"/>
      <c r="X1246" s="22"/>
      <c r="Y1246" s="22"/>
      <c r="Z1246" s="22"/>
      <c r="AA1246" s="22"/>
      <c r="AB1246" s="22"/>
      <c r="AC1246" s="332">
        <v>6640</v>
      </c>
      <c r="AD1246" s="390">
        <v>7570</v>
      </c>
      <c r="AE1246" s="332">
        <v>7790</v>
      </c>
      <c r="AF1246" s="332">
        <v>8390</v>
      </c>
      <c r="AG1246" s="332">
        <v>8780</v>
      </c>
      <c r="AH1246" s="289">
        <v>6640</v>
      </c>
      <c r="AI1246" s="289">
        <f>AH1246/AC1246-1</f>
        <v>0</v>
      </c>
      <c r="AJ1246" s="289">
        <v>7570</v>
      </c>
      <c r="AK1246" s="289">
        <f>AJ1246/AD1246-1</f>
        <v>0</v>
      </c>
      <c r="AL1246" s="289">
        <v>7790</v>
      </c>
      <c r="AM1246" s="289">
        <f>AL1246/AE1246-1</f>
        <v>0</v>
      </c>
      <c r="AN1246" s="289">
        <v>8390</v>
      </c>
      <c r="AO1246" s="289">
        <f>AN1246/AF1246-1</f>
        <v>0</v>
      </c>
      <c r="AP1246" s="289">
        <v>8780</v>
      </c>
      <c r="AQ1246" s="289">
        <f>AP1246/AG1246-1</f>
        <v>0</v>
      </c>
    </row>
    <row r="1247" spans="2:43" ht="34.5" customHeight="1">
      <c r="B1247" s="16" t="s">
        <v>17</v>
      </c>
      <c r="C1247" s="17"/>
      <c r="D1247" s="18">
        <f>IF(AC1247="","",(1-$W$2)*(AC1247/1.2))</f>
        <v>5791.666666666667</v>
      </c>
      <c r="E1247" s="66">
        <f>IF($W$5=0.2,D1247*1.2,D1247)/$W$4</f>
        <v>6950</v>
      </c>
      <c r="F1247" s="18">
        <f>IF(AD1247="","",(1-$W$2)*(AD1247/1.2))</f>
        <v>6608.3333333333339</v>
      </c>
      <c r="G1247" s="66">
        <f>IF($W$5=0.2,F1247*1.2,F1247)/$W$4</f>
        <v>7930</v>
      </c>
      <c r="H1247" s="18">
        <f>IF(AE1247="","",(1-$W$2)*(AE1247/1.2))</f>
        <v>6791.666666666667</v>
      </c>
      <c r="I1247" s="66">
        <f>IF($W$5=0.2,H1247*1.2,H1247)/$W$4</f>
        <v>8150</v>
      </c>
      <c r="J1247" s="18">
        <f>IF(AF1247="","",(1-$W$2)*(AF1247/1.2))</f>
        <v>7291.666666666667</v>
      </c>
      <c r="K1247" s="66">
        <f>IF($W$5=0.2,J1247*1.2,J1247)/$W$4</f>
        <v>8750</v>
      </c>
      <c r="L1247" s="18">
        <f>IF(AG1247="","",(1-$W$2)*(AG1247/1.2))</f>
        <v>7608.3333333333339</v>
      </c>
      <c r="M1247" s="66">
        <f>IF($W$5=0.2,L1247*1.2,L1247)/$W$4</f>
        <v>9130</v>
      </c>
      <c r="N1247" s="104"/>
      <c r="O1247" s="20"/>
      <c r="P1247" s="20"/>
      <c r="Q1247" s="20"/>
      <c r="R1247" s="104"/>
      <c r="S1247" s="20"/>
      <c r="T1247" s="104"/>
      <c r="U1247" s="20"/>
      <c r="V1247" s="104"/>
      <c r="W1247" s="20"/>
      <c r="X1247" s="22"/>
      <c r="Y1247" s="22"/>
      <c r="Z1247" s="22"/>
      <c r="AA1247" s="22"/>
      <c r="AB1247" s="22"/>
      <c r="AC1247" s="332">
        <v>6950</v>
      </c>
      <c r="AD1247" s="390">
        <v>7930</v>
      </c>
      <c r="AE1247" s="332">
        <v>8150</v>
      </c>
      <c r="AF1247" s="332">
        <v>8750</v>
      </c>
      <c r="AG1247" s="332">
        <v>9130</v>
      </c>
      <c r="AH1247" s="289">
        <v>6950</v>
      </c>
      <c r="AI1247" s="289">
        <f t="shared" ref="AI1247:AI1250" si="179">AH1247/AC1247-1</f>
        <v>0</v>
      </c>
      <c r="AJ1247" s="289">
        <v>7930</v>
      </c>
      <c r="AK1247" s="289">
        <f t="shared" ref="AK1247:AK1250" si="180">AJ1247/AD1247-1</f>
        <v>0</v>
      </c>
      <c r="AL1247" s="289">
        <v>8150</v>
      </c>
      <c r="AM1247" s="289">
        <f t="shared" ref="AM1247:AM1250" si="181">AL1247/AE1247-1</f>
        <v>0</v>
      </c>
      <c r="AN1247" s="289">
        <v>8750</v>
      </c>
      <c r="AO1247" s="289">
        <f t="shared" ref="AO1247:AO1250" si="182">AN1247/AF1247-1</f>
        <v>0</v>
      </c>
      <c r="AP1247" s="289">
        <v>9130</v>
      </c>
      <c r="AQ1247" s="289">
        <f t="shared" ref="AQ1247:AQ1250" si="183">AP1247/AG1247-1</f>
        <v>0</v>
      </c>
    </row>
    <row r="1248" spans="2:43" ht="34.5" customHeight="1">
      <c r="B1248" s="16" t="s">
        <v>20</v>
      </c>
      <c r="C1248" s="17"/>
      <c r="D1248" s="18">
        <f>IF(AC1248="","",(1-$W$2)*(AC1248/1.2))</f>
        <v>5533.3333333333339</v>
      </c>
      <c r="E1248" s="66">
        <f>IF($W$5=0.2,D1248*1.2,D1248)/$W$4</f>
        <v>6640.0000000000009</v>
      </c>
      <c r="F1248" s="18">
        <f>IF(AD1248="","",(1-$W$2)*(AD1248/1.2))</f>
        <v>6308.3333333333339</v>
      </c>
      <c r="G1248" s="66">
        <f>IF($W$5=0.2,F1248*1.2,F1248)/$W$4</f>
        <v>7570</v>
      </c>
      <c r="H1248" s="18">
        <f>IF(AE1248="","",(1-$W$2)*(AE1248/1.2))</f>
        <v>6491.666666666667</v>
      </c>
      <c r="I1248" s="66">
        <f>IF($W$5=0.2,H1248*1.2,H1248)/$W$4</f>
        <v>7790</v>
      </c>
      <c r="J1248" s="18">
        <f>IF(AF1248="","",(1-$W$2)*(AF1248/1.2))</f>
        <v>6991.666666666667</v>
      </c>
      <c r="K1248" s="66">
        <f>IF($W$5=0.2,J1248*1.2,J1248)/$W$4</f>
        <v>8390</v>
      </c>
      <c r="L1248" s="18">
        <f>IF(AG1248="","",(1-$W$2)*(AG1248/1.2))</f>
        <v>7316.666666666667</v>
      </c>
      <c r="M1248" s="66">
        <f>IF($W$5=0.2,L1248*1.2,L1248)/$W$4</f>
        <v>8780</v>
      </c>
      <c r="N1248" s="104"/>
      <c r="O1248" s="20"/>
      <c r="P1248" s="20"/>
      <c r="Q1248" s="20"/>
      <c r="R1248" s="104"/>
      <c r="S1248" s="20"/>
      <c r="T1248" s="104"/>
      <c r="U1248" s="20"/>
      <c r="V1248" s="104"/>
      <c r="W1248" s="20"/>
      <c r="X1248" s="22"/>
      <c r="Y1248" s="22"/>
      <c r="Z1248" s="22"/>
      <c r="AA1248" s="22"/>
      <c r="AB1248" s="22"/>
      <c r="AC1248" s="332">
        <v>6640</v>
      </c>
      <c r="AD1248" s="390">
        <v>7570</v>
      </c>
      <c r="AE1248" s="332">
        <v>7790</v>
      </c>
      <c r="AF1248" s="332">
        <v>8390</v>
      </c>
      <c r="AG1248" s="332">
        <v>8780</v>
      </c>
      <c r="AH1248" s="289">
        <v>6640</v>
      </c>
      <c r="AI1248" s="289">
        <f t="shared" si="179"/>
        <v>0</v>
      </c>
      <c r="AJ1248" s="289">
        <v>7570</v>
      </c>
      <c r="AK1248" s="289">
        <f t="shared" si="180"/>
        <v>0</v>
      </c>
      <c r="AL1248" s="289">
        <v>7790</v>
      </c>
      <c r="AM1248" s="289">
        <f t="shared" si="181"/>
        <v>0</v>
      </c>
      <c r="AN1248" s="289">
        <v>8390</v>
      </c>
      <c r="AO1248" s="289">
        <f t="shared" si="182"/>
        <v>0</v>
      </c>
      <c r="AP1248" s="289">
        <v>8780</v>
      </c>
      <c r="AQ1248" s="289">
        <f t="shared" si="183"/>
        <v>0</v>
      </c>
    </row>
    <row r="1249" spans="2:43" ht="34.5" customHeight="1">
      <c r="B1249" s="16" t="s">
        <v>21</v>
      </c>
      <c r="C1249" s="17"/>
      <c r="D1249" s="18">
        <f>IF(AC1249="","",(1-$W$2)*(AC1249/1.2))</f>
        <v>5550</v>
      </c>
      <c r="E1249" s="66">
        <f>IF($W$5=0.2,D1249*1.2,D1249)/$W$4</f>
        <v>6660</v>
      </c>
      <c r="F1249" s="18">
        <f>IF(AD1249="","",(1-$W$2)*(AD1249/1.2))</f>
        <v>6325</v>
      </c>
      <c r="G1249" s="66">
        <f>IF($W$5=0.2,F1249*1.2,F1249)/$W$4</f>
        <v>7590</v>
      </c>
      <c r="H1249" s="18">
        <f>IF(AE1249="","",(1-$W$2)*(AE1249/1.2))</f>
        <v>6575</v>
      </c>
      <c r="I1249" s="66">
        <f>IF($W$5=0.2,H1249*1.2,H1249)/$W$4</f>
        <v>7890</v>
      </c>
      <c r="J1249" s="18">
        <f>IF(AF1249="","",(1-$W$2)*(AF1249/1.2))</f>
        <v>7050</v>
      </c>
      <c r="K1249" s="66">
        <f>IF($W$5=0.2,J1249*1.2,J1249)/$W$4</f>
        <v>8460</v>
      </c>
      <c r="L1249" s="18">
        <f>IF(AG1249="","",(1-$W$2)*(AG1249/1.2))</f>
        <v>7375</v>
      </c>
      <c r="M1249" s="66">
        <f>IF($W$5=0.2,L1249*1.2,L1249)/$W$4</f>
        <v>8850</v>
      </c>
      <c r="N1249" s="104"/>
      <c r="O1249" s="20"/>
      <c r="P1249" s="20"/>
      <c r="Q1249" s="20"/>
      <c r="R1249" s="104"/>
      <c r="S1249" s="20"/>
      <c r="T1249" s="104"/>
      <c r="U1249" s="20"/>
      <c r="V1249" s="104"/>
      <c r="W1249" s="20"/>
      <c r="X1249" s="22"/>
      <c r="Y1249" s="22"/>
      <c r="Z1249" s="22"/>
      <c r="AA1249" s="22"/>
      <c r="AB1249" s="22"/>
      <c r="AC1249" s="332">
        <v>6660</v>
      </c>
      <c r="AD1249" s="390">
        <v>7590</v>
      </c>
      <c r="AE1249" s="332">
        <v>7890</v>
      </c>
      <c r="AF1249" s="332">
        <v>8460</v>
      </c>
      <c r="AG1249" s="332">
        <v>8850</v>
      </c>
      <c r="AH1249" s="289">
        <v>6660</v>
      </c>
      <c r="AI1249" s="289">
        <f t="shared" si="179"/>
        <v>0</v>
      </c>
      <c r="AJ1249" s="289">
        <v>7590</v>
      </c>
      <c r="AK1249" s="289">
        <f t="shared" si="180"/>
        <v>0</v>
      </c>
      <c r="AL1249" s="289">
        <v>7890</v>
      </c>
      <c r="AM1249" s="289">
        <f t="shared" si="181"/>
        <v>0</v>
      </c>
      <c r="AN1249" s="289">
        <v>8460</v>
      </c>
      <c r="AO1249" s="289">
        <f t="shared" si="182"/>
        <v>0</v>
      </c>
      <c r="AP1249" s="289">
        <v>8850</v>
      </c>
      <c r="AQ1249" s="289">
        <f t="shared" si="183"/>
        <v>0</v>
      </c>
    </row>
    <row r="1250" spans="2:43" ht="34.5" customHeight="1">
      <c r="B1250" s="23" t="s">
        <v>33</v>
      </c>
      <c r="C1250" s="24"/>
      <c r="D1250" s="25">
        <f>IF(AC1250="","",(1-$W$2)*(AC1250/1.2))</f>
        <v>5650</v>
      </c>
      <c r="E1250" s="69">
        <f>IF($W$5=0.2,D1250*1.2,D1250)/$W$4</f>
        <v>6780</v>
      </c>
      <c r="F1250" s="25">
        <f>IF(AD1250="","",(1-$W$2)*(AD1250/1.2))</f>
        <v>6433.3333333333339</v>
      </c>
      <c r="G1250" s="69">
        <f>IF($W$5=0.2,F1250*1.2,F1250)/$W$4</f>
        <v>7720</v>
      </c>
      <c r="H1250" s="25">
        <f>IF(AE1250="","",(1-$W$2)*(AE1250/1.2))</f>
        <v>6600</v>
      </c>
      <c r="I1250" s="69">
        <f>IF($W$5=0.2,H1250*1.2,H1250)/$W$4</f>
        <v>7920</v>
      </c>
      <c r="J1250" s="25">
        <f>IF(AF1250="","",(1-$W$2)*(AF1250/1.2))</f>
        <v>7116.666666666667</v>
      </c>
      <c r="K1250" s="69">
        <f>IF($W$5=0.2,J1250*1.2,J1250)/$W$4</f>
        <v>8540</v>
      </c>
      <c r="L1250" s="25">
        <f>IF(AG1250="","",(1-$W$2)*(AG1250/1.2))</f>
        <v>7441.666666666667</v>
      </c>
      <c r="M1250" s="69">
        <f>IF($W$5=0.2,L1250*1.2,L1250)/$W$4</f>
        <v>8930</v>
      </c>
      <c r="N1250" s="104"/>
      <c r="O1250" s="20"/>
      <c r="P1250" s="20"/>
      <c r="Q1250" s="20"/>
      <c r="R1250" s="104"/>
      <c r="S1250" s="20"/>
      <c r="T1250" s="104"/>
      <c r="U1250" s="20"/>
      <c r="V1250" s="104"/>
      <c r="W1250" s="20"/>
      <c r="X1250" s="22"/>
      <c r="Y1250" s="22"/>
      <c r="Z1250" s="22"/>
      <c r="AA1250" s="22"/>
      <c r="AB1250" s="22"/>
      <c r="AC1250" s="332">
        <v>6780</v>
      </c>
      <c r="AD1250" s="390">
        <v>7720</v>
      </c>
      <c r="AE1250" s="332">
        <v>7920</v>
      </c>
      <c r="AF1250" s="332">
        <v>8540</v>
      </c>
      <c r="AG1250" s="332">
        <v>8930</v>
      </c>
      <c r="AH1250" s="289">
        <v>6780</v>
      </c>
      <c r="AI1250" s="289">
        <f t="shared" si="179"/>
        <v>0</v>
      </c>
      <c r="AJ1250" s="289">
        <v>7720</v>
      </c>
      <c r="AK1250" s="289">
        <f t="shared" si="180"/>
        <v>0</v>
      </c>
      <c r="AL1250" s="289">
        <v>7920</v>
      </c>
      <c r="AM1250" s="289">
        <f t="shared" si="181"/>
        <v>0</v>
      </c>
      <c r="AN1250" s="289">
        <v>8540</v>
      </c>
      <c r="AO1250" s="289">
        <f t="shared" si="182"/>
        <v>0</v>
      </c>
      <c r="AP1250" s="289">
        <v>8930</v>
      </c>
      <c r="AQ1250" s="289">
        <f t="shared" si="183"/>
        <v>0</v>
      </c>
    </row>
    <row r="1251" spans="2:43" ht="14.25" customHeight="1">
      <c r="C1251" s="245"/>
      <c r="D1251" s="26"/>
      <c r="E1251" s="57"/>
      <c r="F1251" s="26"/>
      <c r="G1251" s="57"/>
      <c r="H1251" s="5"/>
      <c r="P1251" s="20"/>
      <c r="Q1251" s="20"/>
    </row>
    <row r="1252" spans="2:43" ht="12.75" customHeight="1">
      <c r="B1252" s="212" t="str">
        <f>IF($C$1="ENG","For additonal charge:","Послуги за додаткову плату:")</f>
        <v>Послуги за додаткову плату:</v>
      </c>
      <c r="C1252" s="420"/>
      <c r="D1252" s="213"/>
      <c r="E1252" s="214"/>
      <c r="F1252" s="26"/>
      <c r="G1252" s="57"/>
      <c r="H1252" s="10"/>
      <c r="I1252" s="8"/>
      <c r="J1252" s="8"/>
      <c r="K1252" s="8"/>
      <c r="P1252" s="20"/>
      <c r="Q1252" s="20"/>
    </row>
    <row r="1253" spans="2:43" ht="4.5" customHeight="1">
      <c r="B1253" s="27"/>
      <c r="C1253" s="245"/>
      <c r="D1253" s="26"/>
      <c r="E1253" s="57"/>
      <c r="F1253" s="26"/>
      <c r="G1253" s="26"/>
      <c r="H1253" s="10"/>
      <c r="I1253" s="8"/>
      <c r="J1253" s="8"/>
      <c r="K1253" s="8"/>
    </row>
    <row r="1254" spans="2:43" ht="12.75" customHeight="1">
      <c r="B1254" s="539" t="str">
        <f>IF($C$1="ENG","door leaf with width 100","полотно розміром 100")</f>
        <v>полотно розміром 100</v>
      </c>
      <c r="C1254" s="540"/>
      <c r="D1254" s="409">
        <f t="shared" ref="D1254:D1267" si="184">IF(AC1254="","",(1-$W$2)*(AC1254/1.2))</f>
        <v>600</v>
      </c>
      <c r="E1254" s="92">
        <f t="shared" ref="E1254:E1266" si="185">IF($W$5=0.2,D1254*1.2,D1254)/$W$4</f>
        <v>720</v>
      </c>
      <c r="F1254" s="26"/>
      <c r="G1254" s="26"/>
      <c r="H1254" s="10"/>
      <c r="I1254" s="8"/>
      <c r="J1254" s="8"/>
      <c r="K1254" s="8"/>
      <c r="AC1254" s="289">
        <v>720</v>
      </c>
      <c r="AD1254" s="289">
        <v>720</v>
      </c>
      <c r="AE1254" s="289"/>
      <c r="AF1254" s="289"/>
      <c r="AG1254" s="289"/>
      <c r="AH1254" s="289"/>
      <c r="AI1254" s="289"/>
      <c r="AJ1254" s="289"/>
      <c r="AK1254" s="289"/>
      <c r="AL1254" s="289"/>
    </row>
    <row r="1255" spans="2:43" ht="12.75" customHeight="1">
      <c r="B1255" s="532" t="str">
        <f>IF($C$1="ENG","Ventilation sleeves (1 row)","вентиляційні віддушини (1ряд)")</f>
        <v>вентиляційні віддушини (1ряд)</v>
      </c>
      <c r="C1255" s="533"/>
      <c r="D1255" s="404">
        <f t="shared" si="184"/>
        <v>208.33333333333334</v>
      </c>
      <c r="E1255" s="93">
        <f t="shared" si="185"/>
        <v>250</v>
      </c>
      <c r="F1255" s="26"/>
      <c r="G1255" s="26"/>
      <c r="I1255" s="11"/>
      <c r="J1255" s="11"/>
      <c r="K1255" s="11"/>
      <c r="AC1255" s="289">
        <v>250</v>
      </c>
      <c r="AD1255" s="289">
        <v>250</v>
      </c>
      <c r="AE1255" s="289"/>
      <c r="AF1255" s="289"/>
      <c r="AG1255" s="289"/>
      <c r="AH1255" s="289"/>
      <c r="AI1255" s="289"/>
      <c r="AJ1255" s="289"/>
      <c r="AK1255" s="289"/>
      <c r="AL1255" s="289"/>
    </row>
    <row r="1256" spans="2:43" ht="12.75" customHeight="1">
      <c r="B1256" s="539" t="str">
        <f>IF($C$1="ENG","Ventilation cut","вентиляційний підріз")</f>
        <v>вентиляційний підріз</v>
      </c>
      <c r="C1256" s="540"/>
      <c r="D1256" s="404">
        <f t="shared" si="184"/>
        <v>141.66666666666669</v>
      </c>
      <c r="E1256" s="66">
        <f t="shared" si="185"/>
        <v>170.00000000000003</v>
      </c>
      <c r="F1256" s="26"/>
      <c r="G1256" s="26"/>
      <c r="I1256" s="59"/>
      <c r="J1256" s="28"/>
      <c r="AC1256" s="289">
        <v>170</v>
      </c>
      <c r="AD1256" s="289">
        <v>170</v>
      </c>
      <c r="AE1256" s="289"/>
      <c r="AF1256" s="289"/>
      <c r="AG1256" s="289"/>
      <c r="AH1256" s="289"/>
      <c r="AI1256" s="289"/>
      <c r="AJ1256" s="289"/>
      <c r="AK1256" s="289"/>
      <c r="AL1256" s="289"/>
    </row>
    <row r="1257" spans="2:43" ht="12.75" customHeight="1">
      <c r="B1257" s="532" t="str">
        <f>IF($C$1="ENG","glazing Graphite / Bronze","скло Графіт / Бронза")</f>
        <v>скло Графіт / Бронза</v>
      </c>
      <c r="C1257" s="533"/>
      <c r="D1257" s="406">
        <f t="shared" si="184"/>
        <v>458.33333333333337</v>
      </c>
      <c r="E1257" s="93">
        <f t="shared" si="185"/>
        <v>550</v>
      </c>
      <c r="F1257" s="26"/>
      <c r="G1257" s="26"/>
      <c r="H1257" s="5"/>
      <c r="AC1257" s="289">
        <v>550</v>
      </c>
      <c r="AD1257" s="289">
        <v>550</v>
      </c>
      <c r="AE1257" s="289"/>
      <c r="AF1257" s="289"/>
      <c r="AG1257" s="289"/>
      <c r="AH1257" s="289"/>
      <c r="AI1257" s="289"/>
      <c r="AJ1257" s="289"/>
      <c r="AK1257" s="289"/>
      <c r="AL1257" s="289"/>
    </row>
    <row r="1258" spans="2:43">
      <c r="B1258" s="532" t="str">
        <f>IF($C$1="ENG","glazing Lacobel black ","скло Lacobel чорне")</f>
        <v>скло Lacobel чорне</v>
      </c>
      <c r="C1258" s="533"/>
      <c r="D1258" s="406">
        <f t="shared" si="184"/>
        <v>458.33333333333337</v>
      </c>
      <c r="E1258" s="93">
        <f>IF($W$5=0.2,D1258*1.2,D1258)/$W$4</f>
        <v>550</v>
      </c>
      <c r="F1258" s="26"/>
      <c r="G1258" s="26"/>
      <c r="H1258" s="5"/>
      <c r="AC1258" s="298">
        <v>550</v>
      </c>
      <c r="AD1258" s="298">
        <v>550</v>
      </c>
      <c r="AE1258" s="289"/>
      <c r="AF1258" s="289"/>
      <c r="AG1258" s="289"/>
      <c r="AH1258" s="289"/>
      <c r="AI1258" s="289"/>
      <c r="AJ1258" s="289"/>
      <c r="AK1258" s="289"/>
      <c r="AL1258" s="289"/>
    </row>
    <row r="1259" spans="2:43" ht="12.75" customHeight="1">
      <c r="B1259" s="532" t="str">
        <f>IF($C$1="ENG","door lock Soft","замок Soft")</f>
        <v>замок Soft</v>
      </c>
      <c r="C1259" s="533"/>
      <c r="D1259" s="406">
        <f t="shared" si="184"/>
        <v>458.33333333333337</v>
      </c>
      <c r="E1259" s="93">
        <f t="shared" si="185"/>
        <v>550</v>
      </c>
      <c r="F1259" s="26"/>
      <c r="G1259" s="26"/>
      <c r="H1259" s="5"/>
      <c r="AC1259" s="289">
        <v>550</v>
      </c>
      <c r="AD1259" s="289">
        <v>550</v>
      </c>
      <c r="AE1259" s="289"/>
      <c r="AF1259" s="289"/>
      <c r="AG1259" s="289"/>
      <c r="AH1259" s="289"/>
      <c r="AI1259" s="289"/>
      <c r="AJ1259" s="289"/>
      <c r="AK1259" s="289"/>
      <c r="AL1259" s="289"/>
    </row>
    <row r="1260" spans="2:43" ht="12.75" customHeight="1">
      <c r="B1260" s="532" t="str">
        <f>IF($C$1="ENG","door lock Soft black","замок Soft чорн.")</f>
        <v>замок Soft чорн.</v>
      </c>
      <c r="C1260" s="533"/>
      <c r="D1260" s="406">
        <f t="shared" ref="D1260" si="186">IF(AC1260="","",(1-$W$2)*(AC1260/1.2))</f>
        <v>566.66666666666674</v>
      </c>
      <c r="E1260" s="93">
        <f t="shared" ref="E1260" si="187">IF($W$5=0.2,D1260*1.2,D1260)/$W$4</f>
        <v>680.00000000000011</v>
      </c>
      <c r="F1260" s="26"/>
      <c r="G1260" s="26"/>
      <c r="H1260" s="5"/>
      <c r="AC1260" s="289">
        <v>680</v>
      </c>
      <c r="AD1260" s="289"/>
      <c r="AE1260" s="289"/>
      <c r="AF1260" s="289"/>
      <c r="AG1260" s="289"/>
      <c r="AH1260" s="289"/>
      <c r="AI1260" s="289"/>
      <c r="AJ1260" s="289"/>
      <c r="AK1260" s="289"/>
      <c r="AL1260" s="289"/>
    </row>
    <row r="1261" spans="2:43" ht="12.75" customHeight="1">
      <c r="B1261" s="532" t="str">
        <f>IF($C$1="ENG","door lock Magnet","замок Magnet")</f>
        <v>замок Magnet</v>
      </c>
      <c r="C1261" s="533"/>
      <c r="D1261" s="406">
        <f t="shared" si="184"/>
        <v>666.66666666666674</v>
      </c>
      <c r="E1261" s="93">
        <f t="shared" si="185"/>
        <v>800.00000000000011</v>
      </c>
      <c r="F1261" s="26"/>
      <c r="G1261" s="26"/>
      <c r="H1261" s="5"/>
      <c r="AC1261" s="289">
        <v>800</v>
      </c>
      <c r="AD1261" s="289">
        <v>800</v>
      </c>
      <c r="AE1261" s="289"/>
      <c r="AF1261" s="289"/>
      <c r="AG1261" s="289"/>
      <c r="AH1261" s="289"/>
      <c r="AI1261" s="289"/>
      <c r="AJ1261" s="289"/>
      <c r="AK1261" s="289"/>
      <c r="AL1261" s="289"/>
    </row>
    <row r="1262" spans="2:43" ht="12.75" customHeight="1">
      <c r="B1262" s="532" t="s">
        <v>75</v>
      </c>
      <c r="C1262" s="533"/>
      <c r="D1262" s="406">
        <f t="shared" ref="D1262" si="188">IF(AC1262="","",(1-$W$2)*(AC1262/1.2))</f>
        <v>833.33333333333337</v>
      </c>
      <c r="E1262" s="93">
        <f t="shared" ref="E1262" si="189">IF($W$5=0.2,D1262*1.2,D1262)/$W$4</f>
        <v>1000</v>
      </c>
      <c r="F1262" s="26"/>
      <c r="G1262" s="26"/>
      <c r="H1262" s="5"/>
      <c r="AC1262" s="289">
        <v>1000</v>
      </c>
      <c r="AD1262" s="289"/>
      <c r="AE1262" s="289"/>
      <c r="AF1262" s="289"/>
      <c r="AG1262" s="289"/>
      <c r="AH1262" s="289"/>
      <c r="AI1262" s="289"/>
      <c r="AJ1262" s="289"/>
      <c r="AK1262" s="289"/>
      <c r="AL1262" s="289"/>
    </row>
    <row r="1263" spans="2:43" ht="12.75" customHeight="1">
      <c r="B1263" s="532" t="str">
        <f>IF($C$1="ENG","door handle-lock (for sliding doors)","ручка-замок (для дверей купе)")</f>
        <v>ручка-замок (для дверей купе)</v>
      </c>
      <c r="C1263" s="533"/>
      <c r="D1263" s="404">
        <f t="shared" si="184"/>
        <v>466.66666666666669</v>
      </c>
      <c r="E1263" s="93">
        <f t="shared" si="185"/>
        <v>560</v>
      </c>
      <c r="F1263" s="26"/>
      <c r="G1263" s="26"/>
      <c r="I1263" s="11"/>
      <c r="J1263" s="11"/>
      <c r="K1263" s="19"/>
      <c r="AC1263" s="289">
        <v>560</v>
      </c>
      <c r="AD1263" s="289">
        <v>560</v>
      </c>
      <c r="AE1263" s="289"/>
      <c r="AF1263" s="289"/>
      <c r="AG1263" s="289"/>
      <c r="AH1263" s="289"/>
      <c r="AI1263" s="289"/>
      <c r="AJ1263" s="289"/>
      <c r="AK1263" s="289"/>
      <c r="AL1263" s="289"/>
    </row>
    <row r="1264" spans="2:43" ht="12.75" customHeight="1">
      <c r="B1264" s="532" t="str">
        <f>IF($C$1="ENG","cylinder incert","циліндр несиметричний")</f>
        <v>циліндр несиметричний</v>
      </c>
      <c r="C1264" s="533"/>
      <c r="D1264" s="404">
        <f t="shared" si="184"/>
        <v>316.66666666666669</v>
      </c>
      <c r="E1264" s="93">
        <f t="shared" si="185"/>
        <v>380</v>
      </c>
      <c r="F1264" s="26"/>
      <c r="G1264" s="26"/>
      <c r="AC1264" s="289">
        <v>380</v>
      </c>
      <c r="AD1264" s="289">
        <v>380</v>
      </c>
      <c r="AE1264" s="289"/>
      <c r="AF1264" s="289"/>
      <c r="AG1264" s="289"/>
      <c r="AH1264" s="289"/>
      <c r="AI1264" s="289"/>
      <c r="AJ1264" s="289"/>
      <c r="AK1264" s="289"/>
      <c r="AL1264" s="289"/>
    </row>
    <row r="1265" spans="2:38" ht="12.75" customHeight="1">
      <c r="B1265" s="532" t="str">
        <f>IF($C$1="ENG","door hindge Prestige (1 unit)","завіса Prestige (1 шт)")</f>
        <v>завіса Prestige (1 шт)</v>
      </c>
      <c r="C1265" s="533"/>
      <c r="D1265" s="407">
        <f t="shared" si="184"/>
        <v>216.66666666666669</v>
      </c>
      <c r="E1265" s="93">
        <f t="shared" si="185"/>
        <v>260</v>
      </c>
      <c r="F1265" s="26"/>
      <c r="G1265" s="26"/>
      <c r="AC1265" s="289">
        <v>260</v>
      </c>
      <c r="AD1265" s="289">
        <v>260</v>
      </c>
      <c r="AE1265" s="289"/>
      <c r="AF1265" s="289"/>
      <c r="AG1265" s="289"/>
      <c r="AH1265" s="289"/>
      <c r="AI1265" s="289"/>
      <c r="AJ1265" s="289"/>
      <c r="AK1265" s="289"/>
      <c r="AL1265" s="289"/>
    </row>
    <row r="1266" spans="2:38" ht="12.75" customHeight="1">
      <c r="B1266" s="532" t="str">
        <f>IF($C$1="ENG","door hinge caps (1 set)","накладка на завіси (1 к-т)")</f>
        <v>накладка на завіси (1 к-т)</v>
      </c>
      <c r="C1266" s="533"/>
      <c r="D1266" s="407">
        <f t="shared" si="184"/>
        <v>66.666666666666671</v>
      </c>
      <c r="E1266" s="93">
        <f t="shared" si="185"/>
        <v>80</v>
      </c>
      <c r="F1266" s="26"/>
      <c r="G1266" s="26"/>
      <c r="AC1266" s="289">
        <v>80</v>
      </c>
      <c r="AD1266" s="289">
        <v>80</v>
      </c>
      <c r="AE1266" s="289"/>
      <c r="AF1266" s="289"/>
      <c r="AG1266" s="289"/>
      <c r="AH1266" s="289"/>
      <c r="AI1266" s="289"/>
      <c r="AJ1266" s="289"/>
      <c r="AK1266" s="289"/>
      <c r="AL1266" s="289"/>
    </row>
    <row r="1267" spans="2:38" ht="12.75" customHeight="1">
      <c r="B1267" s="532" t="str">
        <f>IF($C$1="ENG","door handle","дверна ручка")</f>
        <v>дверна ручка</v>
      </c>
      <c r="C1267" s="533"/>
      <c r="D1267" s="408" t="str">
        <f t="shared" si="184"/>
        <v/>
      </c>
      <c r="E1267" s="247" t="str">
        <f>IF($C$1="ENG","see Handles Price","див. Таблицю Ручки")</f>
        <v>див. Таблицю Ручки</v>
      </c>
      <c r="F1267" s="26"/>
      <c r="G1267" s="26"/>
      <c r="AC1267" s="298"/>
      <c r="AD1267" s="289"/>
      <c r="AE1267" s="289"/>
      <c r="AF1267" s="289"/>
      <c r="AG1267" s="289"/>
      <c r="AH1267" s="289"/>
      <c r="AI1267" s="289"/>
      <c r="AJ1267" s="289"/>
      <c r="AK1267" s="289"/>
      <c r="AL1267" s="289"/>
    </row>
    <row r="1268" spans="2:38" ht="14.25" customHeight="1">
      <c r="C1268" s="245"/>
      <c r="D1268" s="26"/>
      <c r="E1268" s="26"/>
      <c r="F1268" s="26"/>
      <c r="G1268" s="26"/>
      <c r="H1268" s="5"/>
      <c r="U1268" s="525" t="str">
        <f>IF($C$1="ENG",CONCATENATE("down to: ",B1318),CONCATENATE("вниз до: ",B1318))</f>
        <v>вниз до: Полотна збірні: ЛІНДА</v>
      </c>
      <c r="V1268" s="525"/>
      <c r="W1268" s="525"/>
      <c r="X1268" s="304"/>
      <c r="Y1268" s="304"/>
      <c r="Z1268" s="304"/>
      <c r="AA1268" s="304"/>
      <c r="AB1268" s="304"/>
    </row>
    <row r="1269" spans="2:38" ht="14.25" customHeight="1">
      <c r="C1269" s="245"/>
      <c r="D1269" s="26"/>
      <c r="E1269" s="26"/>
      <c r="F1269" s="26"/>
      <c r="G1269" s="26"/>
      <c r="H1269" s="5"/>
    </row>
    <row r="1270" spans="2:38" ht="14.25" customHeight="1">
      <c r="C1270" s="245"/>
      <c r="D1270" s="26"/>
      <c r="E1270" s="26"/>
      <c r="F1270" s="26"/>
      <c r="G1270" s="26"/>
      <c r="H1270" s="5"/>
    </row>
    <row r="1271" spans="2:38" ht="14.25" customHeight="1">
      <c r="C1271" s="245"/>
      <c r="D1271" s="26"/>
      <c r="E1271" s="26"/>
      <c r="F1271" s="26"/>
      <c r="G1271" s="26"/>
      <c r="H1271" s="5"/>
    </row>
    <row r="1272" spans="2:38" ht="14.25" customHeight="1">
      <c r="C1272" s="245"/>
      <c r="D1272" s="26"/>
      <c r="E1272" s="26"/>
      <c r="F1272" s="26"/>
      <c r="G1272" s="26"/>
      <c r="H1272" s="5"/>
    </row>
    <row r="1273" spans="2:38" ht="14.25" customHeight="1">
      <c r="C1273" s="245"/>
      <c r="D1273" s="26"/>
      <c r="E1273" s="26"/>
      <c r="F1273" s="26"/>
      <c r="G1273" s="26"/>
      <c r="H1273" s="5"/>
    </row>
    <row r="1274" spans="2:38" ht="14.25" customHeight="1">
      <c r="C1274" s="245"/>
      <c r="D1274" s="26"/>
      <c r="E1274" s="26"/>
      <c r="F1274" s="26"/>
      <c r="G1274" s="26"/>
      <c r="H1274" s="5"/>
    </row>
    <row r="1275" spans="2:38" ht="14.25" customHeight="1">
      <c r="C1275" s="245"/>
      <c r="D1275" s="26"/>
      <c r="E1275" s="26"/>
      <c r="F1275" s="26"/>
      <c r="G1275" s="26"/>
      <c r="H1275" s="5"/>
    </row>
    <row r="1276" spans="2:38" ht="14.25" customHeight="1">
      <c r="C1276" s="245"/>
      <c r="D1276" s="26"/>
      <c r="E1276" s="26"/>
      <c r="F1276" s="26"/>
      <c r="G1276" s="26"/>
      <c r="H1276" s="5"/>
    </row>
    <row r="1277" spans="2:38" ht="14.25" customHeight="1">
      <c r="C1277" s="245"/>
      <c r="D1277" s="26"/>
      <c r="E1277" s="26"/>
      <c r="F1277" s="26"/>
      <c r="G1277" s="26"/>
      <c r="H1277" s="5"/>
    </row>
    <row r="1278" spans="2:38" ht="14.25" customHeight="1">
      <c r="C1278" s="245"/>
      <c r="D1278" s="26"/>
      <c r="E1278" s="26"/>
      <c r="F1278" s="26"/>
      <c r="G1278" s="26"/>
      <c r="H1278" s="5"/>
    </row>
    <row r="1279" spans="2:38" ht="14.25" customHeight="1">
      <c r="C1279" s="245"/>
      <c r="D1279" s="26"/>
      <c r="E1279" s="26"/>
      <c r="F1279" s="26"/>
      <c r="G1279" s="26"/>
      <c r="H1279" s="5"/>
    </row>
    <row r="1280" spans="2:38" ht="14.25" customHeight="1">
      <c r="C1280" s="245"/>
      <c r="D1280" s="26"/>
      <c r="E1280" s="26"/>
      <c r="F1280" s="26"/>
      <c r="G1280" s="26"/>
      <c r="H1280" s="5"/>
    </row>
    <row r="1281" spans="3:8" ht="14.25" customHeight="1">
      <c r="C1281" s="245"/>
      <c r="D1281" s="26"/>
      <c r="E1281" s="26"/>
      <c r="F1281" s="26"/>
      <c r="G1281" s="26"/>
      <c r="H1281" s="5"/>
    </row>
    <row r="1282" spans="3:8" ht="14.25" customHeight="1">
      <c r="C1282" s="245"/>
      <c r="D1282" s="26"/>
      <c r="E1282" s="26"/>
      <c r="F1282" s="26"/>
      <c r="G1282" s="26"/>
      <c r="H1282" s="5"/>
    </row>
    <row r="1283" spans="3:8" ht="14.25" customHeight="1">
      <c r="C1283" s="245"/>
      <c r="D1283" s="26"/>
      <c r="E1283" s="26"/>
      <c r="F1283" s="26"/>
      <c r="G1283" s="26"/>
      <c r="H1283" s="5"/>
    </row>
    <row r="1284" spans="3:8" ht="14.25" customHeight="1">
      <c r="C1284" s="245"/>
      <c r="D1284" s="26"/>
      <c r="E1284" s="26"/>
      <c r="F1284" s="26"/>
      <c r="G1284" s="26"/>
      <c r="H1284" s="5"/>
    </row>
    <row r="1285" spans="3:8" ht="14.25" customHeight="1">
      <c r="C1285" s="245"/>
      <c r="D1285" s="26"/>
      <c r="E1285" s="26"/>
      <c r="F1285" s="26"/>
      <c r="G1285" s="26"/>
      <c r="H1285" s="5"/>
    </row>
    <row r="1286" spans="3:8" ht="14.25" customHeight="1">
      <c r="C1286" s="245"/>
      <c r="D1286" s="26"/>
      <c r="E1286" s="26"/>
      <c r="F1286" s="26"/>
      <c r="G1286" s="26"/>
      <c r="H1286" s="5"/>
    </row>
    <row r="1287" spans="3:8" ht="14.25" customHeight="1">
      <c r="C1287" s="245"/>
      <c r="D1287" s="26"/>
      <c r="E1287" s="26"/>
      <c r="F1287" s="26"/>
      <c r="G1287" s="26"/>
      <c r="H1287" s="5"/>
    </row>
    <row r="1288" spans="3:8" ht="14.25" customHeight="1">
      <c r="C1288" s="245"/>
      <c r="D1288" s="26"/>
      <c r="E1288" s="26"/>
      <c r="F1288" s="26"/>
      <c r="G1288" s="26"/>
      <c r="H1288" s="5"/>
    </row>
    <row r="1289" spans="3:8" ht="14.25" customHeight="1">
      <c r="C1289" s="245"/>
      <c r="D1289" s="26"/>
      <c r="E1289" s="26"/>
      <c r="F1289" s="26"/>
      <c r="G1289" s="26"/>
      <c r="H1289" s="5"/>
    </row>
    <row r="1290" spans="3:8" ht="14.25" customHeight="1">
      <c r="C1290" s="245"/>
      <c r="D1290" s="26"/>
      <c r="E1290" s="26"/>
      <c r="F1290" s="26"/>
      <c r="G1290" s="26"/>
      <c r="H1290" s="5"/>
    </row>
    <row r="1291" spans="3:8" ht="14.25" customHeight="1">
      <c r="C1291" s="245"/>
      <c r="D1291" s="26"/>
      <c r="E1291" s="26"/>
      <c r="F1291" s="26"/>
      <c r="G1291" s="26"/>
      <c r="H1291" s="5"/>
    </row>
    <row r="1292" spans="3:8" ht="14.25" customHeight="1">
      <c r="C1292" s="245"/>
      <c r="D1292" s="26"/>
      <c r="E1292" s="26"/>
      <c r="F1292" s="26"/>
      <c r="G1292" s="26"/>
      <c r="H1292" s="5"/>
    </row>
    <row r="1293" spans="3:8" ht="14.25" customHeight="1">
      <c r="C1293" s="245"/>
      <c r="D1293" s="26"/>
      <c r="E1293" s="26"/>
      <c r="F1293" s="26"/>
      <c r="G1293" s="26"/>
      <c r="H1293" s="5"/>
    </row>
    <row r="1294" spans="3:8" ht="14.25" customHeight="1">
      <c r="C1294" s="245"/>
      <c r="D1294" s="26"/>
      <c r="E1294" s="26"/>
      <c r="F1294" s="26"/>
      <c r="G1294" s="26"/>
      <c r="H1294" s="5"/>
    </row>
    <row r="1295" spans="3:8" ht="14.25" customHeight="1">
      <c r="C1295" s="245"/>
      <c r="D1295" s="26"/>
      <c r="E1295" s="26"/>
      <c r="F1295" s="26"/>
      <c r="G1295" s="26"/>
      <c r="H1295" s="5"/>
    </row>
    <row r="1296" spans="3:8" ht="14.25" customHeight="1">
      <c r="C1296" s="245"/>
      <c r="D1296" s="26"/>
      <c r="E1296" s="26"/>
      <c r="F1296" s="26"/>
      <c r="G1296" s="26"/>
      <c r="H1296" s="5"/>
    </row>
    <row r="1297" spans="3:8" ht="14.25" customHeight="1">
      <c r="C1297" s="245"/>
      <c r="D1297" s="26"/>
      <c r="E1297" s="26"/>
      <c r="F1297" s="26"/>
      <c r="G1297" s="26"/>
      <c r="H1297" s="5"/>
    </row>
    <row r="1298" spans="3:8" ht="14.25" customHeight="1">
      <c r="C1298" s="245"/>
      <c r="D1298" s="26"/>
      <c r="E1298" s="26"/>
      <c r="F1298" s="26"/>
      <c r="G1298" s="26"/>
      <c r="H1298" s="5"/>
    </row>
    <row r="1299" spans="3:8" ht="14.25" customHeight="1">
      <c r="C1299" s="245"/>
      <c r="D1299" s="26"/>
      <c r="E1299" s="26"/>
      <c r="F1299" s="26"/>
      <c r="G1299" s="26"/>
      <c r="H1299" s="5"/>
    </row>
    <row r="1300" spans="3:8" ht="14.25" customHeight="1">
      <c r="C1300" s="245"/>
      <c r="D1300" s="26"/>
      <c r="E1300" s="26"/>
      <c r="F1300" s="26"/>
      <c r="G1300" s="26"/>
      <c r="H1300" s="5"/>
    </row>
    <row r="1301" spans="3:8" ht="14.25" customHeight="1">
      <c r="C1301" s="245"/>
      <c r="D1301" s="26"/>
      <c r="E1301" s="26"/>
      <c r="F1301" s="26"/>
      <c r="G1301" s="26"/>
      <c r="H1301" s="5"/>
    </row>
    <row r="1302" spans="3:8" ht="14.25" customHeight="1">
      <c r="C1302" s="245"/>
      <c r="D1302" s="26"/>
      <c r="E1302" s="26"/>
      <c r="F1302" s="26"/>
      <c r="G1302" s="26"/>
      <c r="H1302" s="5"/>
    </row>
    <row r="1303" spans="3:8" ht="14.25" customHeight="1">
      <c r="C1303" s="245"/>
      <c r="D1303" s="26"/>
      <c r="E1303" s="26"/>
      <c r="F1303" s="26"/>
      <c r="G1303" s="26"/>
      <c r="H1303" s="5"/>
    </row>
    <row r="1304" spans="3:8" ht="14.25" customHeight="1">
      <c r="C1304" s="245"/>
      <c r="D1304" s="26"/>
      <c r="E1304" s="26"/>
      <c r="F1304" s="26"/>
      <c r="G1304" s="26"/>
      <c r="H1304" s="5"/>
    </row>
    <row r="1305" spans="3:8" ht="14.25" customHeight="1">
      <c r="C1305" s="245"/>
      <c r="D1305" s="26"/>
      <c r="E1305" s="26"/>
      <c r="F1305" s="26"/>
      <c r="G1305" s="26"/>
      <c r="H1305" s="5"/>
    </row>
    <row r="1306" spans="3:8" ht="14.25" customHeight="1">
      <c r="C1306" s="245"/>
      <c r="D1306" s="26"/>
      <c r="E1306" s="26"/>
      <c r="F1306" s="26"/>
      <c r="G1306" s="26"/>
      <c r="H1306" s="5"/>
    </row>
    <row r="1307" spans="3:8" ht="14.25" customHeight="1">
      <c r="C1307" s="245"/>
      <c r="D1307" s="26"/>
      <c r="E1307" s="26"/>
      <c r="F1307" s="26"/>
      <c r="G1307" s="26"/>
      <c r="H1307" s="5"/>
    </row>
    <row r="1308" spans="3:8" ht="14.25" customHeight="1">
      <c r="C1308" s="245"/>
      <c r="D1308" s="26"/>
      <c r="E1308" s="26"/>
      <c r="F1308" s="26"/>
      <c r="G1308" s="26"/>
      <c r="H1308" s="5"/>
    </row>
    <row r="1309" spans="3:8" ht="14.25" customHeight="1">
      <c r="C1309" s="245"/>
      <c r="D1309" s="26"/>
      <c r="E1309" s="26"/>
      <c r="F1309" s="26"/>
      <c r="G1309" s="26"/>
      <c r="H1309" s="5"/>
    </row>
    <row r="1310" spans="3:8" ht="14.25" customHeight="1">
      <c r="C1310" s="245"/>
      <c r="D1310" s="26"/>
      <c r="E1310" s="26"/>
      <c r="F1310" s="26"/>
      <c r="G1310" s="26"/>
      <c r="H1310" s="5"/>
    </row>
    <row r="1311" spans="3:8" ht="14.25" customHeight="1">
      <c r="C1311" s="245"/>
      <c r="D1311" s="26"/>
      <c r="E1311" s="26"/>
      <c r="F1311" s="26"/>
      <c r="G1311" s="26"/>
      <c r="H1311" s="5"/>
    </row>
    <row r="1312" spans="3:8" ht="14.25" customHeight="1">
      <c r="C1312" s="245"/>
      <c r="D1312" s="26"/>
      <c r="E1312" s="26"/>
      <c r="F1312" s="26"/>
      <c r="G1312" s="26"/>
      <c r="H1312" s="5"/>
    </row>
    <row r="1313" spans="1:46" ht="14.25" customHeight="1">
      <c r="C1313" s="245"/>
      <c r="D1313" s="26"/>
      <c r="E1313" s="26"/>
      <c r="F1313" s="26"/>
      <c r="G1313" s="26"/>
      <c r="H1313" s="5"/>
    </row>
    <row r="1314" spans="1:46" ht="14.25" customHeight="1">
      <c r="C1314" s="245"/>
      <c r="D1314" s="26"/>
      <c r="E1314" s="26"/>
      <c r="F1314" s="26"/>
      <c r="G1314" s="26"/>
      <c r="H1314" s="5"/>
    </row>
    <row r="1315" spans="1:46" ht="14.25" customHeight="1">
      <c r="C1315" s="245"/>
      <c r="D1315" s="26"/>
      <c r="E1315" s="26"/>
      <c r="F1315" s="26"/>
      <c r="G1315" s="26"/>
      <c r="H1315" s="5"/>
    </row>
    <row r="1316" spans="1:46" ht="14.25" customHeight="1">
      <c r="C1316" s="245"/>
      <c r="D1316" s="26"/>
      <c r="E1316" s="26"/>
      <c r="F1316" s="26"/>
      <c r="G1316" s="26"/>
      <c r="H1316" s="5"/>
    </row>
    <row r="1317" spans="1:46" ht="14.25" customHeight="1">
      <c r="C1317" s="245"/>
      <c r="D1317" s="26"/>
      <c r="E1317" s="26"/>
      <c r="F1317" s="26"/>
      <c r="G1317" s="26"/>
      <c r="H1317" s="5"/>
    </row>
    <row r="1318" spans="1:46" s="8" customFormat="1">
      <c r="B1318" s="518" t="str">
        <f>TITLE!C26</f>
        <v>Полотна збірні: ЛІНДА</v>
      </c>
      <c r="C1318" s="518"/>
      <c r="D1318" s="118"/>
      <c r="E1318" s="118"/>
      <c r="F1318" s="118"/>
      <c r="G1318" s="118"/>
      <c r="H1318" s="520"/>
      <c r="I1318" s="520"/>
      <c r="J1318" s="121"/>
      <c r="K1318" s="121"/>
      <c r="L1318" s="121"/>
      <c r="M1318" s="121"/>
      <c r="N1318" s="121"/>
      <c r="O1318" s="121"/>
      <c r="P1318" s="121"/>
      <c r="Q1318" s="121"/>
      <c r="R1318" s="121"/>
      <c r="S1318" s="121"/>
      <c r="T1318" s="529" t="str">
        <f>IF($C$1="ENG",CONCATENATE("up to: ",B1241),CONCATENATE("вгору до: ",B1241))</f>
        <v>вгору до: Полотна збірні: ЛАДА-ЛОФТ</v>
      </c>
      <c r="U1318" s="529"/>
      <c r="V1318" s="529"/>
      <c r="W1318" s="529"/>
      <c r="AN1318" s="280"/>
      <c r="AO1318" s="280"/>
      <c r="AP1318" s="280"/>
      <c r="AQ1318" s="280"/>
      <c r="AR1318" s="280"/>
      <c r="AS1318" s="280"/>
      <c r="AT1318" s="280"/>
    </row>
    <row r="1319" spans="1:46" s="8" customFormat="1" ht="5.0999999999999996" customHeight="1">
      <c r="B1319" s="117"/>
      <c r="C1319" s="419"/>
      <c r="D1319" s="9"/>
      <c r="E1319" s="9"/>
      <c r="F1319" s="9"/>
      <c r="G1319" s="9"/>
      <c r="H1319" s="120"/>
      <c r="I1319" s="120"/>
      <c r="T1319" s="115"/>
      <c r="U1319" s="115"/>
      <c r="V1319" s="115"/>
      <c r="W1319" s="115"/>
      <c r="AN1319" s="280"/>
      <c r="AO1319" s="280"/>
      <c r="AP1319" s="280"/>
      <c r="AQ1319" s="280"/>
      <c r="AR1319" s="280"/>
      <c r="AS1319" s="280"/>
      <c r="AT1319" s="280"/>
    </row>
    <row r="1320" spans="1:46" s="8" customFormat="1" ht="12.75" customHeight="1">
      <c r="B1320" s="536" t="str">
        <f>IF($C$1="ENG","model","модель")</f>
        <v>модель</v>
      </c>
      <c r="C1320" s="122" t="str">
        <f>IF($C$1="ENG","cover:","покриття:")</f>
        <v>покриття:</v>
      </c>
      <c r="D1320" s="522" t="str">
        <f>IF($C$1="ENG","Verto-CELL","Verto-CELL")</f>
        <v>Verto-CELL</v>
      </c>
      <c r="E1320" s="524"/>
      <c r="F1320" s="522" t="str">
        <f>IF($C$1="ENG","UNI-MAT","UNI-MAT")</f>
        <v>UNI-MAT</v>
      </c>
      <c r="G1320" s="524"/>
      <c r="H1320" s="522" t="str">
        <f>IF($C$1="ENG","RESIST","RESIST")</f>
        <v>RESIST</v>
      </c>
      <c r="I1320" s="524"/>
      <c r="J1320" s="522" t="str">
        <f>IF($C$1="ENG","Verto LINE-3D","Verto LINE-3D")</f>
        <v>Verto LINE-3D</v>
      </c>
      <c r="K1320" s="524"/>
      <c r="L1320" s="522" t="str">
        <f>IF($C$1="ENG","ECO Shpon","ЕКО Шпон")</f>
        <v>ЕКО Шпон</v>
      </c>
      <c r="M1320" s="524"/>
      <c r="P1320" s="1"/>
      <c r="Q1320" s="1"/>
      <c r="T1320" s="115"/>
      <c r="U1320" s="115"/>
      <c r="V1320" s="115"/>
      <c r="W1320" s="115"/>
      <c r="AN1320" s="280"/>
      <c r="AO1320" s="280"/>
      <c r="AP1320" s="280"/>
      <c r="AQ1320" s="280"/>
      <c r="AR1320" s="280"/>
      <c r="AS1320" s="280"/>
      <c r="AT1320" s="280"/>
    </row>
    <row r="1321" spans="1:46" s="8" customFormat="1" ht="24.75" customHeight="1">
      <c r="B1321" s="537"/>
      <c r="C1321" s="123" t="str">
        <f>IF($C$1="ENG","filling:","заповнення:")</f>
        <v>заповнення:</v>
      </c>
      <c r="D1321" s="527" t="str">
        <f>IF($C$1="ENG","softwood","клеєний сосновий брус")</f>
        <v>клеєний сосновий брус</v>
      </c>
      <c r="E1321" s="528"/>
      <c r="F1321" s="527" t="str">
        <f>IF($C$1="ENG","softwood","клеєний сосновий брус")</f>
        <v>клеєний сосновий брус</v>
      </c>
      <c r="G1321" s="528"/>
      <c r="H1321" s="527" t="str">
        <f>IF($C$1="ENG","softwood","клеєний сосновий брус")</f>
        <v>клеєний сосновий брус</v>
      </c>
      <c r="I1321" s="528"/>
      <c r="J1321" s="527" t="str">
        <f>IF($C$1="ENG","softwood","клеєний сосновий брус")</f>
        <v>клеєний сосновий брус</v>
      </c>
      <c r="K1321" s="528"/>
      <c r="L1321" s="527" t="str">
        <f>IF($C$1="ENG","softwood","клеєний сосновий брус")</f>
        <v>клеєний сосновий брус</v>
      </c>
      <c r="M1321" s="528"/>
      <c r="P1321" s="1"/>
      <c r="Q1321" s="1"/>
      <c r="T1321" s="115"/>
      <c r="U1321" s="115"/>
      <c r="V1321" s="115"/>
      <c r="W1321" s="115"/>
      <c r="AD1321" s="382">
        <f>AD1323/AC1323-1</f>
        <v>0.13961038961038952</v>
      </c>
      <c r="AE1321" s="382">
        <f>AE1323/AD1323-1</f>
        <v>4.2735042735042805E-2</v>
      </c>
      <c r="AF1321" s="382">
        <f>AF1323/AE1323-1</f>
        <v>7.5136612021857951E-2</v>
      </c>
      <c r="AG1321" s="382">
        <f>AG1323/AF1323-1</f>
        <v>5.2096569250317692E-2</v>
      </c>
      <c r="AN1321" s="280"/>
      <c r="AO1321" s="280"/>
      <c r="AP1321" s="280"/>
      <c r="AQ1321" s="280"/>
      <c r="AR1321" s="280"/>
      <c r="AS1321" s="280"/>
      <c r="AT1321" s="280"/>
    </row>
    <row r="1322" spans="1:46" ht="12.75" customHeight="1">
      <c r="A1322" s="8"/>
      <c r="B1322" s="538"/>
      <c r="C1322" s="124" t="str">
        <f>IF($C$1="ENG","glazing:","скління:")</f>
        <v>скління:</v>
      </c>
      <c r="D1322" s="513" t="str">
        <f>IF($C$1="ENG","Satin","Сатин")</f>
        <v>Сатин</v>
      </c>
      <c r="E1322" s="516"/>
      <c r="F1322" s="513" t="str">
        <f>IF($C$1="ENG","Satin","Сатин")</f>
        <v>Сатин</v>
      </c>
      <c r="G1322" s="516"/>
      <c r="H1322" s="513" t="str">
        <f>IF($C$1="ENG","Satin","Сатин")</f>
        <v>Сатин</v>
      </c>
      <c r="I1322" s="516"/>
      <c r="J1322" s="513" t="str">
        <f>IF($C$1="ENG","Satin","Сатин")</f>
        <v>Сатин</v>
      </c>
      <c r="K1322" s="516"/>
      <c r="L1322" s="513" t="str">
        <f>IF($C$1="ENG","Satin","Сатин")</f>
        <v>Сатин</v>
      </c>
      <c r="M1322" s="516"/>
    </row>
    <row r="1323" spans="1:46" ht="35.1" customHeight="1">
      <c r="A1323" s="8"/>
      <c r="B1323" s="16" t="s">
        <v>49</v>
      </c>
      <c r="C1323" s="17"/>
      <c r="D1323" s="18">
        <f>IF(AC1323="","",(1-$W$2)*(AC1323/1.2))</f>
        <v>5133.3333333333339</v>
      </c>
      <c r="E1323" s="66">
        <f>IF($W$5=0.2,D1323*1.2,D1323)/$W$4</f>
        <v>6160.0000000000009</v>
      </c>
      <c r="F1323" s="18">
        <f>IF(AD1323="","",(1-$W$2)*(AD1323/1.2))</f>
        <v>5850</v>
      </c>
      <c r="G1323" s="66">
        <f>IF($W$5=0.2,F1323*1.2,F1323)/$W$4</f>
        <v>7020</v>
      </c>
      <c r="H1323" s="18">
        <f>IF(AE1323="","",(1-$W$2)*(AE1323/1.2))</f>
        <v>6100</v>
      </c>
      <c r="I1323" s="66">
        <f>IF($W$5=0.2,H1323*1.2,H1323)/$W$4</f>
        <v>7320</v>
      </c>
      <c r="J1323" s="18">
        <f>IF(AF1323="","",(1-$W$2)*(AF1323/1.2))</f>
        <v>6558.3333333333339</v>
      </c>
      <c r="K1323" s="66">
        <f>IF($W$5=0.2,J1323*1.2,J1323)/$W$4</f>
        <v>7870</v>
      </c>
      <c r="L1323" s="18">
        <f>IF(AG1323="","",(1-$W$2)*(AG1323/1.2))</f>
        <v>6900</v>
      </c>
      <c r="M1323" s="66">
        <f>IF($W$5=0.2,L1323*1.2,L1323)/$W$4</f>
        <v>8280</v>
      </c>
      <c r="N1323" s="104"/>
      <c r="R1323" s="104"/>
      <c r="T1323" s="104"/>
      <c r="U1323" s="20"/>
      <c r="V1323" s="104"/>
      <c r="W1323" s="20"/>
      <c r="X1323" s="104"/>
      <c r="Y1323" s="104"/>
      <c r="Z1323" s="104"/>
      <c r="AA1323" s="104"/>
      <c r="AB1323" s="104"/>
      <c r="AC1323" s="332">
        <v>6160</v>
      </c>
      <c r="AD1323" s="390">
        <v>7020</v>
      </c>
      <c r="AE1323" s="332">
        <v>7320</v>
      </c>
      <c r="AF1323" s="332">
        <v>7870</v>
      </c>
      <c r="AG1323" s="332">
        <v>8280</v>
      </c>
      <c r="AH1323" s="289">
        <v>6160</v>
      </c>
      <c r="AI1323" s="289">
        <f>AH1323/AC1323-1</f>
        <v>0</v>
      </c>
      <c r="AJ1323" s="289">
        <v>7020</v>
      </c>
      <c r="AK1323" s="289">
        <f>AJ1323/AD1323-1</f>
        <v>0</v>
      </c>
      <c r="AL1323" s="289">
        <v>7320</v>
      </c>
      <c r="AM1323" s="289">
        <f>AL1323/AE1323-1</f>
        <v>0</v>
      </c>
      <c r="AN1323" s="289">
        <v>7870</v>
      </c>
      <c r="AO1323" s="289">
        <f>AN1323/AF1323-1</f>
        <v>0</v>
      </c>
      <c r="AP1323" s="289">
        <v>8280</v>
      </c>
      <c r="AQ1323" s="289">
        <f>AP1323/AG1323-1</f>
        <v>0</v>
      </c>
    </row>
    <row r="1324" spans="1:46" ht="35.1" customHeight="1">
      <c r="A1324" s="8"/>
      <c r="B1324" s="23" t="s">
        <v>50</v>
      </c>
      <c r="C1324" s="24"/>
      <c r="D1324" s="25">
        <f>IF(AC1324="","",(1-$W$2)*(AC1324/1.2))</f>
        <v>5133.3333333333339</v>
      </c>
      <c r="E1324" s="69">
        <f>IF($W$5=0.2,D1324*1.2,D1324)/$W$4</f>
        <v>6160.0000000000009</v>
      </c>
      <c r="F1324" s="25">
        <f>IF(AD1324="","",(1-$W$2)*(AD1324/1.2))</f>
        <v>5850</v>
      </c>
      <c r="G1324" s="69">
        <f>IF($W$5=0.2,F1324*1.2,F1324)/$W$4</f>
        <v>7020</v>
      </c>
      <c r="H1324" s="25">
        <f>IF(AE1324="","",(1-$W$2)*(AE1324/1.2))</f>
        <v>6100</v>
      </c>
      <c r="I1324" s="69">
        <f>IF($W$5=0.2,H1324*1.2,H1324)/$W$4</f>
        <v>7320</v>
      </c>
      <c r="J1324" s="25">
        <f>IF(AF1324="","",(1-$W$2)*(AF1324/1.2))</f>
        <v>6558.3333333333339</v>
      </c>
      <c r="K1324" s="69">
        <f>IF($W$5=0.2,J1324*1.2,J1324)/$W$4</f>
        <v>7870</v>
      </c>
      <c r="L1324" s="25">
        <f>IF(AG1324="","",(1-$W$2)*(AG1324/1.2))</f>
        <v>6900</v>
      </c>
      <c r="M1324" s="69">
        <f>IF($W$5=0.2,L1324*1.2,L1324)/$W$4</f>
        <v>8280</v>
      </c>
      <c r="N1324" s="104"/>
      <c r="R1324" s="104"/>
      <c r="T1324" s="104"/>
      <c r="U1324" s="20"/>
      <c r="V1324" s="104"/>
      <c r="W1324" s="20"/>
      <c r="X1324" s="104"/>
      <c r="Y1324" s="104"/>
      <c r="Z1324" s="104"/>
      <c r="AA1324" s="104"/>
      <c r="AB1324" s="104"/>
      <c r="AC1324" s="332">
        <v>6160</v>
      </c>
      <c r="AD1324" s="390">
        <v>7020</v>
      </c>
      <c r="AE1324" s="332">
        <v>7320</v>
      </c>
      <c r="AF1324" s="332">
        <v>7870</v>
      </c>
      <c r="AG1324" s="332">
        <v>8280</v>
      </c>
      <c r="AH1324" s="289">
        <v>6160</v>
      </c>
      <c r="AI1324" s="289">
        <f>AH1324/AC1324-1</f>
        <v>0</v>
      </c>
      <c r="AJ1324" s="289">
        <v>7020</v>
      </c>
      <c r="AK1324" s="289">
        <f>AJ1324/AD1324-1</f>
        <v>0</v>
      </c>
      <c r="AL1324" s="289">
        <v>7320</v>
      </c>
      <c r="AM1324" s="289">
        <f>AL1324/AE1324-1</f>
        <v>0</v>
      </c>
      <c r="AN1324" s="289">
        <v>7870</v>
      </c>
      <c r="AO1324" s="289">
        <f>AN1324/AF1324-1</f>
        <v>0</v>
      </c>
      <c r="AP1324" s="289">
        <v>8280</v>
      </c>
      <c r="AQ1324" s="289">
        <f>AP1324/AG1324-1</f>
        <v>0</v>
      </c>
    </row>
    <row r="1325" spans="1:46">
      <c r="C1325" s="245"/>
      <c r="D1325" s="26"/>
      <c r="E1325" s="57"/>
      <c r="F1325" s="26"/>
      <c r="G1325" s="57"/>
      <c r="H1325" s="10"/>
      <c r="I1325" s="8"/>
      <c r="J1325" s="8"/>
      <c r="K1325" s="8"/>
    </row>
    <row r="1326" spans="1:46">
      <c r="B1326" s="212" t="str">
        <f>IF($C$1="ENG","For additonal charge:","Послуги за додаткову плату:")</f>
        <v>Послуги за додаткову плату:</v>
      </c>
      <c r="C1326" s="420"/>
      <c r="D1326" s="213"/>
      <c r="E1326" s="214"/>
      <c r="F1326" s="26"/>
      <c r="G1326" s="57"/>
      <c r="H1326" s="10"/>
      <c r="I1326" s="8"/>
      <c r="J1326" s="8"/>
      <c r="K1326" s="8"/>
    </row>
    <row r="1327" spans="1:46" ht="5.0999999999999996" customHeight="1">
      <c r="B1327" s="27"/>
      <c r="C1327" s="245"/>
      <c r="D1327" s="26"/>
      <c r="E1327" s="57"/>
      <c r="F1327" s="26"/>
      <c r="G1327" s="57"/>
      <c r="H1327" s="10"/>
      <c r="I1327" s="8"/>
      <c r="J1327" s="8"/>
      <c r="K1327" s="8"/>
    </row>
    <row r="1328" spans="1:46">
      <c r="B1328" s="539" t="str">
        <f>IF($C$1="ENG","door leaf with width 100","полотно розміром 100")</f>
        <v>полотно розміром 100</v>
      </c>
      <c r="C1328" s="540"/>
      <c r="D1328" s="409">
        <f t="shared" ref="D1328:D1339" si="190">IF(AC1328="","",(1-$W$2)*(AC1328/1.2))</f>
        <v>600</v>
      </c>
      <c r="E1328" s="92">
        <f t="shared" ref="E1328:E1338" si="191">IF($W$5=0.2,D1328*1.2,D1328)/$W$4</f>
        <v>720</v>
      </c>
      <c r="F1328" s="26"/>
      <c r="G1328" s="26"/>
      <c r="H1328" s="10"/>
      <c r="I1328" s="8"/>
      <c r="J1328" s="8"/>
      <c r="K1328" s="8"/>
      <c r="AC1328" s="289">
        <v>720</v>
      </c>
      <c r="AD1328" s="289">
        <v>720</v>
      </c>
      <c r="AE1328" s="289"/>
      <c r="AF1328" s="289"/>
      <c r="AG1328" s="289"/>
      <c r="AH1328" s="289"/>
      <c r="AI1328" s="289"/>
      <c r="AJ1328" s="289"/>
      <c r="AK1328" s="289"/>
      <c r="AL1328" s="289"/>
    </row>
    <row r="1329" spans="2:38">
      <c r="B1329" s="539" t="str">
        <f>IF($C$1="ENG","Ventilation cut","вентиляційний підріз")</f>
        <v>вентиляційний підріз</v>
      </c>
      <c r="C1329" s="540"/>
      <c r="D1329" s="404">
        <f t="shared" si="190"/>
        <v>141.66666666666669</v>
      </c>
      <c r="E1329" s="66">
        <f t="shared" si="191"/>
        <v>170.00000000000003</v>
      </c>
      <c r="F1329" s="26"/>
      <c r="G1329" s="26"/>
      <c r="I1329" s="59"/>
      <c r="J1329" s="28"/>
      <c r="AC1329" s="289">
        <v>170</v>
      </c>
      <c r="AD1329" s="289">
        <v>170</v>
      </c>
      <c r="AE1329" s="289"/>
      <c r="AF1329" s="289"/>
      <c r="AG1329" s="289"/>
      <c r="AH1329" s="289"/>
      <c r="AI1329" s="289"/>
      <c r="AJ1329" s="289"/>
      <c r="AK1329" s="289"/>
      <c r="AL1329" s="289"/>
    </row>
    <row r="1330" spans="2:38">
      <c r="B1330" s="532" t="str">
        <f>IF($C$1="ENG","glazing Graphite / Bronze","скло Графіт / Бронза")</f>
        <v>скло Графіт / Бронза</v>
      </c>
      <c r="C1330" s="533"/>
      <c r="D1330" s="406">
        <f t="shared" si="190"/>
        <v>458.33333333333337</v>
      </c>
      <c r="E1330" s="93">
        <f t="shared" si="191"/>
        <v>550</v>
      </c>
      <c r="F1330" s="26"/>
      <c r="G1330" s="26"/>
      <c r="H1330" s="5"/>
      <c r="AC1330" s="289">
        <v>550</v>
      </c>
      <c r="AD1330" s="289">
        <v>550</v>
      </c>
      <c r="AE1330" s="289"/>
      <c r="AF1330" s="289"/>
      <c r="AG1330" s="289"/>
      <c r="AH1330" s="289"/>
      <c r="AI1330" s="289"/>
      <c r="AJ1330" s="289"/>
      <c r="AK1330" s="289"/>
      <c r="AL1330" s="289"/>
    </row>
    <row r="1331" spans="2:38">
      <c r="B1331" s="532" t="str">
        <f>IF($C$1="ENG","door lock Soft","замок Soft")</f>
        <v>замок Soft</v>
      </c>
      <c r="C1331" s="533"/>
      <c r="D1331" s="406">
        <f t="shared" si="190"/>
        <v>458.33333333333337</v>
      </c>
      <c r="E1331" s="93">
        <f t="shared" si="191"/>
        <v>550</v>
      </c>
      <c r="F1331" s="26"/>
      <c r="G1331" s="26"/>
      <c r="H1331" s="5"/>
      <c r="AC1331" s="289">
        <v>550</v>
      </c>
      <c r="AD1331" s="289">
        <v>550</v>
      </c>
      <c r="AE1331" s="289"/>
      <c r="AF1331" s="289"/>
      <c r="AG1331" s="289"/>
      <c r="AH1331" s="289"/>
      <c r="AI1331" s="289"/>
      <c r="AJ1331" s="289"/>
      <c r="AK1331" s="289"/>
      <c r="AL1331" s="289"/>
    </row>
    <row r="1332" spans="2:38">
      <c r="B1332" s="532" t="str">
        <f>IF($C$1="ENG","door lock Soft black","замок Soft чорн.")</f>
        <v>замок Soft чорн.</v>
      </c>
      <c r="C1332" s="533"/>
      <c r="D1332" s="406">
        <f t="shared" ref="D1332" si="192">IF(AC1332="","",(1-$W$2)*(AC1332/1.2))</f>
        <v>566.66666666666674</v>
      </c>
      <c r="E1332" s="93">
        <f t="shared" ref="E1332" si="193">IF($W$5=0.2,D1332*1.2,D1332)/$W$4</f>
        <v>680.00000000000011</v>
      </c>
      <c r="F1332" s="26"/>
      <c r="G1332" s="26"/>
      <c r="H1332" s="5"/>
      <c r="AC1332" s="289">
        <v>680</v>
      </c>
      <c r="AD1332" s="289"/>
      <c r="AE1332" s="289"/>
      <c r="AF1332" s="289"/>
      <c r="AG1332" s="289"/>
      <c r="AH1332" s="289"/>
      <c r="AI1332" s="289"/>
      <c r="AJ1332" s="289"/>
      <c r="AK1332" s="289"/>
      <c r="AL1332" s="289"/>
    </row>
    <row r="1333" spans="2:38">
      <c r="B1333" s="532" t="str">
        <f>IF($C$1="ENG","door lock Magnet","замок Magnet")</f>
        <v>замок Magnet</v>
      </c>
      <c r="C1333" s="533"/>
      <c r="D1333" s="406">
        <f t="shared" si="190"/>
        <v>666.66666666666674</v>
      </c>
      <c r="E1333" s="93">
        <f t="shared" si="191"/>
        <v>800.00000000000011</v>
      </c>
      <c r="F1333" s="26"/>
      <c r="G1333" s="26"/>
      <c r="H1333" s="5"/>
      <c r="AC1333" s="289">
        <v>800</v>
      </c>
      <c r="AD1333" s="289">
        <v>800</v>
      </c>
      <c r="AE1333" s="289"/>
      <c r="AF1333" s="289"/>
      <c r="AG1333" s="289"/>
      <c r="AH1333" s="289"/>
      <c r="AI1333" s="289"/>
      <c r="AJ1333" s="289"/>
      <c r="AK1333" s="289"/>
      <c r="AL1333" s="289"/>
    </row>
    <row r="1334" spans="2:38">
      <c r="B1334" s="532" t="s">
        <v>75</v>
      </c>
      <c r="C1334" s="533"/>
      <c r="D1334" s="406">
        <f t="shared" si="190"/>
        <v>833.33333333333337</v>
      </c>
      <c r="E1334" s="93">
        <f t="shared" si="191"/>
        <v>1000</v>
      </c>
      <c r="F1334" s="26"/>
      <c r="G1334" s="26"/>
      <c r="H1334" s="5"/>
      <c r="AC1334" s="289">
        <v>1000</v>
      </c>
      <c r="AD1334" s="289"/>
      <c r="AE1334" s="289"/>
      <c r="AF1334" s="289"/>
      <c r="AG1334" s="289"/>
      <c r="AH1334" s="289"/>
      <c r="AI1334" s="289"/>
      <c r="AJ1334" s="289"/>
      <c r="AK1334" s="289"/>
      <c r="AL1334" s="289"/>
    </row>
    <row r="1335" spans="2:38">
      <c r="B1335" s="532" t="str">
        <f>IF($C$1="ENG","door handle-lock (for sliding doors)","ручка-замок (для дверей купе)")</f>
        <v>ручка-замок (для дверей купе)</v>
      </c>
      <c r="C1335" s="533"/>
      <c r="D1335" s="404">
        <f t="shared" si="190"/>
        <v>466.66666666666669</v>
      </c>
      <c r="E1335" s="93">
        <f t="shared" si="191"/>
        <v>560</v>
      </c>
      <c r="F1335" s="26"/>
      <c r="G1335" s="26"/>
      <c r="I1335" s="11"/>
      <c r="J1335" s="11"/>
      <c r="K1335" s="19"/>
      <c r="AC1335" s="289">
        <v>560</v>
      </c>
      <c r="AD1335" s="289">
        <v>560</v>
      </c>
      <c r="AE1335" s="289"/>
      <c r="AF1335" s="289"/>
      <c r="AG1335" s="289"/>
      <c r="AH1335" s="289"/>
      <c r="AI1335" s="289"/>
      <c r="AJ1335" s="289"/>
      <c r="AK1335" s="289"/>
      <c r="AL1335" s="289"/>
    </row>
    <row r="1336" spans="2:38">
      <c r="B1336" s="532" t="str">
        <f>IF($C$1="ENG","cylinder incert","циліндр несиметричний")</f>
        <v>циліндр несиметричний</v>
      </c>
      <c r="C1336" s="533"/>
      <c r="D1336" s="404">
        <f t="shared" si="190"/>
        <v>316.66666666666669</v>
      </c>
      <c r="E1336" s="93">
        <f t="shared" si="191"/>
        <v>380</v>
      </c>
      <c r="F1336" s="26"/>
      <c r="G1336" s="26"/>
      <c r="AC1336" s="289">
        <v>380</v>
      </c>
      <c r="AD1336" s="289">
        <v>380</v>
      </c>
      <c r="AE1336" s="289"/>
      <c r="AF1336" s="289"/>
      <c r="AG1336" s="289"/>
      <c r="AH1336" s="289"/>
      <c r="AI1336" s="289"/>
      <c r="AJ1336" s="289"/>
      <c r="AK1336" s="289"/>
      <c r="AL1336" s="289"/>
    </row>
    <row r="1337" spans="2:38">
      <c r="B1337" s="532" t="str">
        <f>IF($C$1="ENG","door hindge Prestige (1 unit)","завіса Prestige (1 шт)")</f>
        <v>завіса Prestige (1 шт)</v>
      </c>
      <c r="C1337" s="533"/>
      <c r="D1337" s="407">
        <f t="shared" si="190"/>
        <v>216.66666666666669</v>
      </c>
      <c r="E1337" s="93">
        <f t="shared" si="191"/>
        <v>260</v>
      </c>
      <c r="F1337" s="26"/>
      <c r="G1337" s="26"/>
      <c r="AC1337" s="289">
        <v>260</v>
      </c>
      <c r="AD1337" s="289">
        <v>260</v>
      </c>
      <c r="AE1337" s="289"/>
      <c r="AF1337" s="289"/>
      <c r="AG1337" s="289"/>
      <c r="AH1337" s="289"/>
      <c r="AI1337" s="289"/>
      <c r="AJ1337" s="289"/>
      <c r="AK1337" s="289"/>
      <c r="AL1337" s="289"/>
    </row>
    <row r="1338" spans="2:38">
      <c r="B1338" s="532" t="str">
        <f>IF($C$1="ENG","door hinge caps (1 set)","накладка на завіси (1 к-т)")</f>
        <v>накладка на завіси (1 к-т)</v>
      </c>
      <c r="C1338" s="533"/>
      <c r="D1338" s="407">
        <f t="shared" si="190"/>
        <v>66.666666666666671</v>
      </c>
      <c r="E1338" s="93">
        <f t="shared" si="191"/>
        <v>80</v>
      </c>
      <c r="F1338" s="26"/>
      <c r="G1338" s="26"/>
      <c r="AC1338" s="289">
        <v>80</v>
      </c>
      <c r="AD1338" s="289">
        <v>80</v>
      </c>
      <c r="AE1338" s="289"/>
      <c r="AF1338" s="289"/>
      <c r="AG1338" s="289"/>
      <c r="AH1338" s="289"/>
      <c r="AI1338" s="289"/>
      <c r="AJ1338" s="289"/>
      <c r="AK1338" s="289"/>
      <c r="AL1338" s="289"/>
    </row>
    <row r="1339" spans="2:38">
      <c r="B1339" s="532" t="str">
        <f>IF($C$1="ENG","door handle","дверна ручка")</f>
        <v>дверна ручка</v>
      </c>
      <c r="C1339" s="533"/>
      <c r="D1339" s="408" t="str">
        <f t="shared" si="190"/>
        <v/>
      </c>
      <c r="E1339" s="247" t="str">
        <f>IF($C$1="ENG","see Handles Price","див. Таблицю Ручки")</f>
        <v>див. Таблицю Ручки</v>
      </c>
      <c r="F1339" s="26"/>
      <c r="G1339" s="26"/>
      <c r="AC1339" s="289"/>
      <c r="AD1339" s="289"/>
      <c r="AE1339" s="289"/>
      <c r="AF1339" s="289"/>
      <c r="AG1339" s="289"/>
      <c r="AH1339" s="289"/>
      <c r="AI1339" s="289"/>
      <c r="AJ1339" s="289"/>
      <c r="AK1339" s="289"/>
      <c r="AL1339" s="289"/>
    </row>
    <row r="1340" spans="2:38" ht="14.25" customHeight="1">
      <c r="C1340" s="245"/>
      <c r="D1340" s="26"/>
      <c r="E1340" s="26"/>
      <c r="F1340" s="26"/>
      <c r="G1340" s="26"/>
      <c r="H1340" s="5"/>
      <c r="U1340" s="525" t="str">
        <f>IF($C$1="ENG",CONCATENATE("down to: ",B1390),CONCATENATE("вниз до: ",B1390))</f>
        <v>вниз до: Полотна збірні: ТІАНА</v>
      </c>
      <c r="V1340" s="525"/>
      <c r="W1340" s="525"/>
    </row>
    <row r="1341" spans="2:38" ht="14.25" customHeight="1">
      <c r="C1341" s="245"/>
      <c r="D1341" s="26"/>
      <c r="E1341" s="26"/>
      <c r="F1341" s="26"/>
      <c r="G1341" s="26"/>
      <c r="H1341" s="5"/>
    </row>
    <row r="1342" spans="2:38" ht="14.25" customHeight="1">
      <c r="C1342" s="245"/>
      <c r="D1342" s="26"/>
      <c r="E1342" s="26"/>
      <c r="F1342" s="26"/>
      <c r="G1342" s="26"/>
      <c r="H1342" s="5"/>
    </row>
    <row r="1343" spans="2:38" ht="14.25" customHeight="1">
      <c r="C1343" s="245"/>
      <c r="D1343" s="26"/>
      <c r="E1343" s="26"/>
      <c r="F1343" s="26"/>
      <c r="G1343" s="26"/>
      <c r="H1343" s="5"/>
    </row>
    <row r="1344" spans="2:38" ht="14.25" customHeight="1">
      <c r="C1344" s="245"/>
      <c r="D1344" s="26"/>
      <c r="E1344" s="26"/>
      <c r="F1344" s="26"/>
      <c r="G1344" s="26"/>
      <c r="H1344" s="5"/>
    </row>
    <row r="1345" spans="3:8" ht="14.25" customHeight="1">
      <c r="C1345" s="245"/>
      <c r="D1345" s="26"/>
      <c r="E1345" s="26"/>
      <c r="F1345" s="26"/>
      <c r="G1345" s="26"/>
      <c r="H1345" s="5"/>
    </row>
    <row r="1346" spans="3:8" ht="14.25" customHeight="1">
      <c r="C1346" s="245"/>
      <c r="D1346" s="26"/>
      <c r="E1346" s="26"/>
      <c r="F1346" s="26"/>
      <c r="G1346" s="26"/>
      <c r="H1346" s="5"/>
    </row>
    <row r="1347" spans="3:8" ht="14.25" customHeight="1">
      <c r="C1347" s="245"/>
      <c r="D1347" s="26"/>
      <c r="E1347" s="26"/>
      <c r="F1347" s="26"/>
      <c r="G1347" s="26"/>
      <c r="H1347" s="5"/>
    </row>
    <row r="1348" spans="3:8" ht="14.25" customHeight="1">
      <c r="C1348" s="245"/>
      <c r="D1348" s="26"/>
      <c r="E1348" s="26"/>
      <c r="F1348" s="26"/>
      <c r="G1348" s="26"/>
      <c r="H1348" s="5"/>
    </row>
    <row r="1349" spans="3:8" ht="14.25" customHeight="1">
      <c r="C1349" s="245"/>
      <c r="D1349" s="26"/>
      <c r="E1349" s="26"/>
      <c r="F1349" s="26"/>
      <c r="G1349" s="26"/>
      <c r="H1349" s="5"/>
    </row>
    <row r="1350" spans="3:8" ht="14.25" customHeight="1">
      <c r="C1350" s="245"/>
      <c r="D1350" s="26"/>
      <c r="E1350" s="26"/>
      <c r="F1350" s="26"/>
      <c r="G1350" s="26"/>
      <c r="H1350" s="5"/>
    </row>
    <row r="1351" spans="3:8" ht="14.25" customHeight="1">
      <c r="C1351" s="245"/>
      <c r="D1351" s="26"/>
      <c r="E1351" s="26"/>
      <c r="F1351" s="26"/>
      <c r="G1351" s="26"/>
      <c r="H1351" s="5"/>
    </row>
    <row r="1352" spans="3:8" ht="14.25" customHeight="1">
      <c r="C1352" s="245"/>
      <c r="D1352" s="26"/>
      <c r="E1352" s="26"/>
      <c r="F1352" s="26"/>
      <c r="G1352" s="26"/>
      <c r="H1352" s="5"/>
    </row>
    <row r="1353" spans="3:8" ht="14.25" customHeight="1">
      <c r="C1353" s="245"/>
      <c r="D1353" s="26"/>
      <c r="E1353" s="26"/>
      <c r="F1353" s="26"/>
      <c r="G1353" s="26"/>
      <c r="H1353" s="5"/>
    </row>
    <row r="1354" spans="3:8" ht="14.25" customHeight="1">
      <c r="C1354" s="245"/>
      <c r="D1354" s="26"/>
      <c r="E1354" s="26"/>
      <c r="F1354" s="26"/>
      <c r="G1354" s="26"/>
      <c r="H1354" s="5"/>
    </row>
    <row r="1355" spans="3:8" ht="14.25" customHeight="1">
      <c r="C1355" s="245"/>
      <c r="D1355" s="26"/>
      <c r="E1355" s="26"/>
      <c r="F1355" s="26"/>
      <c r="G1355" s="26"/>
      <c r="H1355" s="5"/>
    </row>
    <row r="1356" spans="3:8" ht="14.25" customHeight="1">
      <c r="C1356" s="245"/>
      <c r="D1356" s="26"/>
      <c r="E1356" s="26"/>
      <c r="F1356" s="26"/>
      <c r="G1356" s="26"/>
      <c r="H1356" s="5"/>
    </row>
    <row r="1357" spans="3:8" ht="14.25" customHeight="1">
      <c r="C1357" s="245"/>
      <c r="D1357" s="26"/>
      <c r="E1357" s="26"/>
      <c r="F1357" s="26"/>
      <c r="G1357" s="26"/>
      <c r="H1357" s="5"/>
    </row>
    <row r="1358" spans="3:8" ht="14.25" customHeight="1">
      <c r="C1358" s="245"/>
      <c r="D1358" s="26"/>
      <c r="E1358" s="26"/>
      <c r="F1358" s="26"/>
      <c r="G1358" s="26"/>
      <c r="H1358" s="5"/>
    </row>
    <row r="1359" spans="3:8" ht="14.25" customHeight="1">
      <c r="C1359" s="245"/>
      <c r="D1359" s="26"/>
      <c r="E1359" s="26"/>
      <c r="F1359" s="26"/>
      <c r="G1359" s="26"/>
      <c r="H1359" s="5"/>
    </row>
    <row r="1360" spans="3:8" ht="14.25" customHeight="1">
      <c r="C1360" s="245"/>
      <c r="D1360" s="26"/>
      <c r="E1360" s="26"/>
      <c r="F1360" s="26"/>
      <c r="G1360" s="26"/>
      <c r="H1360" s="5"/>
    </row>
    <row r="1361" spans="3:8" ht="14.25" customHeight="1">
      <c r="C1361" s="245"/>
      <c r="D1361" s="26"/>
      <c r="E1361" s="26"/>
      <c r="F1361" s="26"/>
      <c r="G1361" s="26"/>
      <c r="H1361" s="5"/>
    </row>
    <row r="1362" spans="3:8" ht="14.25" customHeight="1">
      <c r="C1362" s="245"/>
      <c r="D1362" s="26"/>
      <c r="E1362" s="26"/>
      <c r="F1362" s="26"/>
      <c r="G1362" s="26"/>
      <c r="H1362" s="5"/>
    </row>
    <row r="1363" spans="3:8" ht="14.25" customHeight="1">
      <c r="C1363" s="245"/>
      <c r="D1363" s="26"/>
      <c r="E1363" s="26"/>
      <c r="F1363" s="26"/>
      <c r="G1363" s="26"/>
      <c r="H1363" s="5"/>
    </row>
    <row r="1364" spans="3:8" ht="14.25" customHeight="1">
      <c r="C1364" s="245"/>
      <c r="D1364" s="26"/>
      <c r="E1364" s="26"/>
      <c r="F1364" s="26"/>
      <c r="G1364" s="26"/>
      <c r="H1364" s="5"/>
    </row>
    <row r="1365" spans="3:8" ht="14.25" customHeight="1">
      <c r="C1365" s="245"/>
      <c r="D1365" s="26"/>
      <c r="E1365" s="26"/>
      <c r="F1365" s="26"/>
      <c r="G1365" s="26"/>
      <c r="H1365" s="5"/>
    </row>
    <row r="1366" spans="3:8" ht="14.25" customHeight="1">
      <c r="C1366" s="245"/>
      <c r="D1366" s="26"/>
      <c r="E1366" s="26"/>
      <c r="F1366" s="26"/>
      <c r="G1366" s="26"/>
      <c r="H1366" s="5"/>
    </row>
    <row r="1367" spans="3:8" ht="14.25" customHeight="1">
      <c r="C1367" s="245"/>
      <c r="D1367" s="26"/>
      <c r="E1367" s="26"/>
      <c r="F1367" s="26"/>
      <c r="G1367" s="26"/>
      <c r="H1367" s="5"/>
    </row>
    <row r="1368" spans="3:8" ht="14.25" customHeight="1">
      <c r="C1368" s="245"/>
      <c r="D1368" s="26"/>
      <c r="E1368" s="26"/>
      <c r="F1368" s="26"/>
      <c r="G1368" s="26"/>
      <c r="H1368" s="5"/>
    </row>
    <row r="1369" spans="3:8" ht="14.25" customHeight="1">
      <c r="C1369" s="245"/>
      <c r="D1369" s="26"/>
      <c r="E1369" s="26"/>
      <c r="F1369" s="26"/>
      <c r="G1369" s="26"/>
      <c r="H1369" s="5"/>
    </row>
    <row r="1370" spans="3:8" ht="14.25" customHeight="1">
      <c r="C1370" s="245"/>
      <c r="D1370" s="26"/>
      <c r="E1370" s="26"/>
      <c r="F1370" s="26"/>
      <c r="G1370" s="26"/>
      <c r="H1370" s="5"/>
    </row>
    <row r="1371" spans="3:8" ht="14.25" customHeight="1">
      <c r="C1371" s="245"/>
      <c r="D1371" s="26"/>
      <c r="E1371" s="26"/>
      <c r="F1371" s="26"/>
      <c r="G1371" s="26"/>
      <c r="H1371" s="5"/>
    </row>
    <row r="1372" spans="3:8" ht="14.25" customHeight="1">
      <c r="C1372" s="245"/>
      <c r="D1372" s="26"/>
      <c r="E1372" s="26"/>
      <c r="F1372" s="26"/>
      <c r="G1372" s="26"/>
      <c r="H1372" s="5"/>
    </row>
    <row r="1373" spans="3:8" ht="14.25" customHeight="1">
      <c r="C1373" s="245"/>
      <c r="D1373" s="26"/>
      <c r="E1373" s="26"/>
      <c r="F1373" s="26"/>
      <c r="G1373" s="26"/>
      <c r="H1373" s="5"/>
    </row>
    <row r="1374" spans="3:8" ht="14.25" customHeight="1">
      <c r="C1374" s="245"/>
      <c r="D1374" s="26"/>
      <c r="E1374" s="26"/>
      <c r="F1374" s="26"/>
      <c r="G1374" s="26"/>
      <c r="H1374" s="5"/>
    </row>
    <row r="1375" spans="3:8" ht="14.25" customHeight="1">
      <c r="C1375" s="245"/>
      <c r="D1375" s="26"/>
      <c r="E1375" s="26"/>
      <c r="F1375" s="26"/>
      <c r="G1375" s="26"/>
      <c r="H1375" s="5"/>
    </row>
    <row r="1376" spans="3:8" ht="14.25" customHeight="1">
      <c r="C1376" s="245"/>
      <c r="D1376" s="26"/>
      <c r="E1376" s="26"/>
      <c r="F1376" s="26"/>
      <c r="G1376" s="26"/>
      <c r="H1376" s="5"/>
    </row>
    <row r="1377" spans="2:46" ht="14.25" customHeight="1">
      <c r="C1377" s="245"/>
      <c r="D1377" s="26"/>
      <c r="E1377" s="26"/>
      <c r="F1377" s="26"/>
      <c r="G1377" s="26"/>
      <c r="H1377" s="5"/>
    </row>
    <row r="1378" spans="2:46" ht="14.25" customHeight="1">
      <c r="C1378" s="245"/>
      <c r="D1378" s="26"/>
      <c r="E1378" s="26"/>
      <c r="F1378" s="26"/>
      <c r="G1378" s="26"/>
      <c r="H1378" s="5"/>
    </row>
    <row r="1379" spans="2:46" ht="14.25" customHeight="1">
      <c r="C1379" s="245"/>
      <c r="D1379" s="26"/>
      <c r="E1379" s="26"/>
      <c r="F1379" s="26"/>
      <c r="G1379" s="26"/>
      <c r="H1379" s="5"/>
    </row>
    <row r="1380" spans="2:46" ht="14.25" customHeight="1">
      <c r="C1380" s="245"/>
      <c r="D1380" s="26"/>
      <c r="E1380" s="26"/>
      <c r="F1380" s="26"/>
      <c r="G1380" s="26"/>
      <c r="H1380" s="5"/>
    </row>
    <row r="1381" spans="2:46" ht="14.25" customHeight="1">
      <c r="C1381" s="245"/>
      <c r="D1381" s="26"/>
      <c r="E1381" s="26"/>
      <c r="F1381" s="26"/>
      <c r="G1381" s="26"/>
      <c r="H1381" s="5"/>
    </row>
    <row r="1382" spans="2:46" ht="14.25" customHeight="1">
      <c r="C1382" s="245"/>
      <c r="D1382" s="26"/>
      <c r="E1382" s="26"/>
      <c r="F1382" s="26"/>
      <c r="G1382" s="26"/>
      <c r="H1382" s="5"/>
    </row>
    <row r="1383" spans="2:46" ht="14.25" customHeight="1">
      <c r="C1383" s="245"/>
      <c r="D1383" s="26"/>
      <c r="E1383" s="26"/>
      <c r="F1383" s="26"/>
      <c r="G1383" s="26"/>
      <c r="H1383" s="5"/>
    </row>
    <row r="1384" spans="2:46" ht="14.25" customHeight="1">
      <c r="C1384" s="245"/>
      <c r="D1384" s="26"/>
      <c r="E1384" s="26"/>
      <c r="F1384" s="26"/>
      <c r="G1384" s="26"/>
      <c r="H1384" s="5"/>
    </row>
    <row r="1385" spans="2:46" ht="14.25" customHeight="1">
      <c r="C1385" s="245"/>
      <c r="D1385" s="26"/>
      <c r="E1385" s="26"/>
      <c r="F1385" s="26"/>
      <c r="G1385" s="26"/>
      <c r="H1385" s="5"/>
    </row>
    <row r="1386" spans="2:46" ht="14.25" customHeight="1">
      <c r="C1386" s="245"/>
      <c r="D1386" s="26"/>
      <c r="E1386" s="26"/>
      <c r="F1386" s="26"/>
      <c r="G1386" s="26"/>
      <c r="H1386" s="5"/>
    </row>
    <row r="1387" spans="2:46" ht="14.25" customHeight="1">
      <c r="C1387" s="245"/>
      <c r="D1387" s="26"/>
      <c r="E1387" s="26"/>
      <c r="F1387" s="26"/>
      <c r="G1387" s="26"/>
      <c r="H1387" s="5"/>
    </row>
    <row r="1388" spans="2:46" ht="14.25" customHeight="1">
      <c r="C1388" s="245"/>
      <c r="D1388" s="26"/>
      <c r="E1388" s="26"/>
      <c r="F1388" s="26"/>
      <c r="G1388" s="26"/>
      <c r="H1388" s="5"/>
    </row>
    <row r="1389" spans="2:46" ht="14.25" customHeight="1">
      <c r="C1389" s="245"/>
      <c r="D1389" s="26"/>
      <c r="E1389" s="26"/>
      <c r="F1389" s="26"/>
      <c r="G1389" s="26"/>
      <c r="H1389" s="5"/>
    </row>
    <row r="1390" spans="2:46" s="8" customFormat="1">
      <c r="B1390" s="518" t="str">
        <f>TITLE!C27</f>
        <v>Полотна збірні: ТІАНА</v>
      </c>
      <c r="C1390" s="518"/>
      <c r="D1390" s="118"/>
      <c r="E1390" s="118"/>
      <c r="F1390" s="118"/>
      <c r="G1390" s="118"/>
      <c r="H1390" s="520"/>
      <c r="I1390" s="520"/>
      <c r="J1390" s="121"/>
      <c r="K1390" s="121"/>
      <c r="L1390" s="121"/>
      <c r="M1390" s="121"/>
      <c r="N1390" s="121"/>
      <c r="O1390" s="121"/>
      <c r="P1390" s="121"/>
      <c r="Q1390" s="121"/>
      <c r="R1390" s="121"/>
      <c r="S1390" s="121"/>
      <c r="T1390" s="529" t="str">
        <f>IF($C$1="ENG",CONCATENATE("up to: ",B1318),CONCATENATE("вгору до: ",B1318))</f>
        <v>вгору до: Полотна збірні: ЛІНДА</v>
      </c>
      <c r="U1390" s="529"/>
      <c r="V1390" s="529"/>
      <c r="W1390" s="529"/>
      <c r="AN1390" s="280"/>
      <c r="AO1390" s="280"/>
      <c r="AP1390" s="280"/>
      <c r="AQ1390" s="280"/>
      <c r="AR1390" s="280"/>
      <c r="AS1390" s="280"/>
      <c r="AT1390" s="280"/>
    </row>
    <row r="1391" spans="2:46" s="8" customFormat="1" ht="5.0999999999999996" customHeight="1">
      <c r="B1391" s="117"/>
      <c r="C1391" s="419"/>
      <c r="D1391" s="9"/>
      <c r="E1391" s="9"/>
      <c r="F1391" s="9"/>
      <c r="G1391" s="9"/>
      <c r="H1391" s="120"/>
      <c r="I1391" s="120"/>
      <c r="T1391" s="115"/>
      <c r="U1391" s="115"/>
      <c r="V1391" s="115"/>
      <c r="W1391" s="115"/>
      <c r="AN1391" s="280"/>
      <c r="AO1391" s="280"/>
      <c r="AP1391" s="280"/>
      <c r="AQ1391" s="280"/>
      <c r="AR1391" s="280"/>
      <c r="AS1391" s="280"/>
      <c r="AT1391" s="280"/>
    </row>
    <row r="1392" spans="2:46" s="8" customFormat="1" ht="12.75" customHeight="1">
      <c r="B1392" s="536" t="str">
        <f>IF($C$1="ENG","model","модель")</f>
        <v>модель</v>
      </c>
      <c r="C1392" s="122" t="str">
        <f>IF($C$1="ENG","cover:","покриття:")</f>
        <v>покриття:</v>
      </c>
      <c r="D1392" s="522" t="str">
        <f>IF($C$1="ENG","Verto-CELL","Verto-CELL")</f>
        <v>Verto-CELL</v>
      </c>
      <c r="E1392" s="524"/>
      <c r="F1392" s="522" t="str">
        <f>IF($C$1="ENG","UNI-MAT","UNI-MAT")</f>
        <v>UNI-MAT</v>
      </c>
      <c r="G1392" s="524"/>
      <c r="H1392" s="522" t="str">
        <f>IF($C$1="ENG","RESIST","RESIST")</f>
        <v>RESIST</v>
      </c>
      <c r="I1392" s="524"/>
      <c r="J1392" s="522" t="str">
        <f>IF($C$1="ENG","Verto LINE-3D","Verto LINE-3D")</f>
        <v>Verto LINE-3D</v>
      </c>
      <c r="K1392" s="524"/>
      <c r="L1392" s="522" t="str">
        <f>IF($C$1="ENG","ECO Shpon","ЕКО Шпон")</f>
        <v>ЕКО Шпон</v>
      </c>
      <c r="M1392" s="524"/>
      <c r="P1392" s="1"/>
      <c r="Q1392" s="1"/>
      <c r="T1392" s="115"/>
      <c r="U1392" s="115"/>
      <c r="V1392" s="115"/>
      <c r="W1392" s="115"/>
      <c r="AN1392" s="280"/>
      <c r="AO1392" s="280"/>
      <c r="AP1392" s="280"/>
      <c r="AQ1392" s="280"/>
      <c r="AR1392" s="280"/>
      <c r="AS1392" s="280"/>
      <c r="AT1392" s="280"/>
    </row>
    <row r="1393" spans="1:46" s="8" customFormat="1" ht="24.75" customHeight="1">
      <c r="B1393" s="537"/>
      <c r="C1393" s="123" t="str">
        <f>IF($C$1="ENG","filling:","заповнення:")</f>
        <v>заповнення:</v>
      </c>
      <c r="D1393" s="527" t="str">
        <f>IF($C$1="ENG","softwood","клеєний сосновий брус")</f>
        <v>клеєний сосновий брус</v>
      </c>
      <c r="E1393" s="528"/>
      <c r="F1393" s="527" t="str">
        <f>IF($C$1="ENG","softwood","клеєний сосновий брус")</f>
        <v>клеєний сосновий брус</v>
      </c>
      <c r="G1393" s="528"/>
      <c r="H1393" s="527" t="str">
        <f>IF($C$1="ENG","softwood","клеєний сосновий брус")</f>
        <v>клеєний сосновий брус</v>
      </c>
      <c r="I1393" s="528"/>
      <c r="J1393" s="527" t="str">
        <f>IF($C$1="ENG","softwood","клеєний сосновий брус")</f>
        <v>клеєний сосновий брус</v>
      </c>
      <c r="K1393" s="528"/>
      <c r="L1393" s="527" t="str">
        <f>IF($C$1="ENG","softwood","клеєний сосновий брус")</f>
        <v>клеєний сосновий брус</v>
      </c>
      <c r="M1393" s="528"/>
      <c r="P1393" s="1"/>
      <c r="Q1393" s="1"/>
      <c r="T1393" s="115"/>
      <c r="U1393" s="115"/>
      <c r="V1393" s="115"/>
      <c r="W1393" s="115"/>
      <c r="AD1393" s="382">
        <f>AD1395/AC1395-1</f>
        <v>0.12812960235640647</v>
      </c>
      <c r="AE1393" s="382">
        <f>AE1395/AD1395-1</f>
        <v>3.0026109660574507E-2</v>
      </c>
      <c r="AF1393" s="382">
        <f>AF1395/AE1395-1</f>
        <v>7.3510773130545104E-2</v>
      </c>
      <c r="AG1393" s="382">
        <f>AG1395/AF1395-1</f>
        <v>4.7225501770956413E-2</v>
      </c>
      <c r="AH1393" s="8">
        <v>6060</v>
      </c>
      <c r="AI1393" s="8">
        <v>7040</v>
      </c>
      <c r="AJ1393" s="8">
        <v>7560</v>
      </c>
      <c r="AK1393" s="8">
        <v>7920</v>
      </c>
      <c r="AN1393" s="280"/>
      <c r="AO1393" s="280"/>
      <c r="AP1393" s="280"/>
      <c r="AQ1393" s="280"/>
      <c r="AR1393" s="280"/>
      <c r="AS1393" s="280"/>
      <c r="AT1393" s="280"/>
    </row>
    <row r="1394" spans="1:46" ht="12.75" customHeight="1">
      <c r="A1394" s="8"/>
      <c r="B1394" s="538"/>
      <c r="C1394" s="124" t="str">
        <f>IF($C$1="ENG","glazing:","скління:")</f>
        <v>скління:</v>
      </c>
      <c r="D1394" s="513" t="str">
        <f>IF($C$1="ENG","Satin","Сатин")</f>
        <v>Сатин</v>
      </c>
      <c r="E1394" s="516"/>
      <c r="F1394" s="513" t="str">
        <f>IF($C$1="ENG","Satin","Сатин")</f>
        <v>Сатин</v>
      </c>
      <c r="G1394" s="516"/>
      <c r="H1394" s="513" t="str">
        <f>IF($C$1="ENG","Satin","Сатин")</f>
        <v>Сатин</v>
      </c>
      <c r="I1394" s="516"/>
      <c r="J1394" s="513" t="str">
        <f>IF($C$1="ENG","Satin","Сатин")</f>
        <v>Сатин</v>
      </c>
      <c r="K1394" s="516"/>
      <c r="L1394" s="513" t="str">
        <f>IF($C$1="ENG","Satin","Сатин")</f>
        <v>Сатин</v>
      </c>
      <c r="M1394" s="516"/>
    </row>
    <row r="1395" spans="1:46" ht="35.1" customHeight="1">
      <c r="A1395" s="8"/>
      <c r="B1395" s="16" t="s">
        <v>49</v>
      </c>
      <c r="C1395" s="17"/>
      <c r="D1395" s="18">
        <f>IF(AC1395="","",(1-$W$2)*(AC1395/1.2))</f>
        <v>5658.3333333333339</v>
      </c>
      <c r="E1395" s="66">
        <f>IF($W$5=0.2,D1395*1.2,D1395)/$W$4</f>
        <v>6790.0000000000009</v>
      </c>
      <c r="F1395" s="18">
        <f>IF(AD1395="","",(1-$W$2)*(AD1395/1.2))</f>
        <v>6383.3333333333339</v>
      </c>
      <c r="G1395" s="66">
        <f>IF($W$5=0.2,F1395*1.2,F1395)/$W$4</f>
        <v>7660</v>
      </c>
      <c r="H1395" s="18">
        <f>IF(AE1395="","",(1-$W$2)*(AE1395/1.2))</f>
        <v>6575</v>
      </c>
      <c r="I1395" s="66">
        <f>IF($W$5=0.2,H1395*1.2,H1395)/$W$4</f>
        <v>7890</v>
      </c>
      <c r="J1395" s="18">
        <f>IF(AF1395="","",(1-$W$2)*(AF1395/1.2))</f>
        <v>7058.3333333333339</v>
      </c>
      <c r="K1395" s="66">
        <f>IF($W$5=0.2,J1395*1.2,J1395)/$W$4</f>
        <v>8470</v>
      </c>
      <c r="L1395" s="18">
        <f>IF(AG1395="","",(1-$W$2)*(AG1395/1.2))</f>
        <v>7391.666666666667</v>
      </c>
      <c r="M1395" s="66">
        <f>IF($W$5=0.2,L1395*1.2,L1395)/$W$4</f>
        <v>8870</v>
      </c>
      <c r="N1395" s="104"/>
      <c r="R1395" s="104"/>
      <c r="T1395" s="104"/>
      <c r="U1395" s="20"/>
      <c r="V1395" s="104"/>
      <c r="W1395" s="20"/>
      <c r="X1395" s="104"/>
      <c r="Y1395" s="104"/>
      <c r="Z1395" s="104"/>
      <c r="AA1395" s="104"/>
      <c r="AB1395" s="104"/>
      <c r="AC1395" s="332">
        <v>6790</v>
      </c>
      <c r="AD1395" s="390">
        <v>7660</v>
      </c>
      <c r="AE1395" s="332">
        <v>7890</v>
      </c>
      <c r="AF1395" s="332">
        <v>8470</v>
      </c>
      <c r="AG1395" s="332">
        <v>8870</v>
      </c>
      <c r="AH1395" s="289">
        <v>6790</v>
      </c>
      <c r="AI1395" s="289">
        <f>AH1395/AC1395-1</f>
        <v>0</v>
      </c>
      <c r="AJ1395" s="289">
        <v>7660</v>
      </c>
      <c r="AK1395" s="289">
        <f>AJ1395/AD1395-1</f>
        <v>0</v>
      </c>
      <c r="AL1395" s="289">
        <v>7890</v>
      </c>
      <c r="AM1395" s="289">
        <f>AL1395/AE1395-1</f>
        <v>0</v>
      </c>
      <c r="AN1395" s="289">
        <v>8470</v>
      </c>
      <c r="AO1395" s="289">
        <f>AN1395/AF1395-1</f>
        <v>0</v>
      </c>
      <c r="AP1395" s="289">
        <v>8870</v>
      </c>
      <c r="AQ1395" s="289">
        <f>AP1395/AG1395-1</f>
        <v>0</v>
      </c>
    </row>
    <row r="1396" spans="1:46" ht="35.1" customHeight="1">
      <c r="A1396" s="8"/>
      <c r="B1396" s="23" t="s">
        <v>50</v>
      </c>
      <c r="C1396" s="24"/>
      <c r="D1396" s="25">
        <f>IF(AC1396="","",(1-$W$2)*(AC1396/1.2))</f>
        <v>5658.3333333333339</v>
      </c>
      <c r="E1396" s="69">
        <f>IF($W$5=0.2,D1396*1.2,D1396)/$W$4</f>
        <v>6790.0000000000009</v>
      </c>
      <c r="F1396" s="25">
        <f>IF(AD1396="","",(1-$W$2)*(AD1396/1.2))</f>
        <v>6383.3333333333339</v>
      </c>
      <c r="G1396" s="69">
        <f>IF($W$5=0.2,F1396*1.2,F1396)/$W$4</f>
        <v>7660</v>
      </c>
      <c r="H1396" s="25">
        <f>IF(AE1396="","",(1-$W$2)*(AE1396/1.2))</f>
        <v>6575</v>
      </c>
      <c r="I1396" s="69">
        <f>IF($W$5=0.2,H1396*1.2,H1396)/$W$4</f>
        <v>7890</v>
      </c>
      <c r="J1396" s="25">
        <f>IF(AF1396="","",(1-$W$2)*(AF1396/1.2))</f>
        <v>7058.3333333333339</v>
      </c>
      <c r="K1396" s="69">
        <f>IF($W$5=0.2,J1396*1.2,J1396)/$W$4</f>
        <v>8470</v>
      </c>
      <c r="L1396" s="25">
        <f>IF(AG1396="","",(1-$W$2)*(AG1396/1.2))</f>
        <v>7391.666666666667</v>
      </c>
      <c r="M1396" s="69">
        <f>IF($W$5=0.2,L1396*1.2,L1396)/$W$4</f>
        <v>8870</v>
      </c>
      <c r="N1396" s="104"/>
      <c r="R1396" s="104"/>
      <c r="T1396" s="104"/>
      <c r="U1396" s="20"/>
      <c r="V1396" s="104"/>
      <c r="W1396" s="20"/>
      <c r="X1396" s="104"/>
      <c r="Y1396" s="104"/>
      <c r="Z1396" s="104"/>
      <c r="AA1396" s="104"/>
      <c r="AB1396" s="104"/>
      <c r="AC1396" s="332">
        <v>6790</v>
      </c>
      <c r="AD1396" s="390">
        <v>7660</v>
      </c>
      <c r="AE1396" s="332">
        <v>7890</v>
      </c>
      <c r="AF1396" s="332">
        <v>8470</v>
      </c>
      <c r="AG1396" s="332">
        <v>8870</v>
      </c>
      <c r="AH1396" s="289">
        <v>6790</v>
      </c>
      <c r="AI1396" s="289">
        <f>AH1396/AC1396-1</f>
        <v>0</v>
      </c>
      <c r="AJ1396" s="289">
        <v>7660</v>
      </c>
      <c r="AK1396" s="289">
        <f>AJ1396/AD1396-1</f>
        <v>0</v>
      </c>
      <c r="AL1396" s="289">
        <v>7890</v>
      </c>
      <c r="AM1396" s="289">
        <f>AL1396/AE1396-1</f>
        <v>0</v>
      </c>
      <c r="AN1396" s="289">
        <v>8470</v>
      </c>
      <c r="AO1396" s="289">
        <f>AN1396/AF1396-1</f>
        <v>0</v>
      </c>
      <c r="AP1396" s="289">
        <v>8870</v>
      </c>
      <c r="AQ1396" s="289">
        <f>AP1396/AG1396-1</f>
        <v>0</v>
      </c>
    </row>
    <row r="1397" spans="1:46">
      <c r="C1397" s="245"/>
      <c r="D1397" s="26"/>
      <c r="E1397" s="57"/>
      <c r="F1397" s="26"/>
      <c r="G1397" s="57"/>
      <c r="H1397" s="10"/>
      <c r="I1397" s="8"/>
      <c r="J1397" s="8"/>
      <c r="K1397" s="8"/>
    </row>
    <row r="1398" spans="1:46">
      <c r="B1398" s="212" t="str">
        <f>IF($C$1="ENG","For additonal charge:","Послуги за додаткову плату:")</f>
        <v>Послуги за додаткову плату:</v>
      </c>
      <c r="C1398" s="420"/>
      <c r="D1398" s="213"/>
      <c r="E1398" s="214"/>
      <c r="F1398" s="26"/>
      <c r="G1398" s="57"/>
      <c r="H1398" s="10"/>
      <c r="I1398" s="8"/>
      <c r="J1398" s="8"/>
      <c r="K1398" s="8"/>
    </row>
    <row r="1399" spans="1:46" ht="5.0999999999999996" customHeight="1">
      <c r="B1399" s="27"/>
      <c r="C1399" s="245"/>
      <c r="D1399" s="26"/>
      <c r="E1399" s="57"/>
      <c r="F1399" s="26"/>
      <c r="G1399" s="57"/>
      <c r="H1399" s="10"/>
      <c r="I1399" s="8"/>
      <c r="J1399" s="8"/>
      <c r="K1399" s="8"/>
    </row>
    <row r="1400" spans="1:46">
      <c r="B1400" s="539" t="str">
        <f>IF($C$1="ENG","door leaf with width 100","полотно розміром 100")</f>
        <v>полотно розміром 100</v>
      </c>
      <c r="C1400" s="540"/>
      <c r="D1400" s="132">
        <f t="shared" ref="D1400:D1412" si="194">IF(AC1400="","",(1-$W$2)*(AC1400/1.2))</f>
        <v>600</v>
      </c>
      <c r="E1400" s="92">
        <f t="shared" ref="E1400:E1411" si="195">IF($W$5=0.2,D1400*1.2,D1400)/$W$4</f>
        <v>720</v>
      </c>
      <c r="F1400" s="26"/>
      <c r="G1400" s="26"/>
      <c r="H1400" s="10"/>
      <c r="I1400" s="8"/>
      <c r="J1400" s="8"/>
      <c r="K1400" s="8"/>
      <c r="AC1400" s="289">
        <v>720</v>
      </c>
      <c r="AD1400" s="289">
        <v>720</v>
      </c>
      <c r="AE1400" s="289"/>
      <c r="AF1400" s="289"/>
      <c r="AG1400" s="289"/>
      <c r="AH1400" s="289"/>
      <c r="AI1400" s="289"/>
      <c r="AJ1400" s="289"/>
      <c r="AK1400" s="289"/>
      <c r="AL1400" s="289"/>
    </row>
    <row r="1401" spans="1:46">
      <c r="B1401" s="539" t="str">
        <f>IF($C$1="ENG","Ventilation cut","вентиляційний підріз")</f>
        <v>вентиляційний підріз</v>
      </c>
      <c r="C1401" s="540"/>
      <c r="D1401" s="133">
        <f t="shared" si="194"/>
        <v>141.66666666666669</v>
      </c>
      <c r="E1401" s="66">
        <f t="shared" si="195"/>
        <v>170.00000000000003</v>
      </c>
      <c r="F1401" s="26"/>
      <c r="G1401" s="26"/>
      <c r="I1401" s="59"/>
      <c r="J1401" s="28"/>
      <c r="AC1401" s="289">
        <v>170</v>
      </c>
      <c r="AD1401" s="289">
        <v>170</v>
      </c>
      <c r="AE1401" s="289"/>
      <c r="AF1401" s="289"/>
      <c r="AG1401" s="289"/>
      <c r="AH1401" s="289"/>
      <c r="AI1401" s="289"/>
      <c r="AJ1401" s="289"/>
      <c r="AK1401" s="289"/>
      <c r="AL1401" s="289"/>
    </row>
    <row r="1402" spans="1:46">
      <c r="B1402" s="532" t="str">
        <f>IF($C$1="ENG","glazing Graphite / Bronze","скло Графіт / Бронза")</f>
        <v>скло Графіт / Бронза</v>
      </c>
      <c r="C1402" s="533"/>
      <c r="D1402" s="102">
        <f t="shared" si="194"/>
        <v>458.33333333333337</v>
      </c>
      <c r="E1402" s="93">
        <f t="shared" si="195"/>
        <v>550</v>
      </c>
      <c r="F1402" s="26"/>
      <c r="G1402" s="26"/>
      <c r="H1402" s="5"/>
      <c r="AC1402" s="289">
        <v>550</v>
      </c>
      <c r="AD1402" s="289">
        <v>550</v>
      </c>
      <c r="AE1402" s="289"/>
      <c r="AF1402" s="289"/>
      <c r="AG1402" s="289"/>
      <c r="AH1402" s="289"/>
      <c r="AI1402" s="289"/>
      <c r="AJ1402" s="289"/>
      <c r="AK1402" s="289"/>
      <c r="AL1402" s="289"/>
    </row>
    <row r="1403" spans="1:46">
      <c r="B1403" s="532" t="str">
        <f>IF($C$1="ENG","glazing Lacobel black ","скло Lacobel чорне")</f>
        <v>скло Lacobel чорне</v>
      </c>
      <c r="C1403" s="533"/>
      <c r="D1403" s="406">
        <f t="shared" si="194"/>
        <v>458.33333333333337</v>
      </c>
      <c r="E1403" s="93">
        <f>IF($W$5=0.2,D1403*1.2,D1403)/$W$4</f>
        <v>550</v>
      </c>
      <c r="F1403" s="26"/>
      <c r="G1403" s="26"/>
      <c r="H1403" s="5"/>
      <c r="AC1403" s="298">
        <v>550</v>
      </c>
      <c r="AD1403" s="298">
        <v>550</v>
      </c>
      <c r="AE1403" s="289"/>
      <c r="AF1403" s="289"/>
      <c r="AG1403" s="289"/>
      <c r="AH1403" s="289"/>
      <c r="AI1403" s="289"/>
      <c r="AJ1403" s="289"/>
      <c r="AK1403" s="289"/>
      <c r="AL1403" s="289"/>
    </row>
    <row r="1404" spans="1:46">
      <c r="B1404" s="532" t="str">
        <f>IF($C$1="ENG","door lock Soft","замок Soft")</f>
        <v>замок Soft</v>
      </c>
      <c r="C1404" s="533"/>
      <c r="D1404" s="102">
        <f t="shared" si="194"/>
        <v>458.33333333333337</v>
      </c>
      <c r="E1404" s="93">
        <f t="shared" si="195"/>
        <v>550</v>
      </c>
      <c r="F1404" s="26"/>
      <c r="G1404" s="26"/>
      <c r="H1404" s="5"/>
      <c r="AC1404" s="289">
        <v>550</v>
      </c>
      <c r="AD1404" s="289">
        <v>550</v>
      </c>
      <c r="AE1404" s="289"/>
      <c r="AF1404" s="289"/>
      <c r="AG1404" s="289"/>
      <c r="AH1404" s="289"/>
      <c r="AI1404" s="289"/>
      <c r="AJ1404" s="289"/>
      <c r="AK1404" s="289"/>
      <c r="AL1404" s="289"/>
    </row>
    <row r="1405" spans="1:46">
      <c r="B1405" s="532" t="str">
        <f>IF($C$1="ENG","door lock Soft black","замок Soft чорн.")</f>
        <v>замок Soft чорн.</v>
      </c>
      <c r="C1405" s="533"/>
      <c r="D1405" s="102">
        <f t="shared" ref="D1405" si="196">IF(AC1405="","",(1-$W$2)*(AC1405/1.2))</f>
        <v>566.66666666666674</v>
      </c>
      <c r="E1405" s="93">
        <f t="shared" ref="E1405" si="197">IF($W$5=0.2,D1405*1.2,D1405)/$W$4</f>
        <v>680.00000000000011</v>
      </c>
      <c r="F1405" s="26"/>
      <c r="G1405" s="26"/>
      <c r="H1405" s="5"/>
      <c r="AC1405" s="289">
        <v>680</v>
      </c>
      <c r="AD1405" s="289"/>
      <c r="AE1405" s="289"/>
      <c r="AF1405" s="289"/>
      <c r="AG1405" s="289"/>
      <c r="AH1405" s="289"/>
      <c r="AI1405" s="289"/>
      <c r="AJ1405" s="289"/>
      <c r="AK1405" s="289"/>
      <c r="AL1405" s="289"/>
    </row>
    <row r="1406" spans="1:46">
      <c r="B1406" s="532" t="str">
        <f>IF($C$1="ENG","door lock Magnet","замок Magnet")</f>
        <v>замок Magnet</v>
      </c>
      <c r="C1406" s="533"/>
      <c r="D1406" s="102">
        <f t="shared" si="194"/>
        <v>666.66666666666674</v>
      </c>
      <c r="E1406" s="93">
        <f t="shared" si="195"/>
        <v>800.00000000000011</v>
      </c>
      <c r="F1406" s="26"/>
      <c r="G1406" s="26"/>
      <c r="H1406" s="5"/>
      <c r="AC1406" s="289">
        <v>800</v>
      </c>
      <c r="AD1406" s="289">
        <v>800</v>
      </c>
      <c r="AE1406" s="289"/>
      <c r="AF1406" s="289"/>
      <c r="AG1406" s="289"/>
      <c r="AH1406" s="289"/>
      <c r="AI1406" s="289"/>
      <c r="AJ1406" s="289"/>
      <c r="AK1406" s="289"/>
      <c r="AL1406" s="289"/>
    </row>
    <row r="1407" spans="1:46">
      <c r="B1407" s="532" t="s">
        <v>75</v>
      </c>
      <c r="C1407" s="533"/>
      <c r="D1407" s="102">
        <f t="shared" ref="D1407" si="198">IF(AC1407="","",(1-$W$2)*(AC1407/1.2))</f>
        <v>833.33333333333337</v>
      </c>
      <c r="E1407" s="93">
        <f t="shared" ref="E1407" si="199">IF($W$5=0.2,D1407*1.2,D1407)/$W$4</f>
        <v>1000</v>
      </c>
      <c r="F1407" s="26"/>
      <c r="G1407" s="26"/>
      <c r="H1407" s="5"/>
      <c r="AC1407" s="289">
        <v>1000</v>
      </c>
      <c r="AD1407" s="289"/>
      <c r="AE1407" s="289"/>
      <c r="AF1407" s="289"/>
      <c r="AG1407" s="289"/>
      <c r="AH1407" s="289"/>
      <c r="AI1407" s="289"/>
      <c r="AJ1407" s="289"/>
      <c r="AK1407" s="289"/>
      <c r="AL1407" s="289"/>
    </row>
    <row r="1408" spans="1:46">
      <c r="B1408" s="532" t="str">
        <f>IF($C$1="ENG","door handle-lock (for sliding doors)","ручка-замок (для дверей купе)")</f>
        <v>ручка-замок (для дверей купе)</v>
      </c>
      <c r="C1408" s="533"/>
      <c r="D1408" s="133">
        <f t="shared" si="194"/>
        <v>466.66666666666669</v>
      </c>
      <c r="E1408" s="93">
        <f t="shared" si="195"/>
        <v>560</v>
      </c>
      <c r="F1408" s="26"/>
      <c r="G1408" s="26"/>
      <c r="I1408" s="11"/>
      <c r="J1408" s="11"/>
      <c r="K1408" s="19"/>
      <c r="AC1408" s="289">
        <v>560</v>
      </c>
      <c r="AD1408" s="289">
        <v>560</v>
      </c>
      <c r="AE1408" s="289"/>
      <c r="AF1408" s="289"/>
      <c r="AG1408" s="289"/>
      <c r="AH1408" s="289"/>
      <c r="AI1408" s="289"/>
      <c r="AJ1408" s="289"/>
      <c r="AK1408" s="289"/>
      <c r="AL1408" s="289"/>
    </row>
    <row r="1409" spans="2:38">
      <c r="B1409" s="532" t="str">
        <f>IF($C$1="ENG","cylinder incert","циліндр несиметричний")</f>
        <v>циліндр несиметричний</v>
      </c>
      <c r="C1409" s="533"/>
      <c r="D1409" s="133">
        <f t="shared" si="194"/>
        <v>316.66666666666669</v>
      </c>
      <c r="E1409" s="93">
        <f t="shared" si="195"/>
        <v>380</v>
      </c>
      <c r="F1409" s="26"/>
      <c r="G1409" s="26"/>
      <c r="AC1409" s="289">
        <v>380</v>
      </c>
      <c r="AD1409" s="289">
        <v>380</v>
      </c>
      <c r="AE1409" s="289"/>
      <c r="AF1409" s="289"/>
      <c r="AG1409" s="289"/>
      <c r="AH1409" s="289"/>
      <c r="AI1409" s="289"/>
      <c r="AJ1409" s="289"/>
      <c r="AK1409" s="289"/>
      <c r="AL1409" s="289"/>
    </row>
    <row r="1410" spans="2:38">
      <c r="B1410" s="532" t="str">
        <f>IF($C$1="ENG","door hindge Prestige (1 unit)","завіса Prestige (1 шт)")</f>
        <v>завіса Prestige (1 шт)</v>
      </c>
      <c r="C1410" s="533"/>
      <c r="D1410" s="135">
        <f t="shared" si="194"/>
        <v>216.66666666666669</v>
      </c>
      <c r="E1410" s="93">
        <f t="shared" si="195"/>
        <v>260</v>
      </c>
      <c r="F1410" s="26"/>
      <c r="G1410" s="26"/>
      <c r="AC1410" s="289">
        <v>260</v>
      </c>
      <c r="AD1410" s="289">
        <v>260</v>
      </c>
      <c r="AE1410" s="289"/>
      <c r="AF1410" s="289"/>
      <c r="AG1410" s="289"/>
      <c r="AH1410" s="289"/>
      <c r="AI1410" s="289"/>
      <c r="AJ1410" s="289"/>
      <c r="AK1410" s="289"/>
      <c r="AL1410" s="289"/>
    </row>
    <row r="1411" spans="2:38">
      <c r="B1411" s="532" t="str">
        <f>IF($C$1="ENG","door hinge caps (1 set)","накладка на завіси (1 к-т)")</f>
        <v>накладка на завіси (1 к-т)</v>
      </c>
      <c r="C1411" s="533"/>
      <c r="D1411" s="135">
        <f t="shared" si="194"/>
        <v>66.666666666666671</v>
      </c>
      <c r="E1411" s="93">
        <f t="shared" si="195"/>
        <v>80</v>
      </c>
      <c r="F1411" s="26"/>
      <c r="G1411" s="26"/>
      <c r="AC1411" s="289">
        <v>80</v>
      </c>
      <c r="AD1411" s="289">
        <v>80</v>
      </c>
      <c r="AE1411" s="289"/>
      <c r="AF1411" s="289"/>
      <c r="AG1411" s="289"/>
      <c r="AH1411" s="289"/>
      <c r="AI1411" s="289"/>
      <c r="AJ1411" s="289"/>
      <c r="AK1411" s="289"/>
      <c r="AL1411" s="289"/>
    </row>
    <row r="1412" spans="2:38">
      <c r="B1412" s="532" t="str">
        <f>IF($C$1="ENG","door handle","дверна ручка")</f>
        <v>дверна ручка</v>
      </c>
      <c r="C1412" s="533"/>
      <c r="D1412" s="134" t="str">
        <f t="shared" si="194"/>
        <v/>
      </c>
      <c r="E1412" s="247" t="str">
        <f>IF($C$1="ENG","see Handles Price","див. Таблицю Ручки")</f>
        <v>див. Таблицю Ручки</v>
      </c>
      <c r="F1412" s="26"/>
      <c r="G1412" s="26"/>
      <c r="AC1412" s="289"/>
      <c r="AD1412" s="289"/>
      <c r="AE1412" s="289"/>
      <c r="AF1412" s="289"/>
      <c r="AG1412" s="289"/>
      <c r="AH1412" s="289"/>
      <c r="AI1412" s="289"/>
      <c r="AJ1412" s="289"/>
      <c r="AK1412" s="289"/>
      <c r="AL1412" s="289"/>
    </row>
    <row r="1413" spans="2:38" ht="14.25" customHeight="1">
      <c r="C1413" s="245"/>
      <c r="D1413" s="26"/>
      <c r="E1413" s="26"/>
      <c r="F1413" s="26"/>
      <c r="G1413" s="26"/>
      <c r="H1413" s="5"/>
      <c r="U1413" s="525" t="str">
        <f>IF($C$1="ENG",CONCATENATE("down to: ",B1463),CONCATENATE("вниз до: ",B1463))</f>
        <v>вниз до: Полотна збірні: ЄВА</v>
      </c>
      <c r="V1413" s="525"/>
      <c r="W1413" s="525"/>
      <c r="X1413" s="304"/>
      <c r="Y1413" s="304"/>
      <c r="Z1413" s="304"/>
      <c r="AA1413" s="304"/>
      <c r="AB1413" s="304"/>
    </row>
    <row r="1414" spans="2:38" ht="14.25" customHeight="1">
      <c r="C1414" s="245"/>
      <c r="D1414" s="26"/>
      <c r="E1414" s="26"/>
      <c r="F1414" s="26"/>
      <c r="G1414" s="26"/>
      <c r="H1414" s="5"/>
    </row>
    <row r="1415" spans="2:38" ht="14.25" customHeight="1">
      <c r="C1415" s="245"/>
      <c r="D1415" s="26"/>
      <c r="E1415" s="26"/>
      <c r="F1415" s="26"/>
      <c r="G1415" s="26"/>
      <c r="H1415" s="5"/>
    </row>
    <row r="1416" spans="2:38" ht="14.25" customHeight="1">
      <c r="C1416" s="245"/>
      <c r="D1416" s="26"/>
      <c r="E1416" s="26"/>
      <c r="F1416" s="26"/>
      <c r="G1416" s="26"/>
      <c r="H1416" s="5"/>
    </row>
    <row r="1417" spans="2:38" ht="14.25" customHeight="1">
      <c r="C1417" s="245"/>
      <c r="D1417" s="26"/>
      <c r="E1417" s="26"/>
      <c r="F1417" s="26"/>
      <c r="G1417" s="26"/>
      <c r="H1417" s="5"/>
    </row>
    <row r="1418" spans="2:38" ht="14.25" customHeight="1">
      <c r="C1418" s="245"/>
      <c r="D1418" s="26"/>
      <c r="E1418" s="26"/>
      <c r="F1418" s="26"/>
      <c r="G1418" s="26"/>
      <c r="H1418" s="5"/>
    </row>
    <row r="1419" spans="2:38" ht="14.25" customHeight="1">
      <c r="C1419" s="245"/>
      <c r="D1419" s="26"/>
      <c r="E1419" s="26"/>
      <c r="F1419" s="26"/>
      <c r="G1419" s="26"/>
      <c r="H1419" s="5"/>
    </row>
    <row r="1420" spans="2:38" ht="14.25" customHeight="1">
      <c r="C1420" s="245"/>
      <c r="D1420" s="26"/>
      <c r="E1420" s="26"/>
      <c r="F1420" s="26"/>
      <c r="G1420" s="26"/>
      <c r="H1420" s="5"/>
    </row>
    <row r="1421" spans="2:38" ht="14.25" customHeight="1">
      <c r="C1421" s="245"/>
      <c r="D1421" s="26"/>
      <c r="E1421" s="26"/>
      <c r="F1421" s="26"/>
      <c r="G1421" s="26"/>
      <c r="H1421" s="5"/>
    </row>
    <row r="1422" spans="2:38" ht="14.25" customHeight="1">
      <c r="C1422" s="245"/>
      <c r="D1422" s="26"/>
      <c r="E1422" s="26"/>
      <c r="F1422" s="26"/>
      <c r="G1422" s="26"/>
      <c r="H1422" s="5"/>
    </row>
    <row r="1423" spans="2:38" ht="14.25" customHeight="1">
      <c r="C1423" s="245"/>
      <c r="D1423" s="26"/>
      <c r="E1423" s="26"/>
      <c r="F1423" s="26"/>
      <c r="G1423" s="26"/>
      <c r="H1423" s="5"/>
    </row>
    <row r="1424" spans="2:38" ht="14.25" customHeight="1">
      <c r="C1424" s="245"/>
      <c r="D1424" s="26"/>
      <c r="E1424" s="26"/>
      <c r="F1424" s="26"/>
      <c r="G1424" s="26"/>
      <c r="H1424" s="5"/>
    </row>
    <row r="1425" spans="3:8" ht="14.25" customHeight="1">
      <c r="C1425" s="245"/>
      <c r="D1425" s="26"/>
      <c r="E1425" s="26"/>
      <c r="F1425" s="26"/>
      <c r="G1425" s="26"/>
      <c r="H1425" s="5"/>
    </row>
    <row r="1426" spans="3:8" ht="14.25" customHeight="1">
      <c r="C1426" s="245"/>
      <c r="D1426" s="26"/>
      <c r="E1426" s="26"/>
      <c r="F1426" s="26"/>
      <c r="G1426" s="26"/>
      <c r="H1426" s="5"/>
    </row>
    <row r="1427" spans="3:8" ht="14.25" customHeight="1">
      <c r="C1427" s="245"/>
      <c r="D1427" s="26"/>
      <c r="E1427" s="26"/>
      <c r="F1427" s="26"/>
      <c r="G1427" s="26"/>
      <c r="H1427" s="5"/>
    </row>
    <row r="1428" spans="3:8" ht="14.25" customHeight="1">
      <c r="C1428" s="245"/>
      <c r="D1428" s="26"/>
      <c r="E1428" s="26"/>
      <c r="F1428" s="26"/>
      <c r="G1428" s="26"/>
      <c r="H1428" s="5"/>
    </row>
    <row r="1429" spans="3:8" ht="14.25" customHeight="1">
      <c r="C1429" s="245"/>
      <c r="D1429" s="26"/>
      <c r="E1429" s="26"/>
      <c r="F1429" s="26"/>
      <c r="G1429" s="26"/>
      <c r="H1429" s="5"/>
    </row>
    <row r="1430" spans="3:8" ht="14.25" customHeight="1">
      <c r="C1430" s="245"/>
      <c r="D1430" s="26"/>
      <c r="E1430" s="26"/>
      <c r="F1430" s="26"/>
      <c r="G1430" s="26"/>
      <c r="H1430" s="5"/>
    </row>
    <row r="1431" spans="3:8" ht="14.25" customHeight="1">
      <c r="C1431" s="245"/>
      <c r="D1431" s="26"/>
      <c r="E1431" s="26"/>
      <c r="F1431" s="26"/>
      <c r="G1431" s="26"/>
      <c r="H1431" s="5"/>
    </row>
    <row r="1432" spans="3:8" ht="14.25" customHeight="1">
      <c r="C1432" s="245"/>
      <c r="D1432" s="26"/>
      <c r="E1432" s="26"/>
      <c r="F1432" s="26"/>
      <c r="G1432" s="26"/>
      <c r="H1432" s="5"/>
    </row>
    <row r="1433" spans="3:8" ht="14.25" customHeight="1">
      <c r="C1433" s="245"/>
      <c r="D1433" s="26"/>
      <c r="E1433" s="26"/>
      <c r="F1433" s="26"/>
      <c r="G1433" s="26"/>
      <c r="H1433" s="5"/>
    </row>
    <row r="1434" spans="3:8" ht="14.25" customHeight="1">
      <c r="C1434" s="245"/>
      <c r="D1434" s="26"/>
      <c r="E1434" s="26"/>
      <c r="F1434" s="26"/>
      <c r="G1434" s="26"/>
      <c r="H1434" s="5"/>
    </row>
    <row r="1435" spans="3:8" ht="14.25" customHeight="1">
      <c r="C1435" s="245"/>
      <c r="D1435" s="26"/>
      <c r="E1435" s="26"/>
      <c r="F1435" s="26"/>
      <c r="G1435" s="26"/>
      <c r="H1435" s="5"/>
    </row>
    <row r="1436" spans="3:8" ht="14.25" customHeight="1">
      <c r="C1436" s="245"/>
      <c r="D1436" s="26"/>
      <c r="E1436" s="26"/>
      <c r="F1436" s="26"/>
      <c r="G1436" s="26"/>
      <c r="H1436" s="5"/>
    </row>
    <row r="1437" spans="3:8" ht="14.25" customHeight="1">
      <c r="C1437" s="245"/>
      <c r="D1437" s="26"/>
      <c r="E1437" s="26"/>
      <c r="F1437" s="26"/>
      <c r="G1437" s="26"/>
      <c r="H1437" s="5"/>
    </row>
    <row r="1438" spans="3:8" ht="14.25" customHeight="1">
      <c r="C1438" s="245"/>
      <c r="D1438" s="26"/>
      <c r="E1438" s="26"/>
      <c r="F1438" s="26"/>
      <c r="G1438" s="26"/>
      <c r="H1438" s="5"/>
    </row>
    <row r="1439" spans="3:8" ht="14.25" customHeight="1">
      <c r="C1439" s="245"/>
      <c r="D1439" s="26"/>
      <c r="E1439" s="26"/>
      <c r="F1439" s="26"/>
      <c r="G1439" s="26"/>
      <c r="H1439" s="5"/>
    </row>
    <row r="1440" spans="3:8" ht="14.25" customHeight="1">
      <c r="C1440" s="245"/>
      <c r="D1440" s="26"/>
      <c r="E1440" s="26"/>
      <c r="F1440" s="26"/>
      <c r="G1440" s="26"/>
      <c r="H1440" s="5"/>
    </row>
    <row r="1441" spans="3:8" ht="14.25" customHeight="1">
      <c r="C1441" s="245"/>
      <c r="D1441" s="26"/>
      <c r="E1441" s="26"/>
      <c r="F1441" s="26"/>
      <c r="G1441" s="26"/>
      <c r="H1441" s="5"/>
    </row>
    <row r="1442" spans="3:8" ht="14.25" customHeight="1">
      <c r="C1442" s="245"/>
      <c r="D1442" s="26"/>
      <c r="E1442" s="26"/>
      <c r="F1442" s="26"/>
      <c r="G1442" s="26"/>
      <c r="H1442" s="5"/>
    </row>
    <row r="1443" spans="3:8" ht="14.25" customHeight="1">
      <c r="C1443" s="245"/>
      <c r="D1443" s="26"/>
      <c r="E1443" s="26"/>
      <c r="F1443" s="26"/>
      <c r="G1443" s="26"/>
      <c r="H1443" s="5"/>
    </row>
    <row r="1444" spans="3:8" ht="14.25" customHeight="1">
      <c r="C1444" s="245"/>
      <c r="D1444" s="26"/>
      <c r="E1444" s="26"/>
      <c r="F1444" s="26"/>
      <c r="G1444" s="26"/>
      <c r="H1444" s="5"/>
    </row>
    <row r="1445" spans="3:8" ht="14.25" customHeight="1">
      <c r="C1445" s="245"/>
      <c r="D1445" s="26"/>
      <c r="E1445" s="26"/>
      <c r="F1445" s="26"/>
      <c r="G1445" s="26"/>
      <c r="H1445" s="5"/>
    </row>
    <row r="1446" spans="3:8" ht="14.25" customHeight="1">
      <c r="C1446" s="245"/>
      <c r="D1446" s="26"/>
      <c r="E1446" s="26"/>
      <c r="F1446" s="26"/>
      <c r="G1446" s="26"/>
      <c r="H1446" s="5"/>
    </row>
    <row r="1447" spans="3:8" ht="14.25" customHeight="1">
      <c r="C1447" s="245"/>
      <c r="D1447" s="26"/>
      <c r="E1447" s="26"/>
      <c r="F1447" s="26"/>
      <c r="G1447" s="26"/>
      <c r="H1447" s="5"/>
    </row>
    <row r="1448" spans="3:8" ht="14.25" customHeight="1">
      <c r="C1448" s="245"/>
      <c r="D1448" s="26"/>
      <c r="E1448" s="26"/>
      <c r="F1448" s="26"/>
      <c r="G1448" s="26"/>
      <c r="H1448" s="5"/>
    </row>
    <row r="1449" spans="3:8" ht="14.25" customHeight="1">
      <c r="C1449" s="245"/>
      <c r="D1449" s="26"/>
      <c r="E1449" s="26"/>
      <c r="F1449" s="26"/>
      <c r="G1449" s="26"/>
      <c r="H1449" s="5"/>
    </row>
    <row r="1450" spans="3:8" ht="14.25" customHeight="1">
      <c r="C1450" s="245"/>
      <c r="D1450" s="26"/>
      <c r="E1450" s="26"/>
      <c r="F1450" s="26"/>
      <c r="G1450" s="26"/>
      <c r="H1450" s="5"/>
    </row>
    <row r="1451" spans="3:8" ht="14.25" customHeight="1">
      <c r="C1451" s="245"/>
      <c r="D1451" s="26"/>
      <c r="E1451" s="26"/>
      <c r="F1451" s="26"/>
      <c r="G1451" s="26"/>
      <c r="H1451" s="5"/>
    </row>
    <row r="1452" spans="3:8" ht="14.25" customHeight="1">
      <c r="C1452" s="245"/>
      <c r="D1452" s="26"/>
      <c r="E1452" s="26"/>
      <c r="F1452" s="26"/>
      <c r="G1452" s="26"/>
      <c r="H1452" s="5"/>
    </row>
    <row r="1453" spans="3:8" ht="14.25" customHeight="1">
      <c r="C1453" s="245"/>
      <c r="D1453" s="26"/>
      <c r="E1453" s="26"/>
      <c r="F1453" s="26"/>
      <c r="G1453" s="26"/>
      <c r="H1453" s="5"/>
    </row>
    <row r="1454" spans="3:8" ht="14.25" customHeight="1">
      <c r="C1454" s="245"/>
      <c r="D1454" s="26"/>
      <c r="E1454" s="26"/>
      <c r="F1454" s="26"/>
      <c r="G1454" s="26"/>
      <c r="H1454" s="5"/>
    </row>
    <row r="1455" spans="3:8" ht="14.25" customHeight="1">
      <c r="C1455" s="245"/>
      <c r="D1455" s="26"/>
      <c r="E1455" s="26"/>
      <c r="F1455" s="26"/>
      <c r="G1455" s="26"/>
      <c r="H1455" s="5"/>
    </row>
    <row r="1456" spans="3:8" ht="14.25" customHeight="1">
      <c r="C1456" s="245"/>
      <c r="D1456" s="26"/>
      <c r="E1456" s="26"/>
      <c r="F1456" s="26"/>
      <c r="G1456" s="26"/>
      <c r="H1456" s="5"/>
    </row>
    <row r="1457" spans="1:46" ht="14.25" customHeight="1">
      <c r="C1457" s="245"/>
      <c r="D1457" s="26"/>
      <c r="E1457" s="26"/>
      <c r="F1457" s="26"/>
      <c r="G1457" s="26"/>
      <c r="H1457" s="5"/>
    </row>
    <row r="1458" spans="1:46" ht="14.25" customHeight="1">
      <c r="C1458" s="245"/>
      <c r="D1458" s="26"/>
      <c r="E1458" s="26"/>
      <c r="F1458" s="26"/>
      <c r="G1458" s="26"/>
      <c r="H1458" s="5"/>
      <c r="AG1458" s="289">
        <f>AB1458/100*12+AB1458</f>
        <v>0</v>
      </c>
      <c r="AH1458" s="289" t="e">
        <f>AG1458/AB1458-1</f>
        <v>#DIV/0!</v>
      </c>
    </row>
    <row r="1459" spans="1:46" ht="14.25" customHeight="1">
      <c r="C1459" s="245"/>
      <c r="D1459" s="26"/>
      <c r="E1459" s="26"/>
      <c r="F1459" s="26"/>
      <c r="G1459" s="26"/>
      <c r="H1459" s="5"/>
    </row>
    <row r="1460" spans="1:46" ht="14.25" customHeight="1">
      <c r="C1460" s="245"/>
      <c r="D1460" s="26"/>
      <c r="E1460" s="26"/>
      <c r="F1460" s="26"/>
      <c r="G1460" s="26"/>
      <c r="H1460" s="5"/>
    </row>
    <row r="1461" spans="1:46" ht="14.25" customHeight="1">
      <c r="C1461" s="245"/>
      <c r="D1461" s="26"/>
      <c r="E1461" s="26"/>
      <c r="F1461" s="26"/>
      <c r="G1461" s="26"/>
      <c r="H1461" s="5"/>
    </row>
    <row r="1462" spans="1:46" ht="14.25" customHeight="1">
      <c r="C1462" s="245"/>
      <c r="D1462" s="26"/>
      <c r="E1462" s="26"/>
      <c r="F1462" s="26"/>
      <c r="G1462" s="26"/>
      <c r="H1462" s="5"/>
    </row>
    <row r="1463" spans="1:46" s="8" customFormat="1">
      <c r="B1463" s="518" t="str">
        <f>TITLE!C28</f>
        <v>Полотна збірні: ЄВА</v>
      </c>
      <c r="C1463" s="518"/>
      <c r="D1463" s="118"/>
      <c r="E1463" s="118"/>
      <c r="F1463" s="118"/>
      <c r="G1463" s="118"/>
      <c r="H1463" s="520"/>
      <c r="I1463" s="520"/>
      <c r="J1463" s="121"/>
      <c r="K1463" s="121"/>
      <c r="L1463" s="121"/>
      <c r="M1463" s="121"/>
      <c r="N1463" s="121"/>
      <c r="O1463" s="121"/>
      <c r="P1463" s="121"/>
      <c r="Q1463" s="121"/>
      <c r="R1463" s="121"/>
      <c r="S1463" s="121"/>
      <c r="T1463" s="529" t="str">
        <f>IF($C$1="ENG",CONCATENATE("up to: ",B1390),CONCATENATE("вгору до: ",B1390))</f>
        <v>вгору до: Полотна збірні: ТІАНА</v>
      </c>
      <c r="U1463" s="529"/>
      <c r="V1463" s="529"/>
      <c r="W1463" s="529"/>
      <c r="AN1463" s="280"/>
      <c r="AO1463" s="280"/>
      <c r="AP1463" s="280"/>
      <c r="AQ1463" s="280"/>
      <c r="AR1463" s="280"/>
      <c r="AS1463" s="280"/>
      <c r="AT1463" s="280"/>
    </row>
    <row r="1464" spans="1:46" s="8" customFormat="1" ht="5.0999999999999996" customHeight="1">
      <c r="B1464" s="117"/>
      <c r="C1464" s="419"/>
      <c r="D1464" s="9"/>
      <c r="E1464" s="9"/>
      <c r="F1464" s="9"/>
      <c r="G1464" s="9"/>
      <c r="H1464" s="120"/>
      <c r="I1464" s="120"/>
      <c r="T1464" s="115"/>
      <c r="U1464" s="115"/>
      <c r="V1464" s="115"/>
      <c r="W1464" s="115"/>
      <c r="AN1464" s="280"/>
      <c r="AO1464" s="280"/>
      <c r="AP1464" s="280"/>
      <c r="AQ1464" s="280"/>
      <c r="AR1464" s="280"/>
      <c r="AS1464" s="280"/>
      <c r="AT1464" s="280"/>
    </row>
    <row r="1465" spans="1:46" s="8" customFormat="1" ht="12.75" customHeight="1">
      <c r="B1465" s="536" t="str">
        <f>IF($C$1="ENG","model","модель")</f>
        <v>модель</v>
      </c>
      <c r="C1465" s="122" t="str">
        <f>IF($C$1="ENG","cover:","покриття:")</f>
        <v>покриття:</v>
      </c>
      <c r="D1465" s="522" t="str">
        <f>IF($C$1="ENG","Verto-CELL","Verto-CELL")</f>
        <v>Verto-CELL</v>
      </c>
      <c r="E1465" s="524"/>
      <c r="F1465" s="522" t="str">
        <f>IF($C$1="ENG","UNI-MAT","UNI-MAT")</f>
        <v>UNI-MAT</v>
      </c>
      <c r="G1465" s="524"/>
      <c r="H1465" s="522" t="str">
        <f>IF($C$1="ENG","RESIST","RESIST")</f>
        <v>RESIST</v>
      </c>
      <c r="I1465" s="524"/>
      <c r="J1465" s="522" t="str">
        <f>IF($C$1="ENG","Verto LINE-3D","Verto LINE-3D")</f>
        <v>Verto LINE-3D</v>
      </c>
      <c r="K1465" s="524"/>
      <c r="L1465" s="522" t="str">
        <f>IF($C$1="ENG","ECO Shpon","ЕКО Шпон")</f>
        <v>ЕКО Шпон</v>
      </c>
      <c r="M1465" s="524"/>
      <c r="P1465" s="1"/>
      <c r="Q1465" s="1"/>
      <c r="T1465" s="115"/>
      <c r="U1465" s="115"/>
      <c r="V1465" s="115"/>
      <c r="W1465" s="115"/>
      <c r="AN1465" s="280"/>
      <c r="AO1465" s="280"/>
      <c r="AP1465" s="280"/>
      <c r="AQ1465" s="280"/>
      <c r="AR1465" s="280"/>
      <c r="AS1465" s="280"/>
      <c r="AT1465" s="280"/>
    </row>
    <row r="1466" spans="1:46" s="8" customFormat="1" ht="24" customHeight="1">
      <c r="B1466" s="537"/>
      <c r="C1466" s="123" t="str">
        <f>IF($C$1="ENG","filling:","заповнення:")</f>
        <v>заповнення:</v>
      </c>
      <c r="D1466" s="527" t="str">
        <f>IF($C$1="ENG","softwood","клеєний сосновий брус")</f>
        <v>клеєний сосновий брус</v>
      </c>
      <c r="E1466" s="528"/>
      <c r="F1466" s="527" t="str">
        <f>IF($C$1="ENG","softwood","клеєний сосновий брус")</f>
        <v>клеєний сосновий брус</v>
      </c>
      <c r="G1466" s="528"/>
      <c r="H1466" s="527" t="str">
        <f>IF($C$1="ENG","softwood","клеєний сосновий брус")</f>
        <v>клеєний сосновий брус</v>
      </c>
      <c r="I1466" s="528"/>
      <c r="J1466" s="527" t="str">
        <f>IF($C$1="ENG","softwood","клеєний сосновий брус")</f>
        <v>клеєний сосновий брус</v>
      </c>
      <c r="K1466" s="528"/>
      <c r="L1466" s="527" t="str">
        <f>IF($C$1="ENG","softwood","клеєний сосновий брус")</f>
        <v>клеєний сосновий брус</v>
      </c>
      <c r="M1466" s="528"/>
      <c r="P1466" s="1"/>
      <c r="Q1466" s="1"/>
      <c r="T1466" s="115"/>
      <c r="U1466" s="115"/>
      <c r="V1466" s="115"/>
      <c r="W1466" s="115"/>
      <c r="AD1466" s="382">
        <f>AD1468/AC1468-1</f>
        <v>0.13945578231292521</v>
      </c>
      <c r="AE1466" s="382">
        <f>AE1468/AD1468-1</f>
        <v>4.6268656716417889E-2</v>
      </c>
      <c r="AF1466" s="382">
        <f>AF1468/AE1468-1</f>
        <v>9.5577746077032844E-2</v>
      </c>
      <c r="AG1466" s="382">
        <f>AG1468/AF1468-1</f>
        <v>4.8177083333333259E-2</v>
      </c>
      <c r="AH1466" s="8">
        <v>5250</v>
      </c>
      <c r="AI1466" s="8">
        <v>6260</v>
      </c>
      <c r="AJ1466" s="8">
        <v>6860</v>
      </c>
      <c r="AK1466" s="8">
        <v>7190</v>
      </c>
      <c r="AN1466" s="280"/>
      <c r="AO1466" s="280"/>
      <c r="AP1466" s="280"/>
      <c r="AQ1466" s="280"/>
      <c r="AR1466" s="280"/>
      <c r="AS1466" s="280"/>
      <c r="AT1466" s="280"/>
    </row>
    <row r="1467" spans="1:46" ht="12.75" customHeight="1">
      <c r="A1467" s="8"/>
      <c r="B1467" s="538"/>
      <c r="C1467" s="124" t="str">
        <f>IF($C$1="ENG","glazing:","скління:")</f>
        <v>скління:</v>
      </c>
      <c r="D1467" s="513" t="str">
        <f>IF($C$1="ENG","Satin","Сатин")</f>
        <v>Сатин</v>
      </c>
      <c r="E1467" s="516"/>
      <c r="F1467" s="513" t="str">
        <f>IF($C$1="ENG","Satin","Сатин")</f>
        <v>Сатин</v>
      </c>
      <c r="G1467" s="516"/>
      <c r="H1467" s="513" t="str">
        <f>IF($C$1="ENG","Satin","Сатин")</f>
        <v>Сатин</v>
      </c>
      <c r="I1467" s="516"/>
      <c r="J1467" s="513" t="str">
        <f>IF($C$1="ENG","Satin","Сатин")</f>
        <v>Сатин</v>
      </c>
      <c r="K1467" s="516"/>
      <c r="L1467" s="513" t="str">
        <f>IF($C$1="ENG","Satin","Сатин")</f>
        <v>Сатин</v>
      </c>
      <c r="M1467" s="516"/>
    </row>
    <row r="1468" spans="1:46" ht="35.1" customHeight="1">
      <c r="A1468" s="8"/>
      <c r="B1468" s="16" t="s">
        <v>28</v>
      </c>
      <c r="C1468" s="17"/>
      <c r="D1468" s="18">
        <f>IF(AC1468="","",(1-$W$2)*(AC1468/1.2))</f>
        <v>4900</v>
      </c>
      <c r="E1468" s="66">
        <f>IF($W$5=0.2,D1468*1.2,D1468)/$W$4</f>
        <v>5880</v>
      </c>
      <c r="F1468" s="18">
        <f>IF(AD1468="","",(1-$W$2)*(AD1468/1.2))</f>
        <v>5583.3333333333339</v>
      </c>
      <c r="G1468" s="66">
        <f>IF($W$5=0.2,F1468*1.2,F1468)/$W$4</f>
        <v>6700.0000000000009</v>
      </c>
      <c r="H1468" s="18">
        <f>IF(AE1468="","",(1-$W$2)*(AE1468/1.2))</f>
        <v>5841.666666666667</v>
      </c>
      <c r="I1468" s="66">
        <f>IF($W$5=0.2,H1468*1.2,H1468)/$W$4</f>
        <v>7010</v>
      </c>
      <c r="J1468" s="18">
        <f>IF(AF1468="","",(1-$W$2)*(AF1468/1.2))</f>
        <v>6400</v>
      </c>
      <c r="K1468" s="66">
        <f>IF($W$5=0.2,J1468*1.2,J1468)/$W$4</f>
        <v>7680</v>
      </c>
      <c r="L1468" s="18">
        <f>IF(AG1468="","",(1-$W$2)*(AG1468/1.2))</f>
        <v>6708.3333333333339</v>
      </c>
      <c r="M1468" s="66">
        <f>IF($W$5=0.2,L1468*1.2,L1468)/$W$4</f>
        <v>8050</v>
      </c>
      <c r="N1468" s="104"/>
      <c r="R1468" s="104"/>
      <c r="T1468" s="104"/>
      <c r="U1468" s="20"/>
      <c r="V1468" s="104"/>
      <c r="W1468" s="20"/>
      <c r="X1468" s="104"/>
      <c r="Y1468" s="104"/>
      <c r="Z1468" s="104"/>
      <c r="AA1468" s="104"/>
      <c r="AB1468" s="104"/>
      <c r="AC1468" s="332">
        <v>5880</v>
      </c>
      <c r="AD1468" s="390">
        <v>6700</v>
      </c>
      <c r="AE1468" s="332">
        <v>7010</v>
      </c>
      <c r="AF1468" s="332">
        <v>7680</v>
      </c>
      <c r="AG1468" s="332">
        <v>8050</v>
      </c>
      <c r="AH1468" s="289">
        <v>5880</v>
      </c>
      <c r="AI1468" s="289">
        <f>AH1468/AC1468-1</f>
        <v>0</v>
      </c>
      <c r="AJ1468" s="289">
        <v>6700</v>
      </c>
      <c r="AK1468" s="289">
        <f>AJ1468/AD1468-1</f>
        <v>0</v>
      </c>
      <c r="AL1468" s="289">
        <v>7010</v>
      </c>
      <c r="AM1468" s="289">
        <f>AL1468/AE1468-1</f>
        <v>0</v>
      </c>
      <c r="AN1468" s="289">
        <v>7680</v>
      </c>
      <c r="AO1468" s="289">
        <f>AN1468/AF1468-1</f>
        <v>0</v>
      </c>
      <c r="AP1468" s="289">
        <v>8050</v>
      </c>
      <c r="AQ1468" s="289">
        <f>AP1468/AG1468-1</f>
        <v>0</v>
      </c>
    </row>
    <row r="1469" spans="1:46" ht="35.1" customHeight="1">
      <c r="A1469" s="8"/>
      <c r="B1469" s="107" t="s">
        <v>23</v>
      </c>
      <c r="C1469" s="322"/>
      <c r="D1469" s="18">
        <f>IF(AC1469="","",(1-$W$2)*(AC1469/1.2))</f>
        <v>4900</v>
      </c>
      <c r="E1469" s="66">
        <f>IF($W$5=0.2,D1469*1.2,D1469)/$W$4</f>
        <v>5880</v>
      </c>
      <c r="F1469" s="18">
        <f>IF(AD1469="","",(1-$W$2)*(AD1469/1.2))</f>
        <v>5583.3333333333339</v>
      </c>
      <c r="G1469" s="66">
        <f>IF($W$5=0.2,F1469*1.2,F1469)/$W$4</f>
        <v>6700.0000000000009</v>
      </c>
      <c r="H1469" s="18">
        <f>IF(AE1469="","",(1-$W$2)*(AE1469/1.2))</f>
        <v>5841.666666666667</v>
      </c>
      <c r="I1469" s="66">
        <f>IF($W$5=0.2,H1469*1.2,H1469)/$W$4</f>
        <v>7010</v>
      </c>
      <c r="J1469" s="18">
        <f>IF(AF1469="","",(1-$W$2)*(AF1469/1.2))</f>
        <v>6400</v>
      </c>
      <c r="K1469" s="66">
        <f>IF($W$5=0.2,J1469*1.2,J1469)/$W$4</f>
        <v>7680</v>
      </c>
      <c r="L1469" s="18">
        <f>IF(AG1469="","",(1-$W$2)*(AG1469/1.2))</f>
        <v>6708.3333333333339</v>
      </c>
      <c r="M1469" s="66">
        <f>IF($W$5=0.2,L1469*1.2,L1469)/$W$4</f>
        <v>8050</v>
      </c>
      <c r="N1469" s="104"/>
      <c r="R1469" s="104"/>
      <c r="T1469" s="104"/>
      <c r="U1469" s="20"/>
      <c r="V1469" s="104"/>
      <c r="W1469" s="20"/>
      <c r="X1469" s="104"/>
      <c r="Y1469" s="104"/>
      <c r="Z1469" s="104"/>
      <c r="AA1469" s="104"/>
      <c r="AB1469" s="104"/>
      <c r="AC1469" s="332">
        <v>5880</v>
      </c>
      <c r="AD1469" s="390">
        <v>6700</v>
      </c>
      <c r="AE1469" s="332">
        <v>7010</v>
      </c>
      <c r="AF1469" s="332">
        <v>7680</v>
      </c>
      <c r="AG1469" s="332">
        <v>8050</v>
      </c>
      <c r="AH1469" s="289">
        <v>5880</v>
      </c>
      <c r="AI1469" s="289">
        <f t="shared" ref="AI1469:AI1470" si="200">AH1469/AC1469-1</f>
        <v>0</v>
      </c>
      <c r="AJ1469" s="289">
        <v>6700</v>
      </c>
      <c r="AK1469" s="289">
        <f t="shared" ref="AK1469:AK1470" si="201">AJ1469/AD1469-1</f>
        <v>0</v>
      </c>
      <c r="AL1469" s="289">
        <v>7010</v>
      </c>
      <c r="AM1469" s="289">
        <f t="shared" ref="AM1469:AM1470" si="202">AL1469/AE1469-1</f>
        <v>0</v>
      </c>
      <c r="AN1469" s="289">
        <v>7680</v>
      </c>
      <c r="AO1469" s="289">
        <f t="shared" ref="AO1469:AO1470" si="203">AN1469/AF1469-1</f>
        <v>0</v>
      </c>
      <c r="AP1469" s="289">
        <v>8050</v>
      </c>
      <c r="AQ1469" s="289">
        <f t="shared" ref="AQ1469:AQ1470" si="204">AP1469/AG1469-1</f>
        <v>0</v>
      </c>
    </row>
    <row r="1470" spans="1:46" ht="35.1" customHeight="1">
      <c r="A1470" s="8"/>
      <c r="B1470" s="23" t="s">
        <v>51</v>
      </c>
      <c r="C1470" s="24"/>
      <c r="D1470" s="25">
        <f>IF(AC1470="","",(1-$W$2)*(AC1470/1.2))</f>
        <v>4900</v>
      </c>
      <c r="E1470" s="69">
        <f>IF($W$5=0.2,D1470*1.2,D1470)/$W$4</f>
        <v>5880</v>
      </c>
      <c r="F1470" s="25">
        <f>IF(AD1470="","",(1-$W$2)*(AD1470/1.2))</f>
        <v>5583.3333333333339</v>
      </c>
      <c r="G1470" s="69">
        <f>IF($W$5=0.2,F1470*1.2,F1470)/$W$4</f>
        <v>6700.0000000000009</v>
      </c>
      <c r="H1470" s="25">
        <f>IF(AE1470="","",(1-$W$2)*(AE1470/1.2))</f>
        <v>5841.666666666667</v>
      </c>
      <c r="I1470" s="69">
        <f>IF($W$5=0.2,H1470*1.2,H1470)/$W$4</f>
        <v>7010</v>
      </c>
      <c r="J1470" s="25">
        <f>IF(AF1470="","",(1-$W$2)*(AF1470/1.2))</f>
        <v>6400</v>
      </c>
      <c r="K1470" s="69">
        <f>IF($W$5=0.2,J1470*1.2,J1470)/$W$4</f>
        <v>7680</v>
      </c>
      <c r="L1470" s="25">
        <f>IF(AG1470="","",(1-$W$2)*(AG1470/1.2))</f>
        <v>6708.3333333333339</v>
      </c>
      <c r="M1470" s="69">
        <f>IF($W$5=0.2,L1470*1.2,L1470)/$W$4</f>
        <v>8050</v>
      </c>
      <c r="N1470" s="104"/>
      <c r="R1470" s="104"/>
      <c r="T1470" s="104"/>
      <c r="U1470" s="20"/>
      <c r="V1470" s="104"/>
      <c r="W1470" s="20"/>
      <c r="X1470" s="104"/>
      <c r="Y1470" s="104"/>
      <c r="Z1470" s="104"/>
      <c r="AA1470" s="104"/>
      <c r="AB1470" s="104"/>
      <c r="AC1470" s="332">
        <v>5880</v>
      </c>
      <c r="AD1470" s="390">
        <v>6700</v>
      </c>
      <c r="AE1470" s="332">
        <v>7010</v>
      </c>
      <c r="AF1470" s="332">
        <v>7680</v>
      </c>
      <c r="AG1470" s="332">
        <v>8050</v>
      </c>
      <c r="AH1470" s="289">
        <v>5880</v>
      </c>
      <c r="AI1470" s="289">
        <f t="shared" si="200"/>
        <v>0</v>
      </c>
      <c r="AJ1470" s="289">
        <v>6700</v>
      </c>
      <c r="AK1470" s="289">
        <f t="shared" si="201"/>
        <v>0</v>
      </c>
      <c r="AL1470" s="289">
        <v>7010</v>
      </c>
      <c r="AM1470" s="289">
        <f t="shared" si="202"/>
        <v>0</v>
      </c>
      <c r="AN1470" s="289">
        <v>7680</v>
      </c>
      <c r="AO1470" s="289">
        <f t="shared" si="203"/>
        <v>0</v>
      </c>
      <c r="AP1470" s="289">
        <v>8050</v>
      </c>
      <c r="AQ1470" s="289">
        <f t="shared" si="204"/>
        <v>0</v>
      </c>
    </row>
    <row r="1471" spans="1:46">
      <c r="C1471" s="245"/>
      <c r="D1471" s="26"/>
      <c r="E1471" s="57"/>
      <c r="F1471" s="26"/>
      <c r="G1471" s="57"/>
      <c r="H1471" s="10"/>
      <c r="I1471" s="8"/>
      <c r="J1471" s="8"/>
      <c r="K1471" s="8"/>
    </row>
    <row r="1472" spans="1:46">
      <c r="B1472" s="212" t="str">
        <f>IF($C$1="ENG","For additonal charge:","Послуги за додаткову плату:")</f>
        <v>Послуги за додаткову плату:</v>
      </c>
      <c r="C1472" s="420"/>
      <c r="D1472" s="213"/>
      <c r="E1472" s="214"/>
      <c r="F1472" s="26"/>
      <c r="G1472" s="57"/>
      <c r="H1472" s="10"/>
      <c r="I1472" s="8"/>
      <c r="J1472" s="8"/>
      <c r="K1472" s="8"/>
    </row>
    <row r="1473" spans="2:38" ht="5.0999999999999996" customHeight="1">
      <c r="B1473" s="27"/>
      <c r="C1473" s="245"/>
      <c r="D1473" s="26"/>
      <c r="E1473" s="57"/>
      <c r="F1473" s="26"/>
      <c r="G1473" s="57"/>
      <c r="H1473" s="10"/>
      <c r="I1473" s="8"/>
      <c r="J1473" s="8"/>
      <c r="K1473" s="8"/>
    </row>
    <row r="1474" spans="2:38">
      <c r="B1474" s="539" t="str">
        <f>IF($C$1="ENG","door leaf with width 100","полотно розміром 100")</f>
        <v>полотно розміром 100</v>
      </c>
      <c r="C1474" s="540"/>
      <c r="D1474" s="132">
        <f t="shared" ref="D1474:D1486" si="205">IF(AC1474="","",(1-$W$2)*(AC1474/1.2))</f>
        <v>600</v>
      </c>
      <c r="E1474" s="92">
        <f t="shared" ref="E1474:E1485" si="206">IF($W$5=0.2,D1474*1.2,D1474)/$W$4</f>
        <v>720</v>
      </c>
      <c r="F1474" s="26"/>
      <c r="G1474" s="26"/>
      <c r="H1474" s="10"/>
      <c r="I1474" s="8"/>
      <c r="J1474" s="8"/>
      <c r="K1474" s="8"/>
      <c r="AC1474" s="289">
        <v>720</v>
      </c>
      <c r="AD1474" s="289">
        <v>720</v>
      </c>
      <c r="AE1474" s="289"/>
      <c r="AF1474" s="289"/>
      <c r="AG1474" s="289"/>
      <c r="AH1474" s="289"/>
      <c r="AI1474" s="289"/>
      <c r="AJ1474" s="289"/>
      <c r="AK1474" s="289"/>
      <c r="AL1474" s="289"/>
    </row>
    <row r="1475" spans="2:38">
      <c r="B1475" s="539" t="str">
        <f>IF($C$1="ENG","Ventilation cut","вентиляційний підріз")</f>
        <v>вентиляційний підріз</v>
      </c>
      <c r="C1475" s="540"/>
      <c r="D1475" s="133">
        <f t="shared" si="205"/>
        <v>141.66666666666669</v>
      </c>
      <c r="E1475" s="66">
        <f t="shared" si="206"/>
        <v>170.00000000000003</v>
      </c>
      <c r="F1475" s="26"/>
      <c r="G1475" s="26"/>
      <c r="I1475" s="59"/>
      <c r="J1475" s="28"/>
      <c r="AC1475" s="289">
        <v>170</v>
      </c>
      <c r="AD1475" s="289">
        <v>170</v>
      </c>
      <c r="AE1475" s="289"/>
      <c r="AF1475" s="289"/>
      <c r="AG1475" s="289"/>
      <c r="AH1475" s="289"/>
      <c r="AI1475" s="289"/>
      <c r="AJ1475" s="289"/>
      <c r="AK1475" s="289"/>
      <c r="AL1475" s="289"/>
    </row>
    <row r="1476" spans="2:38">
      <c r="B1476" s="532" t="str">
        <f>IF($C$1="ENG","glazing Graphite / Bronze","скло Графіт / Бронза")</f>
        <v>скло Графіт / Бронза</v>
      </c>
      <c r="C1476" s="533"/>
      <c r="D1476" s="102">
        <f t="shared" si="205"/>
        <v>458.33333333333337</v>
      </c>
      <c r="E1476" s="93">
        <f t="shared" si="206"/>
        <v>550</v>
      </c>
      <c r="F1476" s="26"/>
      <c r="G1476" s="26"/>
      <c r="H1476" s="5"/>
      <c r="AC1476" s="289">
        <v>550</v>
      </c>
      <c r="AD1476" s="289">
        <v>550</v>
      </c>
      <c r="AE1476" s="289"/>
      <c r="AF1476" s="289"/>
      <c r="AG1476" s="289"/>
      <c r="AH1476" s="289"/>
      <c r="AI1476" s="289"/>
      <c r="AJ1476" s="289"/>
      <c r="AK1476" s="289"/>
      <c r="AL1476" s="289"/>
    </row>
    <row r="1477" spans="2:38">
      <c r="B1477" s="532" t="str">
        <f>IF($C$1="ENG","glazing Lacobel black ","скло Lacobel чорне")</f>
        <v>скло Lacobel чорне</v>
      </c>
      <c r="C1477" s="533"/>
      <c r="D1477" s="406">
        <f t="shared" si="205"/>
        <v>458.33333333333337</v>
      </c>
      <c r="E1477" s="93">
        <f>IF($W$5=0.2,D1477*1.2,D1477)/$W$4</f>
        <v>550</v>
      </c>
      <c r="F1477" s="26"/>
      <c r="G1477" s="26"/>
      <c r="H1477" s="5"/>
      <c r="AC1477" s="298">
        <v>550</v>
      </c>
      <c r="AD1477" s="298">
        <v>550</v>
      </c>
      <c r="AE1477" s="289"/>
      <c r="AF1477" s="289"/>
      <c r="AG1477" s="289"/>
      <c r="AH1477" s="289"/>
      <c r="AI1477" s="289"/>
      <c r="AJ1477" s="289"/>
      <c r="AK1477" s="289"/>
      <c r="AL1477" s="289"/>
    </row>
    <row r="1478" spans="2:38">
      <c r="B1478" s="532" t="str">
        <f>IF($C$1="ENG","door lock Soft","замок Soft")</f>
        <v>замок Soft</v>
      </c>
      <c r="C1478" s="533"/>
      <c r="D1478" s="102">
        <f t="shared" si="205"/>
        <v>458.33333333333337</v>
      </c>
      <c r="E1478" s="93">
        <f t="shared" si="206"/>
        <v>550</v>
      </c>
      <c r="F1478" s="26"/>
      <c r="G1478" s="26"/>
      <c r="H1478" s="5"/>
      <c r="AC1478" s="289">
        <v>550</v>
      </c>
      <c r="AD1478" s="289">
        <v>550</v>
      </c>
      <c r="AE1478" s="289"/>
      <c r="AF1478" s="289"/>
      <c r="AG1478" s="289"/>
      <c r="AH1478" s="289"/>
      <c r="AI1478" s="289"/>
      <c r="AJ1478" s="289"/>
      <c r="AK1478" s="289"/>
      <c r="AL1478" s="289"/>
    </row>
    <row r="1479" spans="2:38">
      <c r="B1479" s="532" t="str">
        <f>IF($C$1="ENG","door lock Soft black","замок Soft чорн.")</f>
        <v>замок Soft чорн.</v>
      </c>
      <c r="C1479" s="533"/>
      <c r="D1479" s="102">
        <f t="shared" ref="D1479" si="207">IF(AC1479="","",(1-$W$2)*(AC1479/1.2))</f>
        <v>566.66666666666674</v>
      </c>
      <c r="E1479" s="93">
        <f t="shared" ref="E1479" si="208">IF($W$5=0.2,D1479*1.2,D1479)/$W$4</f>
        <v>680.00000000000011</v>
      </c>
      <c r="F1479" s="26"/>
      <c r="G1479" s="26"/>
      <c r="H1479" s="5"/>
      <c r="AC1479" s="289">
        <v>680</v>
      </c>
      <c r="AD1479" s="289"/>
      <c r="AE1479" s="289"/>
      <c r="AF1479" s="289"/>
      <c r="AG1479" s="289"/>
      <c r="AH1479" s="289"/>
      <c r="AI1479" s="289"/>
      <c r="AJ1479" s="289"/>
      <c r="AK1479" s="289"/>
      <c r="AL1479" s="289"/>
    </row>
    <row r="1480" spans="2:38">
      <c r="B1480" s="532" t="str">
        <f>IF($C$1="ENG","door lock Magnet","замок Magnet")</f>
        <v>замок Magnet</v>
      </c>
      <c r="C1480" s="533"/>
      <c r="D1480" s="102">
        <f t="shared" si="205"/>
        <v>666.66666666666674</v>
      </c>
      <c r="E1480" s="93">
        <f t="shared" si="206"/>
        <v>800.00000000000011</v>
      </c>
      <c r="F1480" s="26"/>
      <c r="G1480" s="26"/>
      <c r="H1480" s="5"/>
      <c r="AC1480" s="289">
        <v>800</v>
      </c>
      <c r="AD1480" s="289">
        <v>800</v>
      </c>
      <c r="AE1480" s="289"/>
      <c r="AF1480" s="289"/>
      <c r="AG1480" s="289"/>
      <c r="AH1480" s="289"/>
      <c r="AI1480" s="289"/>
      <c r="AJ1480" s="289"/>
      <c r="AK1480" s="289"/>
      <c r="AL1480" s="289"/>
    </row>
    <row r="1481" spans="2:38">
      <c r="B1481" s="532" t="s">
        <v>75</v>
      </c>
      <c r="C1481" s="533"/>
      <c r="D1481" s="102">
        <f t="shared" ref="D1481" si="209">IF(AC1481="","",(1-$W$2)*(AC1481/1.2))</f>
        <v>833.33333333333337</v>
      </c>
      <c r="E1481" s="93">
        <f t="shared" ref="E1481" si="210">IF($W$5=0.2,D1481*1.2,D1481)/$W$4</f>
        <v>1000</v>
      </c>
      <c r="F1481" s="26"/>
      <c r="G1481" s="26"/>
      <c r="H1481" s="5"/>
      <c r="AC1481" s="289">
        <v>1000</v>
      </c>
      <c r="AD1481" s="289"/>
      <c r="AE1481" s="289"/>
      <c r="AF1481" s="289"/>
      <c r="AG1481" s="289"/>
      <c r="AH1481" s="289"/>
      <c r="AI1481" s="289"/>
      <c r="AJ1481" s="289"/>
      <c r="AK1481" s="289"/>
      <c r="AL1481" s="289"/>
    </row>
    <row r="1482" spans="2:38">
      <c r="B1482" s="532" t="str">
        <f>IF($C$1="ENG","door handle-lock (for sliding doors)","ручка-замок (для дверей купе)")</f>
        <v>ручка-замок (для дверей купе)</v>
      </c>
      <c r="C1482" s="533"/>
      <c r="D1482" s="133">
        <f t="shared" si="205"/>
        <v>466.66666666666669</v>
      </c>
      <c r="E1482" s="93">
        <f t="shared" si="206"/>
        <v>560</v>
      </c>
      <c r="F1482" s="26"/>
      <c r="G1482" s="26"/>
      <c r="I1482" s="11"/>
      <c r="J1482" s="11"/>
      <c r="K1482" s="19"/>
      <c r="AC1482" s="289">
        <v>560</v>
      </c>
      <c r="AD1482" s="289">
        <v>560</v>
      </c>
      <c r="AE1482" s="289"/>
      <c r="AF1482" s="289"/>
      <c r="AG1482" s="289"/>
      <c r="AH1482" s="289"/>
      <c r="AI1482" s="289"/>
      <c r="AJ1482" s="289"/>
      <c r="AK1482" s="289"/>
      <c r="AL1482" s="289"/>
    </row>
    <row r="1483" spans="2:38">
      <c r="B1483" s="532" t="str">
        <f>IF($C$1="ENG","cylinder incert","циліндр несиметричний")</f>
        <v>циліндр несиметричний</v>
      </c>
      <c r="C1483" s="533"/>
      <c r="D1483" s="133">
        <f t="shared" si="205"/>
        <v>316.66666666666669</v>
      </c>
      <c r="E1483" s="93">
        <f t="shared" si="206"/>
        <v>380</v>
      </c>
      <c r="F1483" s="26"/>
      <c r="G1483" s="26"/>
      <c r="AC1483" s="289">
        <v>380</v>
      </c>
      <c r="AD1483" s="289">
        <v>380</v>
      </c>
      <c r="AE1483" s="289"/>
      <c r="AF1483" s="289"/>
      <c r="AG1483" s="289"/>
      <c r="AH1483" s="289"/>
      <c r="AI1483" s="289"/>
      <c r="AJ1483" s="289"/>
      <c r="AK1483" s="289"/>
      <c r="AL1483" s="289"/>
    </row>
    <row r="1484" spans="2:38">
      <c r="B1484" s="532" t="str">
        <f>IF($C$1="ENG","door hindge Prestige (1 unit)","завіса Prestige (1 шт)")</f>
        <v>завіса Prestige (1 шт)</v>
      </c>
      <c r="C1484" s="533"/>
      <c r="D1484" s="135">
        <f t="shared" si="205"/>
        <v>216.66666666666669</v>
      </c>
      <c r="E1484" s="93">
        <f t="shared" si="206"/>
        <v>260</v>
      </c>
      <c r="F1484" s="26"/>
      <c r="G1484" s="26"/>
      <c r="AC1484" s="289">
        <v>260</v>
      </c>
      <c r="AD1484" s="289">
        <v>260</v>
      </c>
      <c r="AE1484" s="289"/>
      <c r="AF1484" s="289"/>
      <c r="AG1484" s="289"/>
      <c r="AH1484" s="289"/>
      <c r="AI1484" s="289"/>
      <c r="AJ1484" s="289"/>
      <c r="AK1484" s="289"/>
      <c r="AL1484" s="289"/>
    </row>
    <row r="1485" spans="2:38">
      <c r="B1485" s="532" t="str">
        <f>IF($C$1="ENG","door hinge caps (1 set)","накладка на завіси (1 к-т)")</f>
        <v>накладка на завіси (1 к-т)</v>
      </c>
      <c r="C1485" s="533"/>
      <c r="D1485" s="135">
        <f t="shared" si="205"/>
        <v>66.666666666666671</v>
      </c>
      <c r="E1485" s="93">
        <f t="shared" si="206"/>
        <v>80</v>
      </c>
      <c r="F1485" s="26"/>
      <c r="G1485" s="26"/>
      <c r="AC1485" s="289">
        <v>80</v>
      </c>
      <c r="AD1485" s="289">
        <v>80</v>
      </c>
      <c r="AE1485" s="289"/>
      <c r="AF1485" s="289"/>
      <c r="AG1485" s="289"/>
      <c r="AH1485" s="289"/>
      <c r="AI1485" s="289"/>
      <c r="AJ1485" s="289"/>
      <c r="AK1485" s="289"/>
      <c r="AL1485" s="289"/>
    </row>
    <row r="1486" spans="2:38">
      <c r="B1486" s="532" t="str">
        <f>IF($C$1="ENG","door handle","дверна ручка")</f>
        <v>дверна ручка</v>
      </c>
      <c r="C1486" s="533"/>
      <c r="D1486" s="134" t="str">
        <f t="shared" si="205"/>
        <v/>
      </c>
      <c r="E1486" s="247" t="str">
        <f>IF($C$1="ENG","see Handles Price","див. Таблицю Ручки")</f>
        <v>див. Таблицю Ручки</v>
      </c>
      <c r="F1486" s="26"/>
      <c r="G1486" s="26"/>
      <c r="AC1486" s="289"/>
      <c r="AD1486" s="289"/>
      <c r="AE1486" s="289"/>
      <c r="AF1486" s="289"/>
      <c r="AG1486" s="289"/>
      <c r="AH1486" s="289"/>
      <c r="AI1486" s="289"/>
      <c r="AJ1486" s="289"/>
      <c r="AK1486" s="289"/>
      <c r="AL1486" s="289"/>
    </row>
    <row r="1487" spans="2:38" ht="14.25" customHeight="1">
      <c r="C1487" s="245"/>
      <c r="D1487" s="26"/>
      <c r="E1487" s="26"/>
      <c r="F1487" s="26"/>
      <c r="G1487" s="26"/>
      <c r="H1487" s="5"/>
      <c r="U1487" s="525" t="str">
        <f>IF($C$1="ENG",CONCATENATE("down to: ",B1537),CONCATENATE("вниз до: ",B1537))</f>
        <v>вниз до: Полотна збірні: ТРЕНД</v>
      </c>
      <c r="V1487" s="525"/>
      <c r="W1487" s="525"/>
      <c r="X1487" s="323"/>
      <c r="Y1487" s="323"/>
      <c r="Z1487" s="323"/>
      <c r="AA1487" s="323"/>
      <c r="AB1487" s="323"/>
    </row>
    <row r="1488" spans="2:38" ht="14.25" customHeight="1">
      <c r="C1488" s="245"/>
      <c r="D1488" s="26"/>
      <c r="E1488" s="26"/>
      <c r="F1488" s="26"/>
      <c r="G1488" s="26"/>
      <c r="H1488" s="5"/>
    </row>
    <row r="1489" spans="3:8" ht="14.25" customHeight="1">
      <c r="C1489" s="245"/>
      <c r="D1489" s="26"/>
      <c r="E1489" s="26"/>
      <c r="F1489" s="26"/>
      <c r="G1489" s="26"/>
      <c r="H1489" s="5"/>
    </row>
    <row r="1490" spans="3:8" ht="14.25" customHeight="1">
      <c r="C1490" s="245"/>
      <c r="D1490" s="26"/>
      <c r="E1490" s="26"/>
      <c r="F1490" s="26"/>
      <c r="G1490" s="26"/>
      <c r="H1490" s="5"/>
    </row>
    <row r="1491" spans="3:8" ht="14.25" customHeight="1">
      <c r="C1491" s="245"/>
      <c r="D1491" s="26"/>
      <c r="E1491" s="26"/>
      <c r="F1491" s="26"/>
      <c r="G1491" s="26"/>
      <c r="H1491" s="5"/>
    </row>
    <row r="1492" spans="3:8" ht="14.25" customHeight="1">
      <c r="C1492" s="245"/>
      <c r="D1492" s="26"/>
      <c r="E1492" s="26"/>
      <c r="F1492" s="26"/>
      <c r="G1492" s="26"/>
      <c r="H1492" s="5"/>
    </row>
    <row r="1493" spans="3:8" ht="14.25" customHeight="1">
      <c r="C1493" s="245"/>
      <c r="D1493" s="26"/>
      <c r="E1493" s="26"/>
      <c r="F1493" s="26"/>
      <c r="G1493" s="26"/>
      <c r="H1493" s="5"/>
    </row>
    <row r="1494" spans="3:8" ht="14.25" customHeight="1">
      <c r="C1494" s="245"/>
      <c r="D1494" s="26"/>
      <c r="E1494" s="26"/>
      <c r="F1494" s="26"/>
      <c r="G1494" s="26"/>
      <c r="H1494" s="5"/>
    </row>
    <row r="1495" spans="3:8" ht="14.25" customHeight="1">
      <c r="C1495" s="245"/>
      <c r="D1495" s="26"/>
      <c r="E1495" s="26"/>
      <c r="F1495" s="26"/>
      <c r="G1495" s="26"/>
      <c r="H1495" s="5"/>
    </row>
    <row r="1496" spans="3:8" ht="14.25" customHeight="1">
      <c r="C1496" s="245"/>
      <c r="D1496" s="26"/>
      <c r="E1496" s="26"/>
      <c r="F1496" s="26"/>
      <c r="G1496" s="26"/>
      <c r="H1496" s="5"/>
    </row>
    <row r="1497" spans="3:8" ht="14.25" customHeight="1">
      <c r="C1497" s="245"/>
      <c r="D1497" s="26"/>
      <c r="E1497" s="26"/>
      <c r="F1497" s="26"/>
      <c r="G1497" s="26"/>
      <c r="H1497" s="5"/>
    </row>
    <row r="1498" spans="3:8" ht="14.25" customHeight="1">
      <c r="C1498" s="245"/>
      <c r="D1498" s="26"/>
      <c r="E1498" s="26"/>
      <c r="F1498" s="26"/>
      <c r="G1498" s="26"/>
      <c r="H1498" s="5"/>
    </row>
    <row r="1499" spans="3:8" ht="14.25" customHeight="1">
      <c r="C1499" s="245"/>
      <c r="D1499" s="26"/>
      <c r="E1499" s="26"/>
      <c r="F1499" s="26"/>
      <c r="G1499" s="26"/>
      <c r="H1499" s="5"/>
    </row>
    <row r="1500" spans="3:8" ht="14.25" customHeight="1">
      <c r="C1500" s="245"/>
      <c r="D1500" s="26"/>
      <c r="E1500" s="26"/>
      <c r="F1500" s="26"/>
      <c r="G1500" s="26"/>
      <c r="H1500" s="5"/>
    </row>
    <row r="1501" spans="3:8" ht="14.25" customHeight="1">
      <c r="C1501" s="245"/>
      <c r="D1501" s="26"/>
      <c r="E1501" s="26"/>
      <c r="F1501" s="26"/>
      <c r="G1501" s="26"/>
      <c r="H1501" s="5"/>
    </row>
    <row r="1502" spans="3:8" ht="14.25" customHeight="1">
      <c r="C1502" s="245"/>
      <c r="D1502" s="26"/>
      <c r="E1502" s="26"/>
      <c r="F1502" s="26"/>
      <c r="G1502" s="26"/>
      <c r="H1502" s="5"/>
    </row>
    <row r="1503" spans="3:8" ht="14.25" customHeight="1">
      <c r="C1503" s="245"/>
      <c r="D1503" s="26"/>
      <c r="E1503" s="26"/>
      <c r="F1503" s="26"/>
      <c r="G1503" s="26"/>
      <c r="H1503" s="5"/>
    </row>
    <row r="1504" spans="3:8" ht="14.25" customHeight="1">
      <c r="C1504" s="245"/>
      <c r="D1504" s="26"/>
      <c r="E1504" s="26"/>
      <c r="F1504" s="26"/>
      <c r="G1504" s="26"/>
      <c r="H1504" s="5"/>
    </row>
    <row r="1505" spans="3:8" ht="14.25" customHeight="1">
      <c r="C1505" s="245"/>
      <c r="D1505" s="26"/>
      <c r="E1505" s="26"/>
      <c r="F1505" s="26"/>
      <c r="G1505" s="26"/>
      <c r="H1505" s="5"/>
    </row>
    <row r="1506" spans="3:8" ht="14.25" customHeight="1">
      <c r="C1506" s="245"/>
      <c r="D1506" s="26"/>
      <c r="E1506" s="26"/>
      <c r="F1506" s="26"/>
      <c r="G1506" s="26"/>
      <c r="H1506" s="5"/>
    </row>
    <row r="1507" spans="3:8" ht="14.25" customHeight="1">
      <c r="C1507" s="245"/>
      <c r="D1507" s="26"/>
      <c r="E1507" s="26"/>
      <c r="F1507" s="26"/>
      <c r="G1507" s="26"/>
      <c r="H1507" s="5"/>
    </row>
    <row r="1508" spans="3:8" ht="14.25" customHeight="1">
      <c r="C1508" s="245"/>
      <c r="D1508" s="26"/>
      <c r="E1508" s="26"/>
      <c r="F1508" s="26"/>
      <c r="G1508" s="26"/>
      <c r="H1508" s="5"/>
    </row>
    <row r="1509" spans="3:8" ht="14.25" customHeight="1">
      <c r="C1509" s="245"/>
      <c r="D1509" s="26"/>
      <c r="E1509" s="26"/>
      <c r="F1509" s="26"/>
      <c r="G1509" s="26"/>
      <c r="H1509" s="5"/>
    </row>
    <row r="1510" spans="3:8" ht="14.25" customHeight="1">
      <c r="C1510" s="245"/>
      <c r="D1510" s="26"/>
      <c r="E1510" s="26"/>
      <c r="F1510" s="26"/>
      <c r="G1510" s="26"/>
      <c r="H1510" s="5"/>
    </row>
    <row r="1511" spans="3:8" ht="14.25" customHeight="1">
      <c r="C1511" s="245"/>
      <c r="D1511" s="26"/>
      <c r="E1511" s="26"/>
      <c r="F1511" s="26"/>
      <c r="G1511" s="26"/>
      <c r="H1511" s="5"/>
    </row>
    <row r="1512" spans="3:8" ht="14.25" customHeight="1">
      <c r="C1512" s="245"/>
      <c r="D1512" s="26"/>
      <c r="E1512" s="26"/>
      <c r="F1512" s="26"/>
      <c r="G1512" s="26"/>
      <c r="H1512" s="5"/>
    </row>
    <row r="1513" spans="3:8" ht="14.25" customHeight="1">
      <c r="C1513" s="245"/>
      <c r="D1513" s="26"/>
      <c r="E1513" s="26"/>
      <c r="F1513" s="26"/>
      <c r="G1513" s="26"/>
      <c r="H1513" s="5"/>
    </row>
    <row r="1514" spans="3:8" ht="14.25" customHeight="1">
      <c r="C1514" s="245"/>
      <c r="D1514" s="26"/>
      <c r="E1514" s="26"/>
      <c r="F1514" s="26"/>
      <c r="G1514" s="26"/>
      <c r="H1514" s="5"/>
    </row>
    <row r="1515" spans="3:8" ht="14.25" customHeight="1">
      <c r="C1515" s="245"/>
      <c r="D1515" s="26"/>
      <c r="E1515" s="26"/>
      <c r="F1515" s="26"/>
      <c r="G1515" s="26"/>
      <c r="H1515" s="5"/>
    </row>
    <row r="1516" spans="3:8" ht="14.25" customHeight="1">
      <c r="C1516" s="245"/>
      <c r="D1516" s="26"/>
      <c r="E1516" s="26"/>
      <c r="F1516" s="26"/>
      <c r="G1516" s="26"/>
      <c r="H1516" s="5"/>
    </row>
    <row r="1517" spans="3:8" ht="14.25" customHeight="1">
      <c r="C1517" s="245"/>
      <c r="D1517" s="26"/>
      <c r="E1517" s="26"/>
      <c r="F1517" s="26"/>
      <c r="G1517" s="26"/>
      <c r="H1517" s="5"/>
    </row>
    <row r="1518" spans="3:8" ht="14.25" customHeight="1">
      <c r="C1518" s="245"/>
      <c r="D1518" s="26"/>
      <c r="E1518" s="26"/>
      <c r="F1518" s="26"/>
      <c r="G1518" s="26"/>
      <c r="H1518" s="5"/>
    </row>
    <row r="1519" spans="3:8" ht="14.25" customHeight="1">
      <c r="C1519" s="245"/>
      <c r="D1519" s="26"/>
      <c r="E1519" s="26"/>
      <c r="F1519" s="26"/>
      <c r="G1519" s="26"/>
      <c r="H1519" s="5"/>
    </row>
    <row r="1520" spans="3:8" ht="14.25" customHeight="1">
      <c r="C1520" s="245"/>
      <c r="D1520" s="26"/>
      <c r="E1520" s="26"/>
      <c r="F1520" s="26"/>
      <c r="G1520" s="26"/>
      <c r="H1520" s="5"/>
    </row>
    <row r="1521" spans="3:8" ht="14.25" customHeight="1">
      <c r="C1521" s="245"/>
      <c r="D1521" s="26"/>
      <c r="E1521" s="26"/>
      <c r="F1521" s="26"/>
      <c r="G1521" s="26"/>
      <c r="H1521" s="5"/>
    </row>
    <row r="1522" spans="3:8" ht="14.25" customHeight="1">
      <c r="C1522" s="245"/>
      <c r="D1522" s="26"/>
      <c r="E1522" s="26"/>
      <c r="F1522" s="26"/>
      <c r="G1522" s="26"/>
      <c r="H1522" s="5"/>
    </row>
    <row r="1523" spans="3:8" ht="14.25" customHeight="1">
      <c r="C1523" s="245"/>
      <c r="D1523" s="26"/>
      <c r="E1523" s="26"/>
      <c r="F1523" s="26"/>
      <c r="G1523" s="26"/>
      <c r="H1523" s="5"/>
    </row>
    <row r="1524" spans="3:8" ht="14.25" customHeight="1">
      <c r="C1524" s="245"/>
      <c r="D1524" s="26"/>
      <c r="E1524" s="26"/>
      <c r="F1524" s="26"/>
      <c r="G1524" s="26"/>
      <c r="H1524" s="5"/>
    </row>
    <row r="1525" spans="3:8" ht="14.25" customHeight="1">
      <c r="C1525" s="245"/>
      <c r="D1525" s="26"/>
      <c r="E1525" s="26"/>
      <c r="F1525" s="26"/>
      <c r="G1525" s="26"/>
      <c r="H1525" s="5"/>
    </row>
    <row r="1526" spans="3:8" ht="14.25" customHeight="1">
      <c r="C1526" s="245"/>
      <c r="D1526" s="26"/>
      <c r="E1526" s="26"/>
      <c r="F1526" s="26"/>
      <c r="G1526" s="26"/>
      <c r="H1526" s="5"/>
    </row>
    <row r="1527" spans="3:8" ht="14.25" customHeight="1">
      <c r="C1527" s="245"/>
      <c r="D1527" s="26"/>
      <c r="E1527" s="26"/>
      <c r="F1527" s="26"/>
      <c r="G1527" s="26"/>
      <c r="H1527" s="5"/>
    </row>
    <row r="1528" spans="3:8" ht="14.25" customHeight="1">
      <c r="C1528" s="245"/>
      <c r="D1528" s="26"/>
      <c r="E1528" s="26"/>
      <c r="F1528" s="26"/>
      <c r="G1528" s="26"/>
      <c r="H1528" s="5"/>
    </row>
    <row r="1529" spans="3:8" ht="14.25" customHeight="1">
      <c r="C1529" s="245"/>
      <c r="D1529" s="26"/>
      <c r="E1529" s="26"/>
      <c r="F1529" s="26"/>
      <c r="G1529" s="26"/>
      <c r="H1529" s="5"/>
    </row>
    <row r="1530" spans="3:8" ht="14.25" customHeight="1">
      <c r="C1530" s="245"/>
      <c r="D1530" s="26"/>
      <c r="E1530" s="26"/>
      <c r="F1530" s="26"/>
      <c r="G1530" s="26"/>
      <c r="H1530" s="5"/>
    </row>
    <row r="1531" spans="3:8" ht="14.25" customHeight="1">
      <c r="C1531" s="245"/>
      <c r="D1531" s="26"/>
      <c r="E1531" s="26"/>
      <c r="F1531" s="26"/>
      <c r="G1531" s="26"/>
      <c r="H1531" s="5"/>
    </row>
    <row r="1532" spans="3:8" ht="14.25" customHeight="1">
      <c r="C1532" s="245"/>
      <c r="D1532" s="26"/>
      <c r="E1532" s="26"/>
      <c r="F1532" s="26"/>
      <c r="G1532" s="26"/>
      <c r="H1532" s="5"/>
    </row>
    <row r="1533" spans="3:8" ht="14.25" customHeight="1">
      <c r="C1533" s="245"/>
      <c r="D1533" s="26"/>
      <c r="E1533" s="26"/>
      <c r="F1533" s="26"/>
      <c r="G1533" s="26"/>
      <c r="H1533" s="5"/>
    </row>
    <row r="1534" spans="3:8" ht="14.25" customHeight="1">
      <c r="C1534" s="245"/>
      <c r="D1534" s="26"/>
      <c r="E1534" s="26"/>
      <c r="F1534" s="26"/>
      <c r="G1534" s="26"/>
      <c r="H1534" s="5"/>
    </row>
    <row r="1535" spans="3:8" ht="14.25" customHeight="1">
      <c r="C1535" s="245"/>
      <c r="D1535" s="26"/>
      <c r="E1535" s="26"/>
      <c r="F1535" s="26"/>
      <c r="G1535" s="26"/>
      <c r="H1535" s="5"/>
    </row>
    <row r="1536" spans="3:8" ht="14.25" customHeight="1">
      <c r="C1536" s="245"/>
      <c r="D1536" s="26"/>
      <c r="E1536" s="26"/>
      <c r="F1536" s="26"/>
      <c r="G1536" s="26"/>
      <c r="H1536" s="5"/>
    </row>
    <row r="1537" spans="2:43" ht="14.25" customHeight="1">
      <c r="B1537" s="518" t="str">
        <f>TITLE!C29</f>
        <v>Полотна збірні: ТРЕНД</v>
      </c>
      <c r="C1537" s="518"/>
      <c r="D1537" s="118"/>
      <c r="E1537" s="118"/>
      <c r="F1537" s="118"/>
      <c r="G1537" s="118"/>
      <c r="H1537" s="520"/>
      <c r="I1537" s="520"/>
      <c r="J1537" s="121"/>
      <c r="K1537" s="121"/>
      <c r="L1537" s="121"/>
      <c r="M1537" s="121"/>
      <c r="N1537" s="121"/>
      <c r="O1537" s="121"/>
      <c r="P1537" s="121"/>
      <c r="Q1537" s="121"/>
      <c r="R1537" s="121"/>
      <c r="S1537" s="121"/>
      <c r="T1537" s="529" t="str">
        <f>IF($C$1="ENG",CONCATENATE("up to: ",B1463),CONCATENATE("вгору до: ",B1463))</f>
        <v>вгору до: Полотна збірні: ЄВА</v>
      </c>
      <c r="U1537" s="529"/>
      <c r="V1537" s="529"/>
      <c r="W1537" s="529"/>
      <c r="X1537" s="8"/>
      <c r="Y1537" s="8"/>
      <c r="Z1537" s="8"/>
      <c r="AA1537" s="8"/>
      <c r="AB1537" s="8"/>
      <c r="AC1537" s="8"/>
      <c r="AD1537" s="8"/>
      <c r="AE1537" s="8"/>
      <c r="AF1537" s="8"/>
      <c r="AG1537" s="289">
        <f>AB1537/100*12+AB1537</f>
        <v>0</v>
      </c>
      <c r="AH1537" s="289" t="e">
        <f>AG1537/AB1537-1</f>
        <v>#DIV/0!</v>
      </c>
      <c r="AI1537" s="8"/>
      <c r="AJ1537" s="8"/>
      <c r="AK1537" s="8"/>
      <c r="AL1537" s="8"/>
    </row>
    <row r="1538" spans="2:43" ht="4.5" customHeight="1">
      <c r="B1538" s="117"/>
      <c r="C1538" s="419"/>
      <c r="D1538" s="9"/>
      <c r="E1538" s="9"/>
      <c r="F1538" s="9"/>
      <c r="G1538" s="9"/>
      <c r="H1538" s="120"/>
      <c r="I1538" s="120"/>
      <c r="L1538" s="8"/>
      <c r="M1538" s="8"/>
      <c r="N1538" s="8"/>
      <c r="O1538" s="8"/>
      <c r="P1538" s="8"/>
      <c r="Q1538" s="8"/>
      <c r="R1538" s="8"/>
      <c r="S1538" s="8"/>
      <c r="T1538" s="115"/>
      <c r="U1538" s="115"/>
      <c r="V1538" s="115"/>
      <c r="W1538" s="115"/>
      <c r="X1538" s="8"/>
      <c r="Y1538" s="8"/>
      <c r="Z1538" s="8"/>
      <c r="AA1538" s="8"/>
      <c r="AB1538" s="8"/>
      <c r="AC1538" s="8"/>
      <c r="AD1538" s="8"/>
      <c r="AE1538" s="8"/>
      <c r="AF1538" s="8"/>
      <c r="AG1538" s="8"/>
      <c r="AH1538" s="8"/>
      <c r="AI1538" s="8"/>
      <c r="AJ1538" s="8"/>
      <c r="AK1538" s="8"/>
      <c r="AL1538" s="8"/>
    </row>
    <row r="1539" spans="2:43" ht="14.25" customHeight="1">
      <c r="B1539" s="536" t="str">
        <f>IF($C$1="ENG","model","модель")</f>
        <v>модель</v>
      </c>
      <c r="C1539" s="122" t="str">
        <f>IF($C$1="ENG","cover:","покриття:")</f>
        <v>покриття:</v>
      </c>
      <c r="D1539" s="522" t="str">
        <f>IF($C$1="ENG","Verto-CELL","Verto-CELL")</f>
        <v>Verto-CELL</v>
      </c>
      <c r="E1539" s="524"/>
      <c r="F1539" s="522" t="str">
        <f>IF($C$1="ENG","UNI-MAT","UNI-MAT")</f>
        <v>UNI-MAT</v>
      </c>
      <c r="G1539" s="524"/>
      <c r="H1539" s="522" t="str">
        <f>IF($C$1="ENG","RESIST","RESIST")</f>
        <v>RESIST</v>
      </c>
      <c r="I1539" s="524"/>
      <c r="J1539" s="522" t="str">
        <f>IF($C$1="ENG","Verto LINE-3D","Verto LINE-3D")</f>
        <v>Verto LINE-3D</v>
      </c>
      <c r="K1539" s="524"/>
      <c r="L1539" s="522" t="str">
        <f>IF($C$1="ENG","ECO Shpon","ЕКО Шпон")</f>
        <v>ЕКО Шпон</v>
      </c>
      <c r="M1539" s="524"/>
      <c r="N1539" s="8"/>
      <c r="O1539" s="8"/>
      <c r="P1539" s="20"/>
      <c r="Q1539" s="20"/>
      <c r="R1539" s="8"/>
      <c r="S1539" s="8"/>
      <c r="T1539" s="115"/>
      <c r="U1539" s="115"/>
      <c r="V1539" s="115"/>
      <c r="W1539" s="115"/>
      <c r="X1539" s="8"/>
      <c r="Y1539" s="8"/>
      <c r="Z1539" s="8"/>
      <c r="AA1539" s="8"/>
      <c r="AB1539" s="8"/>
      <c r="AC1539" s="8"/>
      <c r="AD1539" s="8"/>
      <c r="AE1539" s="8"/>
      <c r="AF1539" s="8"/>
      <c r="AG1539" s="8"/>
      <c r="AH1539" s="8"/>
      <c r="AI1539" s="8"/>
      <c r="AJ1539" s="8"/>
      <c r="AK1539" s="8"/>
      <c r="AL1539" s="8"/>
    </row>
    <row r="1540" spans="2:43" ht="27.75" customHeight="1">
      <c r="B1540" s="537"/>
      <c r="C1540" s="123" t="str">
        <f>IF($C$1="ENG","filling:","заповнення:")</f>
        <v>заповнення:</v>
      </c>
      <c r="D1540" s="527" t="str">
        <f>IF($C$1="ENG","softwood","клеєний сосновий брус")</f>
        <v>клеєний сосновий брус</v>
      </c>
      <c r="E1540" s="528"/>
      <c r="F1540" s="527" t="str">
        <f>IF($C$1="ENG","softwood","клеєний сосновий брус")</f>
        <v>клеєний сосновий брус</v>
      </c>
      <c r="G1540" s="528"/>
      <c r="H1540" s="527" t="str">
        <f>IF($C$1="ENG","softwood","клеєний сосновий брус")</f>
        <v>клеєний сосновий брус</v>
      </c>
      <c r="I1540" s="528"/>
      <c r="J1540" s="527" t="str">
        <f>IF($C$1="ENG","softwood","клеєний сосновий брус")</f>
        <v>клеєний сосновий брус</v>
      </c>
      <c r="K1540" s="528"/>
      <c r="L1540" s="527" t="str">
        <f>IF($C$1="ENG","softwood","клеєний сосновий брус")</f>
        <v>клеєний сосновий брус</v>
      </c>
      <c r="M1540" s="528"/>
      <c r="N1540" s="8"/>
      <c r="O1540" s="8"/>
      <c r="P1540" s="20"/>
      <c r="Q1540" s="20"/>
      <c r="R1540" s="8"/>
      <c r="S1540" s="8"/>
      <c r="T1540" s="115"/>
      <c r="U1540" s="115"/>
      <c r="V1540" s="115"/>
      <c r="W1540" s="115"/>
      <c r="X1540" s="8"/>
      <c r="Y1540" s="8"/>
      <c r="Z1540" s="8"/>
      <c r="AA1540" s="8"/>
      <c r="AB1540" s="8"/>
      <c r="AC1540" s="8"/>
      <c r="AD1540" s="382">
        <f>AD1542/AC1542-1</f>
        <v>0.1102257636122177</v>
      </c>
      <c r="AE1540" s="382">
        <f>AE1542/AD1542-1</f>
        <v>3.3492822966507241E-2</v>
      </c>
      <c r="AF1540" s="382">
        <f>AF1542/AE1542-1</f>
        <v>4.513888888888884E-2</v>
      </c>
      <c r="AG1540" s="382">
        <f>AG1542/AF1542-1</f>
        <v>4.6511627906976827E-2</v>
      </c>
      <c r="AH1540" s="8"/>
      <c r="AI1540" s="8"/>
      <c r="AJ1540" s="8"/>
      <c r="AK1540" s="8"/>
      <c r="AL1540" s="8"/>
    </row>
    <row r="1541" spans="2:43" ht="14.25" customHeight="1">
      <c r="B1541" s="538"/>
      <c r="C1541" s="124" t="str">
        <f>IF($C$1="ENG","glazing:","скління:")</f>
        <v>скління:</v>
      </c>
      <c r="D1541" s="513" t="str">
        <f>IF($C$1="ENG","Satin","Сатин")</f>
        <v>Сатин</v>
      </c>
      <c r="E1541" s="516"/>
      <c r="F1541" s="513" t="str">
        <f>IF($C$1="ENG","Satin","Сатин")</f>
        <v>Сатин</v>
      </c>
      <c r="G1541" s="516"/>
      <c r="H1541" s="513" t="str">
        <f>IF($C$1="ENG","Satin","Сатин")</f>
        <v>Сатин</v>
      </c>
      <c r="I1541" s="516"/>
      <c r="J1541" s="513" t="str">
        <f>IF($C$1="ENG","Satin","Сатин")</f>
        <v>Сатин</v>
      </c>
      <c r="K1541" s="516"/>
      <c r="L1541" s="513" t="str">
        <f>IF($C$1="ENG","Satin","Сатин")</f>
        <v>Сатин</v>
      </c>
      <c r="M1541" s="516"/>
      <c r="N1541" s="11"/>
      <c r="O1541" s="11"/>
      <c r="P1541" s="20"/>
      <c r="Q1541" s="20"/>
      <c r="R1541" s="11"/>
      <c r="S1541" s="11"/>
      <c r="T1541" s="11"/>
    </row>
    <row r="1542" spans="2:43" ht="34.5" customHeight="1">
      <c r="B1542" s="13" t="s">
        <v>24</v>
      </c>
      <c r="C1542" s="14"/>
      <c r="D1542" s="15">
        <f>IF(AC1542="","",(1-$W$2)*(AC1542/1.2))</f>
        <v>6275</v>
      </c>
      <c r="E1542" s="64">
        <f>IF($W$5=0.2,D1542*1.2,D1542)/$W$4</f>
        <v>7530</v>
      </c>
      <c r="F1542" s="15">
        <f>IF(AD1542="","",(1-$W$2)*(AD1542/1.2))</f>
        <v>6966.666666666667</v>
      </c>
      <c r="G1542" s="64">
        <f>IF($W$5=0.2,F1542*1.2,F1542)/$W$4</f>
        <v>8360</v>
      </c>
      <c r="H1542" s="15">
        <f>IF(AE1542="","",(1-$W$2)*(AE1542/1.2))</f>
        <v>7200</v>
      </c>
      <c r="I1542" s="64">
        <f>IF($W$5=0.2,H1542*1.2,H1542)/$W$4</f>
        <v>8640</v>
      </c>
      <c r="J1542" s="15">
        <f>IF(AF1542="","",(1-$W$2)*(AF1542/1.2))</f>
        <v>7525</v>
      </c>
      <c r="K1542" s="64">
        <f>IF($W$5=0.2,J1542*1.2,J1542)/$W$4</f>
        <v>9030</v>
      </c>
      <c r="L1542" s="15">
        <f>IF(AG1542="","",(1-$W$2)*(AG1542/1.2))</f>
        <v>7875</v>
      </c>
      <c r="M1542" s="64">
        <f>IF($W$5=0.2,L1542*1.2,L1542)/$W$4</f>
        <v>9450</v>
      </c>
      <c r="N1542" s="104"/>
      <c r="O1542" s="20"/>
      <c r="P1542" s="20"/>
      <c r="Q1542" s="20"/>
      <c r="R1542" s="104"/>
      <c r="S1542" s="20"/>
      <c r="T1542" s="104"/>
      <c r="U1542" s="20"/>
      <c r="V1542" s="104"/>
      <c r="W1542" s="20"/>
      <c r="X1542" s="22"/>
      <c r="Y1542" s="22"/>
      <c r="Z1542" s="22"/>
      <c r="AA1542" s="22"/>
      <c r="AB1542" s="22"/>
      <c r="AC1542" s="332">
        <v>7530</v>
      </c>
      <c r="AD1542" s="390">
        <v>8360</v>
      </c>
      <c r="AE1542" s="332">
        <v>8640</v>
      </c>
      <c r="AF1542" s="332">
        <v>9030</v>
      </c>
      <c r="AG1542" s="332">
        <v>9450</v>
      </c>
      <c r="AH1542" s="289">
        <v>7530</v>
      </c>
      <c r="AI1542" s="289">
        <f>AH1542/AC1542-1</f>
        <v>0</v>
      </c>
      <c r="AJ1542" s="289">
        <v>8360</v>
      </c>
      <c r="AK1542" s="289">
        <f>AJ1542/AD1542-1</f>
        <v>0</v>
      </c>
      <c r="AL1542" s="289">
        <v>8640</v>
      </c>
      <c r="AM1542" s="289">
        <f>AL1542/AE1542-1</f>
        <v>0</v>
      </c>
      <c r="AN1542" s="289">
        <v>9030</v>
      </c>
      <c r="AO1542" s="289">
        <f>AN1542/AF1542-1</f>
        <v>0</v>
      </c>
      <c r="AP1542" s="289">
        <v>9450</v>
      </c>
      <c r="AQ1542" s="289">
        <f>AP1542/AG1542-1</f>
        <v>0</v>
      </c>
    </row>
    <row r="1543" spans="2:43" ht="34.5" customHeight="1">
      <c r="B1543" s="16" t="s">
        <v>35</v>
      </c>
      <c r="C1543" s="17"/>
      <c r="D1543" s="18">
        <f>IF(AC1543="","",(1-$W$2)*(AC1543/1.2))</f>
        <v>6275</v>
      </c>
      <c r="E1543" s="66">
        <f>IF($W$5=0.2,D1543*1.2,D1543)/$W$4</f>
        <v>7530</v>
      </c>
      <c r="F1543" s="18">
        <f>IF(AD1543="","",(1-$W$2)*(AD1543/1.2))</f>
        <v>6966.666666666667</v>
      </c>
      <c r="G1543" s="66">
        <f>IF($W$5=0.2,F1543*1.2,F1543)/$W$4</f>
        <v>8360</v>
      </c>
      <c r="H1543" s="18">
        <f>IF(AE1543="","",(1-$W$2)*(AE1543/1.2))</f>
        <v>7200</v>
      </c>
      <c r="I1543" s="66">
        <f>IF($W$5=0.2,H1543*1.2,H1543)/$W$4</f>
        <v>8640</v>
      </c>
      <c r="J1543" s="18">
        <f>IF(AF1543="","",(1-$W$2)*(AF1543/1.2))</f>
        <v>7525</v>
      </c>
      <c r="K1543" s="66">
        <f>IF($W$5=0.2,J1543*1.2,J1543)/$W$4</f>
        <v>9030</v>
      </c>
      <c r="L1543" s="18">
        <f>IF(AG1543="","",(1-$W$2)*(AG1543/1.2))</f>
        <v>7875</v>
      </c>
      <c r="M1543" s="66">
        <f>IF($W$5=0.2,L1543*1.2,L1543)/$W$4</f>
        <v>9450</v>
      </c>
      <c r="N1543" s="104"/>
      <c r="O1543" s="20"/>
      <c r="P1543" s="20"/>
      <c r="Q1543" s="20"/>
      <c r="R1543" s="104"/>
      <c r="S1543" s="20"/>
      <c r="T1543" s="104"/>
      <c r="U1543" s="20"/>
      <c r="V1543" s="104"/>
      <c r="W1543" s="20"/>
      <c r="X1543" s="22"/>
      <c r="Y1543" s="22"/>
      <c r="Z1543" s="22"/>
      <c r="AA1543" s="22"/>
      <c r="AB1543" s="22"/>
      <c r="AC1543" s="332">
        <v>7530</v>
      </c>
      <c r="AD1543" s="390">
        <v>8360</v>
      </c>
      <c r="AE1543" s="332">
        <v>8640</v>
      </c>
      <c r="AF1543" s="332">
        <v>9030</v>
      </c>
      <c r="AG1543" s="332">
        <v>9450</v>
      </c>
      <c r="AH1543" s="289">
        <v>7530</v>
      </c>
      <c r="AI1543" s="289">
        <f t="shared" ref="AI1543:AI1544" si="211">AH1543/AC1543-1</f>
        <v>0</v>
      </c>
      <c r="AJ1543" s="289">
        <v>8360</v>
      </c>
      <c r="AK1543" s="289">
        <f t="shared" ref="AK1543:AK1544" si="212">AJ1543/AD1543-1</f>
        <v>0</v>
      </c>
      <c r="AL1543" s="289">
        <v>8640</v>
      </c>
      <c r="AM1543" s="289">
        <f t="shared" ref="AM1543:AM1544" si="213">AL1543/AE1543-1</f>
        <v>0</v>
      </c>
      <c r="AN1543" s="289">
        <v>9030</v>
      </c>
      <c r="AO1543" s="289">
        <f t="shared" ref="AO1543:AO1544" si="214">AN1543/AF1543-1</f>
        <v>0</v>
      </c>
      <c r="AP1543" s="289">
        <v>9450</v>
      </c>
      <c r="AQ1543" s="289">
        <f t="shared" ref="AQ1543:AQ1544" si="215">AP1543/AG1543-1</f>
        <v>0</v>
      </c>
    </row>
    <row r="1544" spans="2:43" ht="34.5" customHeight="1">
      <c r="B1544" s="23" t="s">
        <v>36</v>
      </c>
      <c r="C1544" s="24"/>
      <c r="D1544" s="25">
        <f>IF(AC1544="","",(1-$W$2)*(AC1544/1.2))</f>
        <v>6275</v>
      </c>
      <c r="E1544" s="69">
        <f>IF($W$5=0.2,D1544*1.2,D1544)/$W$4</f>
        <v>7530</v>
      </c>
      <c r="F1544" s="25">
        <f>IF(AD1544="","",(1-$W$2)*(AD1544/1.2))</f>
        <v>6966.666666666667</v>
      </c>
      <c r="G1544" s="69">
        <f>IF($W$5=0.2,F1544*1.2,F1544)/$W$4</f>
        <v>8360</v>
      </c>
      <c r="H1544" s="25">
        <f>IF(AE1544="","",(1-$W$2)*(AE1544/1.2))</f>
        <v>7200</v>
      </c>
      <c r="I1544" s="69">
        <f>IF($W$5=0.2,H1544*1.2,H1544)/$W$4</f>
        <v>8640</v>
      </c>
      <c r="J1544" s="25">
        <f>IF(AF1544="","",(1-$W$2)*(AF1544/1.2))</f>
        <v>7525</v>
      </c>
      <c r="K1544" s="69">
        <f>IF($W$5=0.2,J1544*1.2,J1544)/$W$4</f>
        <v>9030</v>
      </c>
      <c r="L1544" s="25">
        <f>IF(AG1544="","",(1-$W$2)*(AG1544/1.2))</f>
        <v>7875</v>
      </c>
      <c r="M1544" s="69">
        <f>IF($W$5=0.2,L1544*1.2,L1544)/$W$4</f>
        <v>9450</v>
      </c>
      <c r="N1544" s="104"/>
      <c r="O1544" s="20"/>
      <c r="P1544" s="20"/>
      <c r="Q1544" s="20"/>
      <c r="R1544" s="104"/>
      <c r="S1544" s="20"/>
      <c r="T1544" s="104"/>
      <c r="U1544" s="20"/>
      <c r="V1544" s="104"/>
      <c r="W1544" s="20"/>
      <c r="X1544" s="22"/>
      <c r="Y1544" s="22"/>
      <c r="Z1544" s="22"/>
      <c r="AA1544" s="22"/>
      <c r="AB1544" s="22"/>
      <c r="AC1544" s="332">
        <v>7530</v>
      </c>
      <c r="AD1544" s="390">
        <v>8360</v>
      </c>
      <c r="AE1544" s="332">
        <v>8640</v>
      </c>
      <c r="AF1544" s="332">
        <v>9030</v>
      </c>
      <c r="AG1544" s="332">
        <v>9450</v>
      </c>
      <c r="AH1544" s="289">
        <v>7530</v>
      </c>
      <c r="AI1544" s="289">
        <f t="shared" si="211"/>
        <v>0</v>
      </c>
      <c r="AJ1544" s="289">
        <v>8360</v>
      </c>
      <c r="AK1544" s="289">
        <f t="shared" si="212"/>
        <v>0</v>
      </c>
      <c r="AL1544" s="289">
        <v>8640</v>
      </c>
      <c r="AM1544" s="289">
        <f t="shared" si="213"/>
        <v>0</v>
      </c>
      <c r="AN1544" s="289">
        <v>9030</v>
      </c>
      <c r="AO1544" s="289">
        <f t="shared" si="214"/>
        <v>0</v>
      </c>
      <c r="AP1544" s="289">
        <v>9450</v>
      </c>
      <c r="AQ1544" s="289">
        <f t="shared" si="215"/>
        <v>0</v>
      </c>
    </row>
    <row r="1545" spans="2:43" ht="12.75" customHeight="1">
      <c r="C1545" s="245"/>
      <c r="D1545" s="26"/>
      <c r="E1545" s="57"/>
      <c r="F1545" s="26"/>
      <c r="G1545" s="57"/>
      <c r="H1545" s="5"/>
      <c r="P1545" s="20"/>
      <c r="Q1545" s="20"/>
    </row>
    <row r="1546" spans="2:43" ht="12.75" customHeight="1">
      <c r="B1546" s="212" t="str">
        <f>IF($C$1="ENG","For additonal charge:","Послуги за додаткову плату:")</f>
        <v>Послуги за додаткову плату:</v>
      </c>
      <c r="C1546" s="420"/>
      <c r="D1546" s="213"/>
      <c r="E1546" s="214"/>
      <c r="F1546" s="26"/>
      <c r="G1546" s="57"/>
      <c r="H1546" s="10"/>
      <c r="I1546" s="8"/>
      <c r="J1546" s="8"/>
      <c r="K1546" s="8"/>
    </row>
    <row r="1547" spans="2:43" ht="4.5" customHeight="1">
      <c r="B1547" s="27"/>
      <c r="C1547" s="245"/>
      <c r="D1547" s="26"/>
      <c r="E1547" s="57"/>
      <c r="F1547" s="26"/>
      <c r="G1547" s="26"/>
      <c r="H1547" s="10"/>
      <c r="I1547" s="8"/>
      <c r="J1547" s="8"/>
      <c r="K1547" s="8"/>
    </row>
    <row r="1548" spans="2:43" ht="12.75" customHeight="1">
      <c r="B1548" s="539" t="str">
        <f>IF($C$1="ENG","door leaf with width 100","полотно розміром 100")</f>
        <v>полотно розміром 100</v>
      </c>
      <c r="C1548" s="540"/>
      <c r="D1548" s="132">
        <f t="shared" ref="D1548:D1560" si="216">IF(AC1548="","",(1-$W$2)*(AC1548/1.2))</f>
        <v>600</v>
      </c>
      <c r="E1548" s="92">
        <f t="shared" ref="E1548:E1559" si="217">IF($W$5=0.2,D1548*1.2,D1548)/$W$4</f>
        <v>720</v>
      </c>
      <c r="F1548" s="26"/>
      <c r="G1548" s="26"/>
      <c r="H1548" s="10"/>
      <c r="I1548" s="8"/>
      <c r="J1548" s="8"/>
      <c r="K1548" s="8"/>
      <c r="AC1548" s="289">
        <v>720</v>
      </c>
      <c r="AD1548" s="289">
        <v>720</v>
      </c>
      <c r="AE1548" s="289"/>
      <c r="AF1548" s="289"/>
      <c r="AG1548" s="289"/>
      <c r="AH1548" s="289"/>
      <c r="AI1548" s="289"/>
      <c r="AJ1548" s="289"/>
      <c r="AK1548" s="289"/>
      <c r="AL1548" s="289"/>
    </row>
    <row r="1549" spans="2:43" ht="12.75" customHeight="1">
      <c r="B1549" s="532" t="str">
        <f>IF($C$1="ENG","Ventilation sleeves (1 row)","вентиляційні віддушини (1ряд)")</f>
        <v>вентиляційні віддушини (1ряд)</v>
      </c>
      <c r="C1549" s="533"/>
      <c r="D1549" s="133">
        <f t="shared" si="216"/>
        <v>208.33333333333334</v>
      </c>
      <c r="E1549" s="93">
        <f t="shared" si="217"/>
        <v>250</v>
      </c>
      <c r="F1549" s="26"/>
      <c r="G1549" s="26"/>
      <c r="I1549" s="11"/>
      <c r="J1549" s="11"/>
      <c r="K1549" s="11"/>
      <c r="AC1549" s="289">
        <v>250</v>
      </c>
      <c r="AD1549" s="289">
        <v>250</v>
      </c>
      <c r="AE1549" s="289"/>
      <c r="AF1549" s="289"/>
      <c r="AG1549" s="289"/>
      <c r="AH1549" s="289"/>
      <c r="AI1549" s="289"/>
      <c r="AJ1549" s="289"/>
      <c r="AK1549" s="289"/>
      <c r="AL1549" s="289"/>
    </row>
    <row r="1550" spans="2:43" ht="12.75" customHeight="1">
      <c r="B1550" s="539" t="str">
        <f>IF($C$1="ENG","Ventilation cut","вентиляційний підріз")</f>
        <v>вентиляційний підріз</v>
      </c>
      <c r="C1550" s="540"/>
      <c r="D1550" s="133">
        <f t="shared" si="216"/>
        <v>141.66666666666669</v>
      </c>
      <c r="E1550" s="66">
        <f t="shared" si="217"/>
        <v>170.00000000000003</v>
      </c>
      <c r="F1550" s="26"/>
      <c r="G1550" s="26"/>
      <c r="I1550" s="59"/>
      <c r="J1550" s="28"/>
      <c r="AC1550" s="289">
        <v>170</v>
      </c>
      <c r="AD1550" s="289">
        <v>170</v>
      </c>
      <c r="AE1550" s="289"/>
      <c r="AF1550" s="289"/>
      <c r="AG1550" s="289"/>
      <c r="AH1550" s="289"/>
      <c r="AI1550" s="289"/>
      <c r="AJ1550" s="289"/>
      <c r="AK1550" s="289"/>
      <c r="AL1550" s="289"/>
    </row>
    <row r="1551" spans="2:43" ht="12.75" customHeight="1">
      <c r="B1551" s="532" t="str">
        <f>IF($C$1="ENG","glazing Graphite / Bronze","скло Графіт / Бронза")</f>
        <v>скло Графіт / Бронза</v>
      </c>
      <c r="C1551" s="533"/>
      <c r="D1551" s="102">
        <f t="shared" si="216"/>
        <v>458.33333333333337</v>
      </c>
      <c r="E1551" s="93">
        <f t="shared" si="217"/>
        <v>550</v>
      </c>
      <c r="F1551" s="26"/>
      <c r="G1551" s="26"/>
      <c r="H1551" s="5"/>
      <c r="AC1551" s="289">
        <v>550</v>
      </c>
      <c r="AD1551" s="289">
        <v>550</v>
      </c>
      <c r="AE1551" s="289"/>
      <c r="AF1551" s="289"/>
      <c r="AG1551" s="289"/>
      <c r="AH1551" s="289"/>
      <c r="AI1551" s="289"/>
      <c r="AJ1551" s="289"/>
      <c r="AK1551" s="289"/>
      <c r="AL1551" s="289"/>
    </row>
    <row r="1552" spans="2:43" ht="12.75" customHeight="1">
      <c r="B1552" s="532" t="str">
        <f>IF($C$1="ENG","door lock Soft","замок Soft")</f>
        <v>замок Soft</v>
      </c>
      <c r="C1552" s="533"/>
      <c r="D1552" s="102">
        <f t="shared" si="216"/>
        <v>458.33333333333337</v>
      </c>
      <c r="E1552" s="93">
        <f t="shared" si="217"/>
        <v>550</v>
      </c>
      <c r="F1552" s="26"/>
      <c r="G1552" s="26"/>
      <c r="H1552" s="5"/>
      <c r="AC1552" s="289">
        <v>550</v>
      </c>
      <c r="AD1552" s="289">
        <v>550</v>
      </c>
      <c r="AE1552" s="289"/>
      <c r="AF1552" s="289"/>
      <c r="AG1552" s="289"/>
      <c r="AH1552" s="289"/>
      <c r="AI1552" s="289"/>
      <c r="AJ1552" s="289"/>
      <c r="AK1552" s="289"/>
      <c r="AL1552" s="289"/>
    </row>
    <row r="1553" spans="2:38" ht="12.75" customHeight="1">
      <c r="B1553" s="532" t="str">
        <f>IF($C$1="ENG","door lock Soft black","замок Soft чорн.")</f>
        <v>замок Soft чорн.</v>
      </c>
      <c r="C1553" s="533"/>
      <c r="D1553" s="102">
        <f t="shared" ref="D1553" si="218">IF(AC1553="","",(1-$W$2)*(AC1553/1.2))</f>
        <v>566.66666666666674</v>
      </c>
      <c r="E1553" s="93">
        <f t="shared" ref="E1553" si="219">IF($W$5=0.2,D1553*1.2,D1553)/$W$4</f>
        <v>680.00000000000011</v>
      </c>
      <c r="F1553" s="26"/>
      <c r="G1553" s="26"/>
      <c r="H1553" s="5"/>
      <c r="AC1553" s="289">
        <v>680</v>
      </c>
      <c r="AD1553" s="289"/>
      <c r="AE1553" s="289"/>
      <c r="AF1553" s="289"/>
      <c r="AG1553" s="289"/>
      <c r="AH1553" s="289"/>
      <c r="AI1553" s="289"/>
      <c r="AJ1553" s="289"/>
      <c r="AK1553" s="289"/>
      <c r="AL1553" s="289"/>
    </row>
    <row r="1554" spans="2:38" ht="12.75" customHeight="1">
      <c r="B1554" s="532" t="str">
        <f>IF($C$1="ENG","door lock Magnet","замок Magnet")</f>
        <v>замок Magnet</v>
      </c>
      <c r="C1554" s="533"/>
      <c r="D1554" s="102">
        <f t="shared" si="216"/>
        <v>666.66666666666674</v>
      </c>
      <c r="E1554" s="93">
        <f t="shared" si="217"/>
        <v>800.00000000000011</v>
      </c>
      <c r="F1554" s="26"/>
      <c r="G1554" s="26"/>
      <c r="H1554" s="5"/>
      <c r="AC1554" s="289">
        <v>800</v>
      </c>
      <c r="AD1554" s="289">
        <v>800</v>
      </c>
      <c r="AE1554" s="289"/>
      <c r="AF1554" s="289"/>
      <c r="AG1554" s="289"/>
      <c r="AH1554" s="289"/>
      <c r="AI1554" s="289"/>
      <c r="AJ1554" s="289"/>
      <c r="AK1554" s="289"/>
      <c r="AL1554" s="289"/>
    </row>
    <row r="1555" spans="2:38" ht="12.75" customHeight="1">
      <c r="B1555" s="532" t="s">
        <v>75</v>
      </c>
      <c r="C1555" s="533"/>
      <c r="D1555" s="102">
        <f t="shared" si="216"/>
        <v>833.33333333333337</v>
      </c>
      <c r="E1555" s="93">
        <f t="shared" si="217"/>
        <v>1000</v>
      </c>
      <c r="F1555" s="26"/>
      <c r="G1555" s="26"/>
      <c r="H1555" s="5"/>
      <c r="AC1555" s="289">
        <v>1000</v>
      </c>
      <c r="AD1555" s="289"/>
      <c r="AE1555" s="289"/>
      <c r="AF1555" s="289"/>
      <c r="AG1555" s="289"/>
      <c r="AH1555" s="289"/>
      <c r="AI1555" s="289"/>
      <c r="AJ1555" s="289"/>
      <c r="AK1555" s="289"/>
      <c r="AL1555" s="289"/>
    </row>
    <row r="1556" spans="2:38" ht="12.75" customHeight="1">
      <c r="B1556" s="532" t="str">
        <f>IF($C$1="ENG","door handle-lock (for sliding doors)","ручка-замок (для дверей купе)")</f>
        <v>ручка-замок (для дверей купе)</v>
      </c>
      <c r="C1556" s="533"/>
      <c r="D1556" s="133">
        <f t="shared" si="216"/>
        <v>466.66666666666669</v>
      </c>
      <c r="E1556" s="93">
        <f t="shared" si="217"/>
        <v>560</v>
      </c>
      <c r="F1556" s="26"/>
      <c r="G1556" s="26"/>
      <c r="I1556" s="11"/>
      <c r="J1556" s="11"/>
      <c r="K1556" s="19"/>
      <c r="AC1556" s="289">
        <v>560</v>
      </c>
      <c r="AD1556" s="289">
        <v>560</v>
      </c>
      <c r="AE1556" s="289"/>
      <c r="AF1556" s="289"/>
      <c r="AG1556" s="289"/>
      <c r="AH1556" s="289"/>
      <c r="AI1556" s="289"/>
      <c r="AJ1556" s="289"/>
      <c r="AK1556" s="289"/>
      <c r="AL1556" s="289"/>
    </row>
    <row r="1557" spans="2:38" ht="12.75" customHeight="1">
      <c r="B1557" s="532" t="str">
        <f>IF($C$1="ENG","cylinder incert","циліндр несиметричний")</f>
        <v>циліндр несиметричний</v>
      </c>
      <c r="C1557" s="533"/>
      <c r="D1557" s="133">
        <f t="shared" si="216"/>
        <v>316.66666666666669</v>
      </c>
      <c r="E1557" s="93">
        <f t="shared" si="217"/>
        <v>380</v>
      </c>
      <c r="F1557" s="26"/>
      <c r="G1557" s="26"/>
      <c r="I1557" s="20"/>
      <c r="AC1557" s="289">
        <v>380</v>
      </c>
      <c r="AD1557" s="289">
        <v>380</v>
      </c>
      <c r="AE1557" s="289"/>
      <c r="AF1557" s="289"/>
      <c r="AG1557" s="289"/>
      <c r="AH1557" s="289"/>
      <c r="AI1557" s="289"/>
      <c r="AJ1557" s="289"/>
      <c r="AK1557" s="289"/>
      <c r="AL1557" s="289"/>
    </row>
    <row r="1558" spans="2:38" ht="12.75" customHeight="1">
      <c r="B1558" s="532" t="str">
        <f>IF($C$1="ENG","door hindge Prestige (1 unit)","завіса Prestige (1 шт)")</f>
        <v>завіса Prestige (1 шт)</v>
      </c>
      <c r="C1558" s="533"/>
      <c r="D1558" s="135">
        <f t="shared" si="216"/>
        <v>216.66666666666669</v>
      </c>
      <c r="E1558" s="93">
        <f t="shared" si="217"/>
        <v>260</v>
      </c>
      <c r="F1558" s="26"/>
      <c r="G1558" s="26"/>
      <c r="AC1558" s="289">
        <v>260</v>
      </c>
      <c r="AD1558" s="289">
        <v>260</v>
      </c>
      <c r="AE1558" s="289"/>
      <c r="AF1558" s="289"/>
      <c r="AG1558" s="289"/>
      <c r="AH1558" s="289"/>
      <c r="AI1558" s="289"/>
      <c r="AJ1558" s="289"/>
      <c r="AK1558" s="289"/>
      <c r="AL1558" s="289"/>
    </row>
    <row r="1559" spans="2:38" ht="12.75" customHeight="1">
      <c r="B1559" s="532" t="str">
        <f>IF($C$1="ENG","door hinge caps (1 set)","накладка на завіси (1 к-т)")</f>
        <v>накладка на завіси (1 к-т)</v>
      </c>
      <c r="C1559" s="533"/>
      <c r="D1559" s="135">
        <f t="shared" si="216"/>
        <v>66.666666666666671</v>
      </c>
      <c r="E1559" s="93">
        <f t="shared" si="217"/>
        <v>80</v>
      </c>
      <c r="F1559" s="26"/>
      <c r="G1559" s="26"/>
      <c r="AC1559" s="289">
        <v>80</v>
      </c>
      <c r="AD1559" s="289">
        <v>80</v>
      </c>
      <c r="AE1559" s="289"/>
      <c r="AF1559" s="289"/>
      <c r="AG1559" s="289"/>
      <c r="AH1559" s="289"/>
      <c r="AI1559" s="289"/>
      <c r="AJ1559" s="289"/>
      <c r="AK1559" s="289"/>
      <c r="AL1559" s="289"/>
    </row>
    <row r="1560" spans="2:38" ht="12.75" customHeight="1">
      <c r="B1560" s="532" t="str">
        <f>IF($C$1="ENG","door handle","дверна ручка")</f>
        <v>дверна ручка</v>
      </c>
      <c r="C1560" s="533"/>
      <c r="D1560" s="134" t="str">
        <f t="shared" si="216"/>
        <v/>
      </c>
      <c r="E1560" s="247" t="str">
        <f>IF($C$1="ENG","see Handles Price","див. Таблицю Ручки")</f>
        <v>див. Таблицю Ручки</v>
      </c>
      <c r="F1560" s="26"/>
      <c r="G1560" s="26"/>
      <c r="AC1560" s="289"/>
      <c r="AD1560" s="289"/>
      <c r="AE1560" s="289"/>
      <c r="AF1560" s="289"/>
      <c r="AG1560" s="289"/>
      <c r="AH1560" s="289"/>
      <c r="AI1560" s="289"/>
      <c r="AJ1560" s="289"/>
      <c r="AK1560" s="289"/>
      <c r="AL1560" s="289"/>
    </row>
    <row r="1561" spans="2:38" ht="14.25" customHeight="1">
      <c r="C1561" s="245"/>
      <c r="D1561" s="26"/>
      <c r="E1561" s="26"/>
      <c r="F1561" s="26"/>
      <c r="G1561" s="26"/>
      <c r="H1561" s="5"/>
      <c r="T1561" s="525" t="str">
        <f>IF($C$1="ENG",CONCATENATE("down to: ",B1611),CONCATENATE("вниз до: ",B1611))</f>
        <v>вниз до: Полотна збірні: МОДЕРН</v>
      </c>
      <c r="U1561" s="525"/>
      <c r="V1561" s="525"/>
      <c r="W1561" s="525"/>
    </row>
    <row r="1562" spans="2:38" ht="14.25" customHeight="1">
      <c r="C1562" s="245"/>
      <c r="D1562" s="26"/>
      <c r="E1562" s="26"/>
      <c r="F1562" s="26"/>
      <c r="G1562" s="26"/>
      <c r="H1562" s="5"/>
      <c r="T1562" s="115"/>
      <c r="U1562" s="115"/>
      <c r="V1562" s="115"/>
      <c r="W1562" s="115"/>
    </row>
    <row r="1563" spans="2:38" ht="14.25" customHeight="1">
      <c r="C1563" s="245"/>
      <c r="D1563" s="26"/>
      <c r="E1563" s="26"/>
      <c r="F1563" s="26"/>
      <c r="G1563" s="26"/>
      <c r="H1563" s="5"/>
      <c r="T1563" s="115"/>
      <c r="U1563" s="115"/>
      <c r="V1563" s="115"/>
      <c r="W1563" s="115"/>
    </row>
    <row r="1564" spans="2:38" ht="14.25" customHeight="1">
      <c r="C1564" s="245"/>
      <c r="D1564" s="26"/>
      <c r="E1564" s="26"/>
      <c r="F1564" s="26"/>
      <c r="G1564" s="26"/>
      <c r="H1564" s="5"/>
      <c r="T1564" s="115"/>
      <c r="U1564" s="115"/>
      <c r="V1564" s="115"/>
      <c r="W1564" s="115"/>
    </row>
    <row r="1565" spans="2:38" ht="14.25" customHeight="1">
      <c r="C1565" s="245"/>
      <c r="D1565" s="26"/>
      <c r="E1565" s="26"/>
      <c r="F1565" s="26"/>
      <c r="G1565" s="26"/>
      <c r="H1565" s="5"/>
      <c r="T1565" s="115"/>
      <c r="U1565" s="115"/>
      <c r="V1565" s="115"/>
      <c r="W1565" s="115"/>
    </row>
    <row r="1566" spans="2:38" ht="14.25" customHeight="1">
      <c r="C1566" s="245"/>
      <c r="D1566" s="26"/>
      <c r="E1566" s="26"/>
      <c r="F1566" s="26"/>
      <c r="G1566" s="26"/>
      <c r="H1566" s="5"/>
      <c r="T1566" s="115"/>
      <c r="U1566" s="115"/>
      <c r="V1566" s="115"/>
      <c r="W1566" s="115"/>
    </row>
    <row r="1567" spans="2:38" ht="14.25" customHeight="1">
      <c r="C1567" s="245"/>
      <c r="D1567" s="26"/>
      <c r="E1567" s="26"/>
      <c r="F1567" s="26"/>
      <c r="G1567" s="26"/>
      <c r="H1567" s="5"/>
      <c r="T1567" s="115"/>
      <c r="U1567" s="115"/>
      <c r="V1567" s="115"/>
      <c r="W1567" s="115"/>
    </row>
    <row r="1568" spans="2:38" ht="14.25" customHeight="1">
      <c r="C1568" s="245"/>
      <c r="D1568" s="26"/>
      <c r="E1568" s="26"/>
      <c r="F1568" s="26"/>
      <c r="G1568" s="26"/>
      <c r="H1568" s="5"/>
      <c r="T1568" s="115"/>
      <c r="U1568" s="115"/>
      <c r="V1568" s="115"/>
      <c r="W1568" s="115"/>
    </row>
    <row r="1569" spans="3:23" ht="14.25" customHeight="1">
      <c r="C1569" s="245"/>
      <c r="D1569" s="26"/>
      <c r="E1569" s="26"/>
      <c r="F1569" s="26"/>
      <c r="G1569" s="26"/>
      <c r="H1569" s="5"/>
      <c r="T1569" s="115"/>
      <c r="U1569" s="115"/>
      <c r="V1569" s="115"/>
      <c r="W1569" s="115"/>
    </row>
    <row r="1570" spans="3:23" ht="14.25" customHeight="1">
      <c r="C1570" s="245"/>
      <c r="D1570" s="26"/>
      <c r="E1570" s="26"/>
      <c r="F1570" s="26"/>
      <c r="G1570" s="26"/>
      <c r="H1570" s="5"/>
      <c r="T1570" s="115"/>
      <c r="U1570" s="115"/>
      <c r="V1570" s="115"/>
      <c r="W1570" s="115"/>
    </row>
    <row r="1571" spans="3:23" ht="14.25" customHeight="1">
      <c r="C1571" s="245"/>
      <c r="D1571" s="26"/>
      <c r="E1571" s="26"/>
      <c r="F1571" s="26"/>
      <c r="G1571" s="26"/>
      <c r="H1571" s="5"/>
      <c r="T1571" s="115"/>
      <c r="U1571" s="115"/>
      <c r="V1571" s="115"/>
      <c r="W1571" s="115"/>
    </row>
    <row r="1572" spans="3:23" ht="14.25" customHeight="1">
      <c r="C1572" s="245"/>
      <c r="D1572" s="26"/>
      <c r="E1572" s="26"/>
      <c r="F1572" s="26"/>
      <c r="G1572" s="26"/>
      <c r="H1572" s="5"/>
      <c r="T1572" s="115"/>
      <c r="U1572" s="115"/>
      <c r="V1572" s="115"/>
      <c r="W1572" s="115"/>
    </row>
    <row r="1573" spans="3:23" ht="14.25" customHeight="1">
      <c r="C1573" s="245"/>
      <c r="D1573" s="26"/>
      <c r="E1573" s="26"/>
      <c r="F1573" s="26"/>
      <c r="G1573" s="26"/>
      <c r="H1573" s="5"/>
      <c r="T1573" s="115"/>
      <c r="U1573" s="115"/>
      <c r="V1573" s="115"/>
      <c r="W1573" s="115"/>
    </row>
    <row r="1574" spans="3:23" ht="14.25" customHeight="1">
      <c r="C1574" s="245"/>
      <c r="D1574" s="26"/>
      <c r="E1574" s="26"/>
      <c r="F1574" s="26"/>
      <c r="G1574" s="26"/>
      <c r="H1574" s="5"/>
      <c r="T1574" s="115"/>
      <c r="U1574" s="115"/>
      <c r="V1574" s="115"/>
      <c r="W1574" s="115"/>
    </row>
    <row r="1575" spans="3:23" ht="14.25" customHeight="1">
      <c r="C1575" s="245"/>
      <c r="D1575" s="26"/>
      <c r="E1575" s="26"/>
      <c r="F1575" s="26"/>
      <c r="G1575" s="26"/>
      <c r="H1575" s="5"/>
      <c r="T1575" s="115"/>
      <c r="U1575" s="115"/>
      <c r="V1575" s="115"/>
      <c r="W1575" s="115"/>
    </row>
    <row r="1576" spans="3:23" ht="14.25" customHeight="1">
      <c r="C1576" s="245"/>
      <c r="D1576" s="26"/>
      <c r="E1576" s="26"/>
      <c r="F1576" s="26"/>
      <c r="G1576" s="26"/>
      <c r="H1576" s="5"/>
      <c r="T1576" s="115"/>
      <c r="U1576" s="115"/>
      <c r="V1576" s="115"/>
      <c r="W1576" s="115"/>
    </row>
    <row r="1577" spans="3:23" ht="14.25" customHeight="1">
      <c r="C1577" s="245"/>
      <c r="D1577" s="26"/>
      <c r="E1577" s="26"/>
      <c r="F1577" s="26"/>
      <c r="G1577" s="26"/>
      <c r="H1577" s="5"/>
      <c r="T1577" s="115"/>
      <c r="U1577" s="115"/>
      <c r="V1577" s="115"/>
      <c r="W1577" s="115"/>
    </row>
    <row r="1578" spans="3:23" ht="14.25" customHeight="1">
      <c r="C1578" s="245"/>
      <c r="D1578" s="26"/>
      <c r="E1578" s="26"/>
      <c r="F1578" s="26"/>
      <c r="G1578" s="26"/>
      <c r="H1578" s="5"/>
      <c r="T1578" s="115"/>
      <c r="U1578" s="115"/>
      <c r="V1578" s="115"/>
      <c r="W1578" s="115"/>
    </row>
    <row r="1579" spans="3:23" ht="14.25" customHeight="1">
      <c r="C1579" s="245"/>
      <c r="D1579" s="26"/>
      <c r="E1579" s="26"/>
      <c r="F1579" s="26"/>
      <c r="G1579" s="26"/>
      <c r="H1579" s="5"/>
      <c r="T1579" s="115"/>
      <c r="U1579" s="115"/>
      <c r="V1579" s="115"/>
      <c r="W1579" s="115"/>
    </row>
    <row r="1580" spans="3:23" ht="14.25" customHeight="1">
      <c r="C1580" s="245"/>
      <c r="D1580" s="26"/>
      <c r="E1580" s="26"/>
      <c r="F1580" s="26"/>
      <c r="G1580" s="26"/>
      <c r="H1580" s="5"/>
      <c r="T1580" s="115"/>
      <c r="U1580" s="115"/>
      <c r="V1580" s="115"/>
      <c r="W1580" s="115"/>
    </row>
    <row r="1581" spans="3:23" ht="14.25" customHeight="1">
      <c r="C1581" s="245"/>
      <c r="D1581" s="26"/>
      <c r="E1581" s="26"/>
      <c r="F1581" s="26"/>
      <c r="G1581" s="26"/>
      <c r="H1581" s="5"/>
      <c r="T1581" s="115"/>
      <c r="U1581" s="115"/>
      <c r="V1581" s="115"/>
      <c r="W1581" s="115"/>
    </row>
    <row r="1582" spans="3:23" ht="14.25" customHeight="1">
      <c r="C1582" s="245"/>
      <c r="D1582" s="26"/>
      <c r="E1582" s="26"/>
      <c r="F1582" s="26"/>
      <c r="G1582" s="26"/>
      <c r="H1582" s="5"/>
      <c r="T1582" s="115"/>
      <c r="U1582" s="115"/>
      <c r="V1582" s="115"/>
      <c r="W1582" s="115"/>
    </row>
    <row r="1583" spans="3:23" ht="14.25" customHeight="1">
      <c r="C1583" s="245"/>
      <c r="D1583" s="26"/>
      <c r="E1583" s="26"/>
      <c r="F1583" s="26"/>
      <c r="G1583" s="26"/>
      <c r="H1583" s="5"/>
      <c r="T1583" s="115"/>
      <c r="U1583" s="115"/>
      <c r="V1583" s="115"/>
      <c r="W1583" s="115"/>
    </row>
    <row r="1584" spans="3:23" ht="14.25" customHeight="1">
      <c r="C1584" s="245"/>
      <c r="D1584" s="26"/>
      <c r="E1584" s="26"/>
      <c r="F1584" s="26"/>
      <c r="G1584" s="26"/>
      <c r="H1584" s="5"/>
      <c r="T1584" s="115"/>
      <c r="U1584" s="115"/>
      <c r="V1584" s="115"/>
      <c r="W1584" s="115"/>
    </row>
    <row r="1585" spans="3:23" ht="14.25" customHeight="1">
      <c r="C1585" s="245"/>
      <c r="D1585" s="26"/>
      <c r="E1585" s="26"/>
      <c r="F1585" s="26"/>
      <c r="G1585" s="26"/>
      <c r="H1585" s="5"/>
      <c r="T1585" s="115"/>
      <c r="U1585" s="115"/>
      <c r="V1585" s="115"/>
      <c r="W1585" s="115"/>
    </row>
    <row r="1586" spans="3:23" ht="14.25" customHeight="1">
      <c r="C1586" s="245"/>
      <c r="D1586" s="26"/>
      <c r="E1586" s="26"/>
      <c r="F1586" s="26"/>
      <c r="G1586" s="26"/>
      <c r="H1586" s="5"/>
      <c r="T1586" s="115"/>
      <c r="U1586" s="115"/>
      <c r="V1586" s="115"/>
      <c r="W1586" s="115"/>
    </row>
    <row r="1587" spans="3:23" ht="14.25" customHeight="1">
      <c r="C1587" s="245"/>
      <c r="D1587" s="26"/>
      <c r="E1587" s="26"/>
      <c r="F1587" s="26"/>
      <c r="G1587" s="26"/>
      <c r="H1587" s="5"/>
      <c r="T1587" s="115"/>
      <c r="U1587" s="115"/>
      <c r="V1587" s="115"/>
      <c r="W1587" s="115"/>
    </row>
    <row r="1588" spans="3:23" ht="14.25" customHeight="1">
      <c r="C1588" s="245"/>
      <c r="D1588" s="26"/>
      <c r="E1588" s="26"/>
      <c r="F1588" s="26"/>
      <c r="G1588" s="26"/>
      <c r="H1588" s="5"/>
      <c r="T1588" s="115"/>
      <c r="U1588" s="115"/>
      <c r="V1588" s="115"/>
      <c r="W1588" s="115"/>
    </row>
    <row r="1589" spans="3:23" ht="14.25" customHeight="1">
      <c r="C1589" s="245"/>
      <c r="D1589" s="26"/>
      <c r="E1589" s="26"/>
      <c r="F1589" s="26"/>
      <c r="G1589" s="26"/>
      <c r="H1589" s="5"/>
      <c r="T1589" s="115"/>
      <c r="U1589" s="115"/>
      <c r="V1589" s="115"/>
      <c r="W1589" s="115"/>
    </row>
    <row r="1590" spans="3:23" ht="14.25" customHeight="1">
      <c r="C1590" s="245"/>
      <c r="D1590" s="26"/>
      <c r="E1590" s="26"/>
      <c r="F1590" s="26"/>
      <c r="G1590" s="26"/>
      <c r="H1590" s="5"/>
      <c r="T1590" s="115"/>
      <c r="U1590" s="115"/>
      <c r="V1590" s="115"/>
      <c r="W1590" s="115"/>
    </row>
    <row r="1591" spans="3:23" ht="14.25" customHeight="1">
      <c r="C1591" s="245"/>
      <c r="D1591" s="26"/>
      <c r="E1591" s="26"/>
      <c r="F1591" s="26"/>
      <c r="G1591" s="26"/>
      <c r="H1591" s="5"/>
      <c r="T1591" s="115"/>
      <c r="U1591" s="115"/>
      <c r="V1591" s="115"/>
      <c r="W1591" s="115"/>
    </row>
    <row r="1592" spans="3:23" ht="14.25" customHeight="1">
      <c r="C1592" s="245"/>
      <c r="D1592" s="26"/>
      <c r="E1592" s="26"/>
      <c r="F1592" s="26"/>
      <c r="G1592" s="26"/>
      <c r="H1592" s="5"/>
      <c r="T1592" s="115"/>
      <c r="U1592" s="115"/>
      <c r="V1592" s="115"/>
      <c r="W1592" s="115"/>
    </row>
    <row r="1593" spans="3:23" ht="14.25" customHeight="1">
      <c r="C1593" s="245"/>
      <c r="D1593" s="26"/>
      <c r="E1593" s="26"/>
      <c r="F1593" s="26"/>
      <c r="G1593" s="26"/>
      <c r="H1593" s="5"/>
      <c r="T1593" s="115"/>
      <c r="U1593" s="115"/>
      <c r="V1593" s="115"/>
      <c r="W1593" s="115"/>
    </row>
    <row r="1594" spans="3:23" ht="14.25" customHeight="1">
      <c r="C1594" s="245"/>
      <c r="D1594" s="26"/>
      <c r="E1594" s="26"/>
      <c r="F1594" s="26"/>
      <c r="G1594" s="26"/>
      <c r="H1594" s="5"/>
      <c r="T1594" s="115"/>
      <c r="U1594" s="115"/>
      <c r="V1594" s="115"/>
      <c r="W1594" s="115"/>
    </row>
    <row r="1595" spans="3:23" ht="14.25" customHeight="1">
      <c r="C1595" s="245"/>
      <c r="D1595" s="26"/>
      <c r="E1595" s="26"/>
      <c r="F1595" s="26"/>
      <c r="G1595" s="26"/>
      <c r="H1595" s="5"/>
      <c r="T1595" s="115"/>
      <c r="U1595" s="115"/>
      <c r="V1595" s="115"/>
      <c r="W1595" s="115"/>
    </row>
    <row r="1596" spans="3:23" ht="14.25" customHeight="1">
      <c r="C1596" s="245"/>
      <c r="D1596" s="26"/>
      <c r="E1596" s="26"/>
      <c r="F1596" s="26"/>
      <c r="G1596" s="26"/>
      <c r="H1596" s="5"/>
      <c r="T1596" s="115"/>
      <c r="U1596" s="115"/>
      <c r="V1596" s="115"/>
      <c r="W1596" s="115"/>
    </row>
    <row r="1597" spans="3:23" ht="14.25" customHeight="1">
      <c r="C1597" s="245"/>
      <c r="D1597" s="26"/>
      <c r="E1597" s="26"/>
      <c r="F1597" s="26"/>
      <c r="G1597" s="26"/>
      <c r="H1597" s="5"/>
      <c r="T1597" s="115"/>
      <c r="U1597" s="115"/>
      <c r="V1597" s="115"/>
      <c r="W1597" s="115"/>
    </row>
    <row r="1598" spans="3:23" ht="14.25" customHeight="1">
      <c r="C1598" s="245"/>
      <c r="D1598" s="26"/>
      <c r="E1598" s="26"/>
      <c r="F1598" s="26"/>
      <c r="G1598" s="26"/>
      <c r="H1598" s="5"/>
      <c r="T1598" s="115"/>
      <c r="U1598" s="115"/>
      <c r="V1598" s="115"/>
      <c r="W1598" s="115"/>
    </row>
    <row r="1599" spans="3:23" ht="14.25" customHeight="1">
      <c r="C1599" s="245"/>
      <c r="D1599" s="26"/>
      <c r="E1599" s="26"/>
      <c r="F1599" s="26"/>
      <c r="G1599" s="26"/>
      <c r="H1599" s="5"/>
      <c r="T1599" s="115"/>
      <c r="U1599" s="115"/>
      <c r="V1599" s="115"/>
      <c r="W1599" s="115"/>
    </row>
    <row r="1600" spans="3:23" ht="14.25" customHeight="1">
      <c r="C1600" s="245"/>
      <c r="D1600" s="26"/>
      <c r="E1600" s="26"/>
      <c r="F1600" s="26"/>
      <c r="G1600" s="26"/>
      <c r="H1600" s="5"/>
      <c r="T1600" s="115"/>
      <c r="U1600" s="115"/>
      <c r="V1600" s="115"/>
      <c r="W1600" s="115"/>
    </row>
    <row r="1601" spans="2:43" ht="14.25" customHeight="1">
      <c r="C1601" s="245"/>
      <c r="D1601" s="26"/>
      <c r="E1601" s="26"/>
      <c r="F1601" s="26"/>
      <c r="G1601" s="26"/>
      <c r="H1601" s="5"/>
      <c r="T1601" s="115"/>
      <c r="U1601" s="115"/>
      <c r="V1601" s="115"/>
      <c r="W1601" s="115"/>
    </row>
    <row r="1602" spans="2:43" ht="14.25" customHeight="1">
      <c r="C1602" s="245"/>
      <c r="D1602" s="26"/>
      <c r="E1602" s="26"/>
      <c r="F1602" s="26"/>
      <c r="G1602" s="26"/>
      <c r="H1602" s="5"/>
      <c r="T1602" s="115"/>
      <c r="U1602" s="115"/>
      <c r="V1602" s="115"/>
      <c r="W1602" s="115"/>
    </row>
    <row r="1603" spans="2:43" ht="14.25" customHeight="1">
      <c r="C1603" s="245"/>
      <c r="D1603" s="26"/>
      <c r="E1603" s="26"/>
      <c r="F1603" s="26"/>
      <c r="G1603" s="26"/>
      <c r="H1603" s="5"/>
      <c r="T1603" s="115"/>
      <c r="U1603" s="115"/>
      <c r="V1603" s="115"/>
      <c r="W1603" s="115"/>
    </row>
    <row r="1604" spans="2:43" ht="14.25" customHeight="1">
      <c r="C1604" s="245"/>
      <c r="D1604" s="26"/>
      <c r="E1604" s="26"/>
      <c r="F1604" s="26"/>
      <c r="G1604" s="26"/>
      <c r="H1604" s="5"/>
      <c r="T1604" s="115"/>
      <c r="U1604" s="115"/>
      <c r="V1604" s="115"/>
      <c r="W1604" s="115"/>
    </row>
    <row r="1605" spans="2:43" ht="14.25" customHeight="1">
      <c r="C1605" s="245"/>
      <c r="D1605" s="26"/>
      <c r="E1605" s="26"/>
      <c r="F1605" s="26"/>
      <c r="G1605" s="26"/>
      <c r="H1605" s="5"/>
      <c r="T1605" s="115"/>
      <c r="U1605" s="115"/>
      <c r="V1605" s="115"/>
      <c r="W1605" s="115"/>
    </row>
    <row r="1606" spans="2:43" ht="14.25" customHeight="1">
      <c r="C1606" s="245"/>
      <c r="D1606" s="26"/>
      <c r="E1606" s="26"/>
      <c r="F1606" s="26"/>
      <c r="G1606" s="26"/>
      <c r="H1606" s="5"/>
      <c r="T1606" s="115"/>
      <c r="U1606" s="115"/>
      <c r="V1606" s="115"/>
      <c r="W1606" s="115"/>
    </row>
    <row r="1607" spans="2:43" ht="14.25" customHeight="1">
      <c r="C1607" s="245"/>
      <c r="D1607" s="26"/>
      <c r="E1607" s="26"/>
      <c r="F1607" s="26"/>
      <c r="G1607" s="26"/>
      <c r="H1607" s="5"/>
      <c r="T1607" s="115"/>
      <c r="U1607" s="115"/>
      <c r="V1607" s="115"/>
      <c r="W1607" s="115"/>
    </row>
    <row r="1608" spans="2:43" ht="14.25" customHeight="1">
      <c r="C1608" s="245"/>
      <c r="D1608" s="26"/>
      <c r="E1608" s="26"/>
      <c r="F1608" s="26"/>
      <c r="G1608" s="26"/>
      <c r="H1608" s="5"/>
      <c r="T1608" s="115"/>
      <c r="U1608" s="115"/>
      <c r="V1608" s="115"/>
      <c r="W1608" s="115"/>
    </row>
    <row r="1609" spans="2:43" ht="14.25" customHeight="1">
      <c r="C1609" s="245"/>
      <c r="D1609" s="26"/>
      <c r="E1609" s="26"/>
      <c r="F1609" s="26"/>
      <c r="G1609" s="26"/>
      <c r="H1609" s="5"/>
      <c r="T1609" s="115"/>
      <c r="U1609" s="115"/>
      <c r="V1609" s="115"/>
      <c r="W1609" s="115"/>
    </row>
    <row r="1610" spans="2:43" ht="14.25" customHeight="1">
      <c r="C1610" s="245"/>
      <c r="D1610" s="26"/>
      <c r="E1610" s="26"/>
      <c r="F1610" s="26"/>
      <c r="G1610" s="26"/>
      <c r="H1610" s="5"/>
      <c r="T1610" s="115"/>
      <c r="U1610" s="115"/>
      <c r="V1610" s="115"/>
      <c r="W1610" s="115"/>
    </row>
    <row r="1611" spans="2:43" ht="14.25" customHeight="1">
      <c r="B1611" s="518" t="str">
        <f>TITLE!C30</f>
        <v>Полотна збірні: МОДЕРН</v>
      </c>
      <c r="C1611" s="518"/>
      <c r="D1611" s="118"/>
      <c r="E1611" s="118"/>
      <c r="F1611" s="118"/>
      <c r="G1611" s="118"/>
      <c r="H1611" s="520"/>
      <c r="I1611" s="520"/>
      <c r="J1611" s="121"/>
      <c r="K1611" s="121"/>
      <c r="L1611" s="121"/>
      <c r="M1611" s="121"/>
      <c r="N1611" s="121"/>
      <c r="O1611" s="121"/>
      <c r="P1611" s="121"/>
      <c r="Q1611" s="121"/>
      <c r="R1611" s="121"/>
      <c r="S1611" s="121"/>
      <c r="T1611" s="529" t="str">
        <f>IF($C$1="ENG",CONCATENATE("up to: ",B1537),CONCATENATE("вгору до: ",B1537))</f>
        <v>вгору до: Полотна збірні: ТРЕНД</v>
      </c>
      <c r="U1611" s="529"/>
      <c r="V1611" s="529"/>
      <c r="W1611" s="529"/>
      <c r="X1611" s="8"/>
      <c r="Y1611" s="8"/>
      <c r="Z1611" s="8"/>
      <c r="AA1611" s="8"/>
      <c r="AB1611" s="8"/>
      <c r="AC1611" s="8"/>
      <c r="AD1611" s="8"/>
      <c r="AE1611" s="8"/>
      <c r="AF1611" s="8"/>
      <c r="AG1611" s="8"/>
      <c r="AH1611" s="8"/>
      <c r="AI1611" s="8"/>
      <c r="AJ1611" s="8"/>
      <c r="AK1611" s="8"/>
      <c r="AL1611" s="8"/>
    </row>
    <row r="1612" spans="2:43" ht="4.5" customHeight="1">
      <c r="B1612" s="117"/>
      <c r="C1612" s="419"/>
      <c r="D1612" s="9"/>
      <c r="E1612" s="9"/>
      <c r="F1612" s="9"/>
      <c r="G1612" s="9"/>
      <c r="H1612" s="120"/>
      <c r="I1612" s="120"/>
      <c r="L1612" s="8"/>
      <c r="M1612" s="8"/>
      <c r="N1612" s="8"/>
      <c r="O1612" s="8"/>
      <c r="P1612" s="8"/>
      <c r="Q1612" s="8"/>
      <c r="R1612" s="8"/>
      <c r="S1612" s="8"/>
      <c r="T1612" s="115"/>
      <c r="U1612" s="115"/>
      <c r="V1612" s="115"/>
      <c r="W1612" s="115"/>
      <c r="X1612" s="8"/>
      <c r="Y1612" s="8"/>
      <c r="Z1612" s="8"/>
      <c r="AA1612" s="8"/>
      <c r="AB1612" s="8"/>
      <c r="AC1612" s="8"/>
      <c r="AD1612" s="8"/>
      <c r="AE1612" s="8"/>
      <c r="AF1612" s="8"/>
      <c r="AG1612" s="8"/>
      <c r="AH1612" s="8"/>
      <c r="AI1612" s="8"/>
      <c r="AJ1612" s="8"/>
      <c r="AK1612" s="8"/>
      <c r="AL1612" s="8"/>
    </row>
    <row r="1613" spans="2:43" ht="13.5" customHeight="1">
      <c r="B1613" s="536" t="str">
        <f>IF($C$1="ENG","model","модель")</f>
        <v>модель</v>
      </c>
      <c r="C1613" s="122" t="str">
        <f>IF($C$1="ENG","cover:","покриття:")</f>
        <v>покриття:</v>
      </c>
      <c r="D1613" s="522" t="str">
        <f>IF($C$1="ENG","VERTO-CELL","VERTO-CELL")</f>
        <v>VERTO-CELL</v>
      </c>
      <c r="E1613" s="524"/>
      <c r="F1613" s="522" t="str">
        <f>IF($C$1="ENG","UNI-MAT","UNI-MAT")</f>
        <v>UNI-MAT</v>
      </c>
      <c r="G1613" s="524"/>
      <c r="H1613" s="522" t="str">
        <f>IF($C$1="ENG","RESIST","RESIST")</f>
        <v>RESIST</v>
      </c>
      <c r="I1613" s="524"/>
      <c r="J1613" s="522" t="str">
        <f>IF($C$1="ENG","Verto LINE-3D","Verto LINE-3D")</f>
        <v>Verto LINE-3D</v>
      </c>
      <c r="K1613" s="524"/>
      <c r="L1613" s="522" t="str">
        <f>IF($C$1="ENG","ECO Shpon","ЕКО Шпон")</f>
        <v>ЕКО Шпон</v>
      </c>
      <c r="M1613" s="524"/>
      <c r="N1613" s="8"/>
      <c r="O1613" s="8"/>
      <c r="P1613" s="20"/>
      <c r="Q1613" s="20"/>
      <c r="R1613" s="8"/>
      <c r="S1613" s="8"/>
      <c r="T1613" s="115"/>
      <c r="U1613" s="115"/>
      <c r="V1613" s="115"/>
      <c r="W1613" s="115"/>
      <c r="X1613" s="8"/>
      <c r="Y1613" s="8"/>
      <c r="Z1613" s="8"/>
      <c r="AA1613" s="8"/>
      <c r="AB1613" s="8"/>
      <c r="AC1613" s="8"/>
      <c r="AD1613" s="8"/>
      <c r="AE1613" s="8"/>
      <c r="AF1613" s="8"/>
      <c r="AG1613" s="8"/>
      <c r="AH1613" s="8"/>
      <c r="AI1613" s="8"/>
      <c r="AJ1613" s="8"/>
      <c r="AK1613" s="8"/>
      <c r="AL1613" s="8"/>
    </row>
    <row r="1614" spans="2:43" ht="24.75" customHeight="1">
      <c r="B1614" s="537"/>
      <c r="C1614" s="123" t="str">
        <f>IF($C$1="ENG","filling:","заповнення:")</f>
        <v>заповнення:</v>
      </c>
      <c r="D1614" s="527" t="str">
        <f>IF($C$1="ENG","softwood","клеєний сосновий брус")</f>
        <v>клеєний сосновий брус</v>
      </c>
      <c r="E1614" s="528"/>
      <c r="F1614" s="527" t="str">
        <f>IF($C$1="ENG","softwood","клеєний сосновий брус")</f>
        <v>клеєний сосновий брус</v>
      </c>
      <c r="G1614" s="528"/>
      <c r="H1614" s="527" t="str">
        <f>IF($C$1="ENG","softwood","клеєний сосновий брус")</f>
        <v>клеєний сосновий брус</v>
      </c>
      <c r="I1614" s="528"/>
      <c r="J1614" s="527" t="str">
        <f>IF($C$1="ENG","softwood","клеєний сосновий брус")</f>
        <v>клеєний сосновий брус</v>
      </c>
      <c r="K1614" s="528"/>
      <c r="L1614" s="527" t="str">
        <f>IF($C$1="ENG","softwood","клеєний сосновий брус")</f>
        <v>клеєний сосновий брус</v>
      </c>
      <c r="M1614" s="528"/>
      <c r="N1614" s="8"/>
      <c r="O1614" s="8"/>
      <c r="P1614" s="20"/>
      <c r="Q1614" s="20"/>
      <c r="R1614" s="8"/>
      <c r="S1614" s="8"/>
      <c r="T1614" s="115"/>
      <c r="U1614" s="115"/>
      <c r="V1614" s="115"/>
      <c r="W1614" s="115"/>
      <c r="X1614" s="8"/>
      <c r="Y1614" s="8"/>
      <c r="Z1614" s="8"/>
      <c r="AA1614" s="8"/>
      <c r="AB1614" s="8"/>
      <c r="AC1614" s="8"/>
      <c r="AD1614" s="382">
        <f>AD1616/AC1616-1</f>
        <v>0.120253164556962</v>
      </c>
      <c r="AE1614" s="382">
        <f>AE1616/AD1616-1</f>
        <v>4.2372881355932313E-2</v>
      </c>
      <c r="AF1614" s="382">
        <f>AF1616/AE1616-1</f>
        <v>7.3170731707317138E-2</v>
      </c>
      <c r="AG1614" s="382">
        <f>AG1616/AF1616-1</f>
        <v>4.7979797979798011E-2</v>
      </c>
      <c r="AH1614" s="8"/>
      <c r="AI1614" s="8"/>
      <c r="AJ1614" s="8"/>
      <c r="AK1614" s="8"/>
      <c r="AL1614" s="8"/>
    </row>
    <row r="1615" spans="2:43" ht="13.5" customHeight="1">
      <c r="B1615" s="538"/>
      <c r="C1615" s="124" t="str">
        <f>IF($C$1="ENG","glazing:","скління:")</f>
        <v>скління:</v>
      </c>
      <c r="D1615" s="513" t="str">
        <f>IF($C$1="ENG","Satin","Сатин")</f>
        <v>Сатин</v>
      </c>
      <c r="E1615" s="516"/>
      <c r="F1615" s="513" t="str">
        <f>IF($C$1="ENG","Satin","Сатин")</f>
        <v>Сатин</v>
      </c>
      <c r="G1615" s="516"/>
      <c r="H1615" s="513" t="str">
        <f>IF($C$1="ENG","Satin","Сатин")</f>
        <v>Сатин</v>
      </c>
      <c r="I1615" s="516"/>
      <c r="J1615" s="513" t="str">
        <f>IF($C$1="ENG","Satin","Сатин")</f>
        <v>Сатин</v>
      </c>
      <c r="K1615" s="516"/>
      <c r="L1615" s="513" t="str">
        <f>IF($C$1="ENG","Satin","Сатин")</f>
        <v>Сатин</v>
      </c>
      <c r="M1615" s="516"/>
      <c r="N1615" s="11"/>
      <c r="O1615" s="11"/>
      <c r="P1615" s="20"/>
      <c r="Q1615" s="20"/>
      <c r="R1615" s="11"/>
      <c r="S1615" s="11"/>
      <c r="T1615" s="11"/>
    </row>
    <row r="1616" spans="2:43" ht="34.5" customHeight="1">
      <c r="B1616" s="13" t="s">
        <v>19</v>
      </c>
      <c r="C1616" s="14"/>
      <c r="D1616" s="15">
        <f>IF(AC1616="","",(1-$W$2)*(AC1616/1.2))</f>
        <v>5266.666666666667</v>
      </c>
      <c r="E1616" s="64">
        <f>IF($W$5=0.2,D1616*1.2,D1616)/$W$4</f>
        <v>6320</v>
      </c>
      <c r="F1616" s="15">
        <f>IF(AD1616="","",(1-$W$2)*(AD1616/1.2))</f>
        <v>5900</v>
      </c>
      <c r="G1616" s="64">
        <f>IF($W$5=0.2,F1616*1.2,F1616)/$W$4</f>
        <v>7080</v>
      </c>
      <c r="H1616" s="15">
        <f>IF(AE1616="","",(1-$W$2)*(AE1616/1.2))</f>
        <v>6150</v>
      </c>
      <c r="I1616" s="64">
        <f>IF($W$5=0.2,H1616*1.2,H1616)/$W$4</f>
        <v>7380</v>
      </c>
      <c r="J1616" s="15">
        <f>IF(AF1616="","",(1-$W$2)*(AF1616/1.2))</f>
        <v>6600</v>
      </c>
      <c r="K1616" s="64">
        <f>IF($W$5=0.2,J1616*1.2,J1616)/$W$4</f>
        <v>7920</v>
      </c>
      <c r="L1616" s="15">
        <f>IF(AG1616="","",(1-$W$2)*(AG1616/1.2))</f>
        <v>6916.666666666667</v>
      </c>
      <c r="M1616" s="64">
        <f>IF($W$5=0.2,L1616*1.2,L1616)/$W$4</f>
        <v>8300</v>
      </c>
      <c r="N1616" s="104"/>
      <c r="O1616" s="20"/>
      <c r="P1616" s="20"/>
      <c r="Q1616" s="20"/>
      <c r="R1616" s="104"/>
      <c r="S1616" s="20"/>
      <c r="T1616" s="104"/>
      <c r="U1616" s="20"/>
      <c r="V1616" s="104"/>
      <c r="W1616" s="20"/>
      <c r="X1616" s="22"/>
      <c r="Y1616" s="22"/>
      <c r="Z1616" s="22"/>
      <c r="AA1616" s="22"/>
      <c r="AB1616" s="22"/>
      <c r="AC1616" s="332">
        <v>6320</v>
      </c>
      <c r="AD1616" s="390">
        <v>7080</v>
      </c>
      <c r="AE1616" s="332">
        <v>7380</v>
      </c>
      <c r="AF1616" s="332">
        <v>7920</v>
      </c>
      <c r="AG1616" s="332">
        <v>8300</v>
      </c>
      <c r="AH1616" s="289">
        <v>6320</v>
      </c>
      <c r="AI1616" s="289">
        <f>AH1616/AC1616-1</f>
        <v>0</v>
      </c>
      <c r="AJ1616" s="289">
        <v>7080</v>
      </c>
      <c r="AK1616" s="289">
        <f>AJ1616/AD1616-1</f>
        <v>0</v>
      </c>
      <c r="AL1616" s="289">
        <v>7380</v>
      </c>
      <c r="AM1616" s="289">
        <f>AL1616/AE1616-1</f>
        <v>0</v>
      </c>
      <c r="AN1616" s="289">
        <v>7920</v>
      </c>
      <c r="AO1616" s="289">
        <f>AN1616/AF1616-1</f>
        <v>0</v>
      </c>
      <c r="AP1616" s="289">
        <v>8300</v>
      </c>
      <c r="AQ1616" s="289">
        <f>AP1616/AG1616-1</f>
        <v>0</v>
      </c>
    </row>
    <row r="1617" spans="2:43" ht="34.5" customHeight="1">
      <c r="B1617" s="16" t="s">
        <v>22</v>
      </c>
      <c r="C1617" s="17"/>
      <c r="D1617" s="18">
        <f>IF(AC1617="","",(1-$W$2)*(AC1617/1.2))</f>
        <v>6200</v>
      </c>
      <c r="E1617" s="66">
        <f>IF($W$5=0.2,D1617*1.2,D1617)/$W$4</f>
        <v>7440</v>
      </c>
      <c r="F1617" s="18">
        <f>IF(AD1617="","",(1-$W$2)*(AD1617/1.2))</f>
        <v>6950</v>
      </c>
      <c r="G1617" s="66">
        <f>IF($W$5=0.2,F1617*1.2,F1617)/$W$4</f>
        <v>8340</v>
      </c>
      <c r="H1617" s="18">
        <f>IF(AE1617="","",(1-$W$2)*(AE1617/1.2))</f>
        <v>7250</v>
      </c>
      <c r="I1617" s="66">
        <f>IF($W$5=0.2,H1617*1.2,H1617)/$W$4</f>
        <v>8700</v>
      </c>
      <c r="J1617" s="18">
        <f>IF(AF1617="","",(1-$W$2)*(AF1617/1.2))</f>
        <v>7708.3333333333339</v>
      </c>
      <c r="K1617" s="66">
        <f>IF($W$5=0.2,J1617*1.2,J1617)/$W$4</f>
        <v>9250</v>
      </c>
      <c r="L1617" s="18">
        <f>IF(AG1617="","",(1-$W$2)*(AG1617/1.2))</f>
        <v>8075</v>
      </c>
      <c r="M1617" s="66">
        <f>IF($W$5=0.2,L1617*1.2,L1617)/$W$4</f>
        <v>9690</v>
      </c>
      <c r="N1617" s="104"/>
      <c r="O1617" s="20"/>
      <c r="P1617" s="20"/>
      <c r="Q1617" s="20"/>
      <c r="R1617" s="104"/>
      <c r="S1617" s="20"/>
      <c r="T1617" s="104"/>
      <c r="U1617" s="20"/>
      <c r="V1617" s="104"/>
      <c r="W1617" s="20"/>
      <c r="X1617" s="22"/>
      <c r="Y1617" s="22"/>
      <c r="Z1617" s="22"/>
      <c r="AA1617" s="22"/>
      <c r="AB1617" s="22"/>
      <c r="AC1617" s="332">
        <v>7440</v>
      </c>
      <c r="AD1617" s="390">
        <v>8340</v>
      </c>
      <c r="AE1617" s="332">
        <v>8700</v>
      </c>
      <c r="AF1617" s="332">
        <v>9250</v>
      </c>
      <c r="AG1617" s="332">
        <v>9690</v>
      </c>
      <c r="AH1617" s="289">
        <v>7440</v>
      </c>
      <c r="AI1617" s="289">
        <f t="shared" ref="AI1617:AI1618" si="220">AH1617/AC1617-1</f>
        <v>0</v>
      </c>
      <c r="AJ1617" s="289">
        <v>8340</v>
      </c>
      <c r="AK1617" s="289">
        <f t="shared" ref="AK1617:AK1618" si="221">AJ1617/AD1617-1</f>
        <v>0</v>
      </c>
      <c r="AL1617" s="289">
        <v>8700</v>
      </c>
      <c r="AM1617" s="289">
        <f t="shared" ref="AM1617:AM1618" si="222">AL1617/AE1617-1</f>
        <v>0</v>
      </c>
      <c r="AN1617" s="289">
        <v>9250</v>
      </c>
      <c r="AO1617" s="289">
        <f t="shared" ref="AO1617:AO1618" si="223">AN1617/AF1617-1</f>
        <v>0</v>
      </c>
      <c r="AP1617" s="289">
        <v>9690</v>
      </c>
      <c r="AQ1617" s="289">
        <f t="shared" ref="AQ1617:AQ1618" si="224">AP1617/AG1617-1</f>
        <v>0</v>
      </c>
    </row>
    <row r="1618" spans="2:43" ht="34.5" customHeight="1">
      <c r="B1618" s="23" t="s">
        <v>37</v>
      </c>
      <c r="C1618" s="24"/>
      <c r="D1618" s="25">
        <f>IF(AC1618="","",(1-$W$2)*(AC1618/1.2))</f>
        <v>6200</v>
      </c>
      <c r="E1618" s="69">
        <f>IF($W$5=0.2,D1618*1.2,D1618)/$W$4</f>
        <v>7440</v>
      </c>
      <c r="F1618" s="25">
        <f>IF(AD1618="","",(1-$W$2)*(AD1618/1.2))</f>
        <v>6950</v>
      </c>
      <c r="G1618" s="69">
        <f>IF($W$5=0.2,F1618*1.2,F1618)/$W$4</f>
        <v>8340</v>
      </c>
      <c r="H1618" s="25">
        <f>IF(AE1618="","",(1-$W$2)*(AE1618/1.2))</f>
        <v>7250</v>
      </c>
      <c r="I1618" s="69">
        <f>IF($W$5=0.2,H1618*1.2,H1618)/$W$4</f>
        <v>8700</v>
      </c>
      <c r="J1618" s="25">
        <f>IF(AF1618="","",(1-$W$2)*(AF1618/1.2))</f>
        <v>7708.3333333333339</v>
      </c>
      <c r="K1618" s="69">
        <f>IF($W$5=0.2,J1618*1.2,J1618)/$W$4</f>
        <v>9250</v>
      </c>
      <c r="L1618" s="25">
        <f>IF(AG1618="","",(1-$W$2)*(AG1618/1.2))</f>
        <v>8075</v>
      </c>
      <c r="M1618" s="69">
        <f>IF($W$5=0.2,L1618*1.2,L1618)/$W$4</f>
        <v>9690</v>
      </c>
      <c r="P1618" s="20"/>
      <c r="Q1618" s="20"/>
      <c r="AC1618" s="332">
        <v>7440</v>
      </c>
      <c r="AD1618" s="390">
        <v>8340</v>
      </c>
      <c r="AE1618" s="332">
        <v>8700</v>
      </c>
      <c r="AF1618" s="332">
        <v>9250</v>
      </c>
      <c r="AG1618" s="332">
        <v>9690</v>
      </c>
      <c r="AH1618" s="289">
        <v>7440</v>
      </c>
      <c r="AI1618" s="289">
        <f t="shared" si="220"/>
        <v>0</v>
      </c>
      <c r="AJ1618" s="289">
        <v>8340</v>
      </c>
      <c r="AK1618" s="289">
        <f t="shared" si="221"/>
        <v>0</v>
      </c>
      <c r="AL1618" s="289">
        <v>8700</v>
      </c>
      <c r="AM1618" s="289">
        <f t="shared" si="222"/>
        <v>0</v>
      </c>
      <c r="AN1618" s="289">
        <v>9250</v>
      </c>
      <c r="AO1618" s="289">
        <f t="shared" si="223"/>
        <v>0</v>
      </c>
      <c r="AP1618" s="289">
        <v>9690</v>
      </c>
      <c r="AQ1618" s="289">
        <f t="shared" si="224"/>
        <v>0</v>
      </c>
    </row>
    <row r="1619" spans="2:43" ht="12.75" customHeight="1">
      <c r="C1619" s="245"/>
      <c r="D1619" s="26"/>
      <c r="E1619" s="57"/>
      <c r="F1619" s="26"/>
      <c r="G1619" s="57"/>
      <c r="H1619" s="5"/>
    </row>
    <row r="1620" spans="2:43" ht="12.75" customHeight="1">
      <c r="B1620" s="212" t="str">
        <f>IF($C$1="ENG","For additonal charge:","Послуги за додаткову плату:")</f>
        <v>Послуги за додаткову плату:</v>
      </c>
      <c r="C1620" s="420"/>
      <c r="D1620" s="213"/>
      <c r="E1620" s="214"/>
      <c r="F1620" s="26"/>
      <c r="G1620" s="57"/>
      <c r="H1620" s="10"/>
      <c r="I1620" s="8"/>
      <c r="J1620" s="8"/>
      <c r="K1620" s="8"/>
    </row>
    <row r="1621" spans="2:43" ht="4.5" customHeight="1">
      <c r="B1621" s="27"/>
      <c r="C1621" s="245"/>
      <c r="D1621" s="26"/>
      <c r="E1621" s="57"/>
      <c r="F1621" s="26"/>
      <c r="G1621" s="26"/>
      <c r="H1621" s="10"/>
      <c r="I1621" s="8"/>
      <c r="J1621" s="8"/>
      <c r="K1621" s="8"/>
    </row>
    <row r="1622" spans="2:43" ht="12.75" customHeight="1">
      <c r="B1622" s="539" t="str">
        <f>IF($C$1="ENG","door leaf with width 100","полотно розміром 100")</f>
        <v>полотно розміром 100</v>
      </c>
      <c r="C1622" s="540"/>
      <c r="D1622" s="132">
        <f t="shared" ref="D1622:D1634" si="225">IF(AC1622="","",(1-$W$2)*(AC1622/1.2))</f>
        <v>600</v>
      </c>
      <c r="E1622" s="92">
        <f t="shared" ref="E1622:E1633" si="226">IF($W$5=0.2,D1622*1.2,D1622)/$W$4</f>
        <v>720</v>
      </c>
      <c r="F1622" s="26"/>
      <c r="G1622" s="26"/>
      <c r="H1622" s="10"/>
      <c r="I1622" s="8"/>
      <c r="J1622" s="8"/>
      <c r="K1622" s="8"/>
      <c r="AC1622" s="289">
        <v>720</v>
      </c>
      <c r="AD1622" s="289">
        <v>720</v>
      </c>
      <c r="AE1622" s="289"/>
      <c r="AF1622" s="289"/>
      <c r="AG1622" s="289"/>
      <c r="AH1622" s="289"/>
      <c r="AI1622" s="289"/>
      <c r="AJ1622" s="289"/>
      <c r="AK1622" s="289"/>
      <c r="AL1622" s="289"/>
    </row>
    <row r="1623" spans="2:43" ht="12.75" customHeight="1">
      <c r="B1623" s="532" t="str">
        <f>IF($C$1="ENG","Ventilation sleeves (1 row)","вентиляційні віддушини (1ряд)")</f>
        <v>вентиляційні віддушини (1ряд)</v>
      </c>
      <c r="C1623" s="533"/>
      <c r="D1623" s="133">
        <f t="shared" si="225"/>
        <v>208.33333333333334</v>
      </c>
      <c r="E1623" s="93">
        <f t="shared" si="226"/>
        <v>250</v>
      </c>
      <c r="F1623" s="26"/>
      <c r="G1623" s="26"/>
      <c r="I1623" s="11"/>
      <c r="J1623" s="11"/>
      <c r="K1623" s="11"/>
      <c r="AC1623" s="289">
        <v>250</v>
      </c>
      <c r="AD1623" s="289">
        <v>250</v>
      </c>
      <c r="AE1623" s="289"/>
      <c r="AF1623" s="289"/>
      <c r="AG1623" s="289"/>
      <c r="AH1623" s="289"/>
      <c r="AI1623" s="289"/>
      <c r="AJ1623" s="289"/>
      <c r="AK1623" s="289"/>
      <c r="AL1623" s="289"/>
    </row>
    <row r="1624" spans="2:43" ht="12.75" customHeight="1">
      <c r="B1624" s="539" t="str">
        <f>IF($C$1="ENG","Ventilation cut","вентиляційний підріз")</f>
        <v>вентиляційний підріз</v>
      </c>
      <c r="C1624" s="540"/>
      <c r="D1624" s="133">
        <f t="shared" si="225"/>
        <v>141.66666666666669</v>
      </c>
      <c r="E1624" s="66">
        <f t="shared" si="226"/>
        <v>170.00000000000003</v>
      </c>
      <c r="F1624" s="26"/>
      <c r="G1624" s="26"/>
      <c r="I1624" s="59"/>
      <c r="J1624" s="28"/>
      <c r="AC1624" s="289">
        <v>170</v>
      </c>
      <c r="AD1624" s="289">
        <v>170</v>
      </c>
      <c r="AE1624" s="289"/>
      <c r="AF1624" s="289"/>
      <c r="AG1624" s="289"/>
      <c r="AH1624" s="289"/>
      <c r="AI1624" s="289"/>
      <c r="AJ1624" s="289"/>
      <c r="AK1624" s="289"/>
      <c r="AL1624" s="289"/>
    </row>
    <row r="1625" spans="2:43" ht="12.75" customHeight="1">
      <c r="B1625" s="532" t="str">
        <f>IF($C$1="ENG","glazing Graphite / Bronze","скло Графіт / Бронза")</f>
        <v>скло Графіт / Бронза</v>
      </c>
      <c r="C1625" s="533"/>
      <c r="D1625" s="102">
        <f t="shared" si="225"/>
        <v>458.33333333333337</v>
      </c>
      <c r="E1625" s="93">
        <f t="shared" si="226"/>
        <v>550</v>
      </c>
      <c r="F1625" s="26"/>
      <c r="G1625" s="26"/>
      <c r="H1625" s="5"/>
      <c r="AC1625" s="289">
        <v>550</v>
      </c>
      <c r="AD1625" s="289">
        <v>550</v>
      </c>
      <c r="AE1625" s="289"/>
      <c r="AF1625" s="289"/>
      <c r="AG1625" s="289"/>
      <c r="AH1625" s="289"/>
      <c r="AI1625" s="289"/>
      <c r="AJ1625" s="289"/>
      <c r="AK1625" s="289"/>
      <c r="AL1625" s="289"/>
    </row>
    <row r="1626" spans="2:43" ht="12.75" customHeight="1">
      <c r="B1626" s="532" t="str">
        <f>IF($C$1="ENG","door lock Soft","замок Soft")</f>
        <v>замок Soft</v>
      </c>
      <c r="C1626" s="533"/>
      <c r="D1626" s="102">
        <f t="shared" si="225"/>
        <v>458.33333333333337</v>
      </c>
      <c r="E1626" s="93">
        <f t="shared" si="226"/>
        <v>550</v>
      </c>
      <c r="F1626" s="26"/>
      <c r="G1626" s="26"/>
      <c r="H1626" s="5"/>
      <c r="AC1626" s="289">
        <v>550</v>
      </c>
      <c r="AD1626" s="289">
        <v>550</v>
      </c>
      <c r="AE1626" s="289"/>
      <c r="AF1626" s="289"/>
      <c r="AG1626" s="289"/>
      <c r="AH1626" s="289"/>
      <c r="AI1626" s="289"/>
      <c r="AJ1626" s="289"/>
      <c r="AK1626" s="289"/>
      <c r="AL1626" s="289"/>
    </row>
    <row r="1627" spans="2:43" ht="12.75" customHeight="1">
      <c r="B1627" s="532" t="str">
        <f>IF($C$1="ENG","door lock Soft black","замок Soft чорн.")</f>
        <v>замок Soft чорн.</v>
      </c>
      <c r="C1627" s="533"/>
      <c r="D1627" s="102">
        <f t="shared" ref="D1627" si="227">IF(AC1627="","",(1-$W$2)*(AC1627/1.2))</f>
        <v>566.66666666666674</v>
      </c>
      <c r="E1627" s="93">
        <f t="shared" ref="E1627" si="228">IF($W$5=0.2,D1627*1.2,D1627)/$W$4</f>
        <v>680.00000000000011</v>
      </c>
      <c r="F1627" s="26"/>
      <c r="G1627" s="26"/>
      <c r="H1627" s="5"/>
      <c r="AC1627" s="289">
        <v>680</v>
      </c>
      <c r="AD1627" s="289"/>
      <c r="AE1627" s="289"/>
      <c r="AF1627" s="289"/>
      <c r="AG1627" s="289"/>
      <c r="AH1627" s="289"/>
      <c r="AI1627" s="289"/>
      <c r="AJ1627" s="289"/>
      <c r="AK1627" s="289"/>
      <c r="AL1627" s="289"/>
    </row>
    <row r="1628" spans="2:43" ht="12.75" customHeight="1">
      <c r="B1628" s="532" t="str">
        <f>IF($C$1="ENG","door lock Magnet","замок Magnet")</f>
        <v>замок Magnet</v>
      </c>
      <c r="C1628" s="533"/>
      <c r="D1628" s="102">
        <f t="shared" si="225"/>
        <v>666.66666666666674</v>
      </c>
      <c r="E1628" s="93">
        <f t="shared" si="226"/>
        <v>800.00000000000011</v>
      </c>
      <c r="F1628" s="26"/>
      <c r="G1628" s="26"/>
      <c r="H1628" s="5"/>
      <c r="AC1628" s="289">
        <v>800</v>
      </c>
      <c r="AD1628" s="289">
        <v>800</v>
      </c>
      <c r="AE1628" s="289"/>
      <c r="AF1628" s="289"/>
      <c r="AG1628" s="289"/>
      <c r="AH1628" s="289"/>
      <c r="AI1628" s="289"/>
      <c r="AJ1628" s="289"/>
      <c r="AK1628" s="289"/>
      <c r="AL1628" s="289"/>
    </row>
    <row r="1629" spans="2:43" ht="12.75" customHeight="1">
      <c r="B1629" s="532" t="s">
        <v>75</v>
      </c>
      <c r="C1629" s="533"/>
      <c r="D1629" s="102">
        <f t="shared" ref="D1629" si="229">IF(AC1629="","",(1-$W$2)*(AC1629/1.2))</f>
        <v>833.33333333333337</v>
      </c>
      <c r="E1629" s="93">
        <f t="shared" ref="E1629" si="230">IF($W$5=0.2,D1629*1.2,D1629)/$W$4</f>
        <v>1000</v>
      </c>
      <c r="F1629" s="26"/>
      <c r="G1629" s="26"/>
      <c r="H1629" s="5"/>
      <c r="AC1629" s="289">
        <v>1000</v>
      </c>
      <c r="AD1629" s="289"/>
      <c r="AE1629" s="289"/>
      <c r="AF1629" s="289"/>
      <c r="AG1629" s="289"/>
      <c r="AH1629" s="289"/>
      <c r="AI1629" s="289"/>
      <c r="AJ1629" s="289"/>
      <c r="AK1629" s="289"/>
      <c r="AL1629" s="289"/>
    </row>
    <row r="1630" spans="2:43" ht="12.75" customHeight="1">
      <c r="B1630" s="532" t="str">
        <f>IF($C$1="ENG","door handle-lock (for sliding doors)","ручка-замок (для дверей купе)")</f>
        <v>ручка-замок (для дверей купе)</v>
      </c>
      <c r="C1630" s="533"/>
      <c r="D1630" s="133">
        <f t="shared" si="225"/>
        <v>466.66666666666669</v>
      </c>
      <c r="E1630" s="93">
        <f t="shared" si="226"/>
        <v>560</v>
      </c>
      <c r="F1630" s="26"/>
      <c r="G1630" s="26"/>
      <c r="I1630" s="11"/>
      <c r="J1630" s="11"/>
      <c r="K1630" s="19"/>
      <c r="AC1630" s="289">
        <v>560</v>
      </c>
      <c r="AD1630" s="289">
        <v>560</v>
      </c>
      <c r="AE1630" s="289"/>
      <c r="AF1630" s="289"/>
      <c r="AG1630" s="289"/>
      <c r="AH1630" s="289"/>
      <c r="AI1630" s="289"/>
      <c r="AJ1630" s="289"/>
      <c r="AK1630" s="289"/>
      <c r="AL1630" s="289"/>
    </row>
    <row r="1631" spans="2:43" ht="12.75" customHeight="1">
      <c r="B1631" s="532" t="str">
        <f>IF($C$1="ENG","cylinder incert","циліндр несиметричний")</f>
        <v>циліндр несиметричний</v>
      </c>
      <c r="C1631" s="533"/>
      <c r="D1631" s="133">
        <f t="shared" si="225"/>
        <v>316.66666666666669</v>
      </c>
      <c r="E1631" s="93">
        <f t="shared" si="226"/>
        <v>380</v>
      </c>
      <c r="F1631" s="26"/>
      <c r="G1631" s="26"/>
      <c r="I1631" s="20"/>
      <c r="AC1631" s="289">
        <v>380</v>
      </c>
      <c r="AD1631" s="289">
        <v>380</v>
      </c>
      <c r="AE1631" s="289"/>
      <c r="AF1631" s="289"/>
      <c r="AG1631" s="289"/>
      <c r="AH1631" s="289"/>
      <c r="AI1631" s="289"/>
      <c r="AJ1631" s="289"/>
      <c r="AK1631" s="289"/>
      <c r="AL1631" s="289"/>
    </row>
    <row r="1632" spans="2:43" ht="12.75" customHeight="1">
      <c r="B1632" s="532" t="str">
        <f>IF($C$1="ENG","door hindge Prestige (1 unit)","завіса Prestige (1 шт)")</f>
        <v>завіса Prestige (1 шт)</v>
      </c>
      <c r="C1632" s="533"/>
      <c r="D1632" s="135">
        <f t="shared" si="225"/>
        <v>216.66666666666669</v>
      </c>
      <c r="E1632" s="93">
        <f t="shared" si="226"/>
        <v>260</v>
      </c>
      <c r="F1632" s="26"/>
      <c r="G1632" s="26"/>
      <c r="AC1632" s="289">
        <v>260</v>
      </c>
      <c r="AD1632" s="289">
        <v>260</v>
      </c>
      <c r="AE1632" s="289"/>
      <c r="AF1632" s="289"/>
      <c r="AG1632" s="289"/>
      <c r="AH1632" s="289"/>
      <c r="AI1632" s="289"/>
      <c r="AJ1632" s="289"/>
      <c r="AK1632" s="289"/>
      <c r="AL1632" s="289"/>
    </row>
    <row r="1633" spans="2:38" ht="12.75" customHeight="1">
      <c r="B1633" s="532" t="str">
        <f>IF($C$1="ENG","door hinge caps (1 set)","накладка на завіси (1 к-т)")</f>
        <v>накладка на завіси (1 к-т)</v>
      </c>
      <c r="C1633" s="533"/>
      <c r="D1633" s="135">
        <f t="shared" si="225"/>
        <v>66.666666666666671</v>
      </c>
      <c r="E1633" s="93">
        <f t="shared" si="226"/>
        <v>80</v>
      </c>
      <c r="F1633" s="26"/>
      <c r="G1633" s="26"/>
      <c r="AC1633" s="289">
        <v>80</v>
      </c>
      <c r="AD1633" s="289">
        <v>80</v>
      </c>
      <c r="AE1633" s="289"/>
      <c r="AF1633" s="289"/>
      <c r="AG1633" s="289"/>
      <c r="AH1633" s="289"/>
      <c r="AI1633" s="289"/>
      <c r="AJ1633" s="289"/>
      <c r="AK1633" s="289"/>
      <c r="AL1633" s="289"/>
    </row>
    <row r="1634" spans="2:38" ht="14.25" customHeight="1">
      <c r="B1634" s="532" t="str">
        <f>IF($C$1="ENG","door handle","дверна ручка")</f>
        <v>дверна ручка</v>
      </c>
      <c r="C1634" s="533"/>
      <c r="D1634" s="134" t="str">
        <f t="shared" si="225"/>
        <v/>
      </c>
      <c r="E1634" s="247" t="str">
        <f>IF($C$1="ENG","see Handles Price","див. Таблицю Ручки")</f>
        <v>див. Таблицю Ручки</v>
      </c>
      <c r="F1634" s="26"/>
      <c r="G1634" s="26"/>
      <c r="AC1634" s="298"/>
      <c r="AD1634" s="289"/>
      <c r="AE1634" s="289"/>
      <c r="AF1634" s="289"/>
      <c r="AG1634" s="289"/>
      <c r="AH1634" s="289"/>
      <c r="AI1634" s="289"/>
      <c r="AJ1634" s="289"/>
      <c r="AK1634" s="289"/>
      <c r="AL1634" s="289"/>
    </row>
    <row r="1635" spans="2:38" ht="14.25" customHeight="1">
      <c r="C1635" s="245"/>
      <c r="D1635" s="26"/>
      <c r="E1635" s="26"/>
      <c r="F1635" s="26"/>
      <c r="G1635" s="26"/>
      <c r="H1635" s="5"/>
      <c r="T1635" s="115"/>
      <c r="U1635" s="525" t="str">
        <f>IF($C$1="ENG",CONCATENATE("down to: ",B1685),CONCATENATE("вниз до: ",B1685))</f>
        <v>вниз до: Полотна збірні: ПОЛО</v>
      </c>
      <c r="V1635" s="525"/>
      <c r="W1635" s="525"/>
      <c r="X1635" s="304"/>
      <c r="Y1635" s="304"/>
      <c r="Z1635" s="304"/>
      <c r="AA1635" s="304"/>
      <c r="AB1635" s="304"/>
    </row>
    <row r="1636" spans="2:38" ht="14.25" customHeight="1">
      <c r="C1636" s="245"/>
      <c r="D1636" s="26"/>
      <c r="E1636" s="26"/>
      <c r="F1636" s="26"/>
      <c r="G1636" s="26"/>
      <c r="H1636" s="5"/>
      <c r="T1636" s="115"/>
      <c r="U1636" s="115"/>
      <c r="V1636" s="115"/>
      <c r="W1636" s="115"/>
      <c r="X1636" s="304"/>
      <c r="Y1636" s="304"/>
      <c r="Z1636" s="304"/>
      <c r="AA1636" s="304"/>
      <c r="AB1636" s="304"/>
    </row>
    <row r="1637" spans="2:38" ht="14.25" customHeight="1">
      <c r="C1637" s="245"/>
      <c r="D1637" s="26"/>
      <c r="E1637" s="26"/>
      <c r="F1637" s="26"/>
      <c r="G1637" s="26"/>
      <c r="H1637" s="5"/>
      <c r="T1637" s="115"/>
      <c r="U1637" s="115"/>
      <c r="V1637" s="115"/>
      <c r="W1637" s="115"/>
      <c r="X1637" s="304"/>
      <c r="Y1637" s="304"/>
      <c r="Z1637" s="304"/>
      <c r="AA1637" s="304"/>
      <c r="AB1637" s="304"/>
    </row>
    <row r="1638" spans="2:38" ht="14.25" customHeight="1">
      <c r="C1638" s="245"/>
      <c r="D1638" s="26"/>
      <c r="E1638" s="26"/>
      <c r="F1638" s="26"/>
      <c r="G1638" s="26"/>
      <c r="H1638" s="5"/>
      <c r="T1638" s="115"/>
      <c r="U1638" s="115"/>
      <c r="V1638" s="115"/>
      <c r="W1638" s="115"/>
      <c r="X1638" s="304"/>
      <c r="Y1638" s="304"/>
      <c r="Z1638" s="304"/>
      <c r="AA1638" s="304"/>
      <c r="AB1638" s="304"/>
    </row>
    <row r="1639" spans="2:38" ht="14.25" customHeight="1">
      <c r="C1639" s="245"/>
      <c r="D1639" s="26"/>
      <c r="E1639" s="26"/>
      <c r="F1639" s="26"/>
      <c r="G1639" s="26"/>
      <c r="H1639" s="5"/>
      <c r="T1639" s="115"/>
      <c r="U1639" s="115"/>
      <c r="V1639" s="115"/>
      <c r="W1639" s="115"/>
      <c r="X1639" s="304"/>
      <c r="Y1639" s="304"/>
      <c r="Z1639" s="304"/>
      <c r="AA1639" s="304"/>
      <c r="AB1639" s="304"/>
    </row>
    <row r="1640" spans="2:38" ht="14.25" customHeight="1">
      <c r="C1640" s="245"/>
      <c r="D1640" s="26"/>
      <c r="E1640" s="26"/>
      <c r="F1640" s="26"/>
      <c r="G1640" s="26"/>
      <c r="H1640" s="5"/>
      <c r="T1640" s="115"/>
      <c r="U1640" s="115"/>
      <c r="V1640" s="115"/>
      <c r="W1640" s="115"/>
      <c r="X1640" s="304"/>
      <c r="Y1640" s="304"/>
      <c r="Z1640" s="304"/>
      <c r="AA1640" s="304"/>
      <c r="AB1640" s="304"/>
    </row>
    <row r="1641" spans="2:38" ht="14.25" customHeight="1">
      <c r="C1641" s="245"/>
      <c r="D1641" s="26"/>
      <c r="E1641" s="26"/>
      <c r="F1641" s="26"/>
      <c r="G1641" s="26"/>
      <c r="H1641" s="5"/>
      <c r="T1641" s="115"/>
      <c r="U1641" s="115"/>
      <c r="V1641" s="115"/>
      <c r="W1641" s="115"/>
      <c r="X1641" s="304"/>
      <c r="Y1641" s="304"/>
      <c r="Z1641" s="304"/>
      <c r="AA1641" s="304"/>
      <c r="AB1641" s="304"/>
    </row>
    <row r="1642" spans="2:38" ht="14.25" customHeight="1">
      <c r="C1642" s="245"/>
      <c r="D1642" s="26"/>
      <c r="E1642" s="26"/>
      <c r="F1642" s="26"/>
      <c r="G1642" s="26"/>
      <c r="H1642" s="5"/>
      <c r="T1642" s="115"/>
      <c r="U1642" s="115"/>
      <c r="V1642" s="115"/>
      <c r="W1642" s="115"/>
      <c r="X1642" s="304"/>
      <c r="Y1642" s="304"/>
      <c r="Z1642" s="304"/>
      <c r="AA1642" s="304"/>
      <c r="AB1642" s="304"/>
    </row>
    <row r="1643" spans="2:38" ht="14.25" customHeight="1">
      <c r="C1643" s="245"/>
      <c r="D1643" s="26"/>
      <c r="E1643" s="26"/>
      <c r="F1643" s="26"/>
      <c r="G1643" s="26"/>
      <c r="H1643" s="5"/>
      <c r="T1643" s="115"/>
      <c r="U1643" s="115"/>
      <c r="V1643" s="115"/>
      <c r="W1643" s="115"/>
      <c r="X1643" s="304"/>
      <c r="Y1643" s="304"/>
      <c r="Z1643" s="304"/>
      <c r="AA1643" s="304"/>
      <c r="AB1643" s="304"/>
    </row>
    <row r="1644" spans="2:38" ht="14.25" customHeight="1">
      <c r="C1644" s="245"/>
      <c r="D1644" s="26"/>
      <c r="E1644" s="26"/>
      <c r="F1644" s="26"/>
      <c r="G1644" s="26"/>
      <c r="H1644" s="5"/>
      <c r="T1644" s="115"/>
      <c r="U1644" s="115"/>
      <c r="V1644" s="115"/>
      <c r="W1644" s="115"/>
      <c r="X1644" s="304"/>
      <c r="Y1644" s="304"/>
      <c r="Z1644" s="304"/>
      <c r="AA1644" s="304"/>
      <c r="AB1644" s="304"/>
    </row>
    <row r="1645" spans="2:38" ht="14.25" customHeight="1">
      <c r="C1645" s="245"/>
      <c r="D1645" s="26"/>
      <c r="E1645" s="26"/>
      <c r="F1645" s="26"/>
      <c r="G1645" s="26"/>
      <c r="H1645" s="5"/>
      <c r="T1645" s="115"/>
      <c r="U1645" s="115"/>
      <c r="V1645" s="115"/>
      <c r="W1645" s="115"/>
      <c r="X1645" s="304"/>
      <c r="Y1645" s="304"/>
      <c r="Z1645" s="304"/>
      <c r="AA1645" s="304"/>
      <c r="AB1645" s="304"/>
    </row>
    <row r="1646" spans="2:38" ht="14.25" customHeight="1">
      <c r="C1646" s="245"/>
      <c r="D1646" s="26"/>
      <c r="E1646" s="26"/>
      <c r="F1646" s="26"/>
      <c r="G1646" s="26"/>
      <c r="H1646" s="5"/>
      <c r="T1646" s="115"/>
      <c r="U1646" s="115"/>
      <c r="V1646" s="115"/>
      <c r="W1646" s="115"/>
      <c r="X1646" s="304"/>
      <c r="Y1646" s="304"/>
      <c r="Z1646" s="304"/>
      <c r="AA1646" s="304"/>
      <c r="AB1646" s="304"/>
    </row>
    <row r="1647" spans="2:38" ht="14.25" customHeight="1">
      <c r="C1647" s="245"/>
      <c r="D1647" s="26"/>
      <c r="E1647" s="26"/>
      <c r="F1647" s="26"/>
      <c r="G1647" s="26"/>
      <c r="H1647" s="5"/>
      <c r="T1647" s="115"/>
      <c r="U1647" s="115"/>
      <c r="V1647" s="115"/>
      <c r="W1647" s="115"/>
      <c r="X1647" s="304"/>
      <c r="Y1647" s="304"/>
      <c r="Z1647" s="304"/>
      <c r="AA1647" s="304"/>
      <c r="AB1647" s="304"/>
    </row>
    <row r="1648" spans="2:38" ht="14.25" customHeight="1">
      <c r="C1648" s="245"/>
      <c r="D1648" s="26"/>
      <c r="E1648" s="26"/>
      <c r="F1648" s="26"/>
      <c r="G1648" s="26"/>
      <c r="H1648" s="5"/>
      <c r="T1648" s="115"/>
      <c r="U1648" s="115"/>
      <c r="V1648" s="115"/>
      <c r="W1648" s="115"/>
      <c r="X1648" s="304"/>
      <c r="Y1648" s="304"/>
      <c r="Z1648" s="304"/>
      <c r="AA1648" s="304"/>
      <c r="AB1648" s="304"/>
    </row>
    <row r="1649" spans="3:28" ht="14.25" customHeight="1">
      <c r="C1649" s="245"/>
      <c r="D1649" s="26"/>
      <c r="E1649" s="26"/>
      <c r="F1649" s="26"/>
      <c r="G1649" s="26"/>
      <c r="H1649" s="5"/>
      <c r="T1649" s="115"/>
      <c r="U1649" s="115"/>
      <c r="V1649" s="115"/>
      <c r="W1649" s="115"/>
      <c r="X1649" s="304"/>
      <c r="Y1649" s="304"/>
      <c r="Z1649" s="304"/>
      <c r="AA1649" s="304"/>
      <c r="AB1649" s="304"/>
    </row>
    <row r="1650" spans="3:28" ht="14.25" customHeight="1">
      <c r="C1650" s="245"/>
      <c r="D1650" s="26"/>
      <c r="E1650" s="26"/>
      <c r="F1650" s="26"/>
      <c r="G1650" s="26"/>
      <c r="H1650" s="5"/>
      <c r="T1650" s="115"/>
      <c r="U1650" s="115"/>
      <c r="V1650" s="115"/>
      <c r="W1650" s="115"/>
      <c r="X1650" s="304"/>
      <c r="Y1650" s="304"/>
      <c r="Z1650" s="304"/>
      <c r="AA1650" s="304"/>
      <c r="AB1650" s="304"/>
    </row>
    <row r="1651" spans="3:28" ht="14.25" customHeight="1">
      <c r="C1651" s="245"/>
      <c r="D1651" s="26"/>
      <c r="E1651" s="26"/>
      <c r="F1651" s="26"/>
      <c r="G1651" s="26"/>
      <c r="H1651" s="5"/>
      <c r="T1651" s="115"/>
      <c r="U1651" s="115"/>
      <c r="V1651" s="115"/>
      <c r="W1651" s="115"/>
      <c r="X1651" s="304"/>
      <c r="Y1651" s="304"/>
      <c r="Z1651" s="304"/>
      <c r="AA1651" s="304"/>
      <c r="AB1651" s="304"/>
    </row>
    <row r="1652" spans="3:28" ht="14.25" customHeight="1">
      <c r="C1652" s="245"/>
      <c r="D1652" s="26"/>
      <c r="E1652" s="26"/>
      <c r="F1652" s="26"/>
      <c r="G1652" s="26"/>
      <c r="H1652" s="5"/>
      <c r="T1652" s="115"/>
      <c r="U1652" s="115"/>
      <c r="V1652" s="115"/>
      <c r="W1652" s="115"/>
      <c r="X1652" s="304"/>
      <c r="Y1652" s="304"/>
      <c r="Z1652" s="304"/>
      <c r="AA1652" s="304"/>
      <c r="AB1652" s="304"/>
    </row>
    <row r="1653" spans="3:28" ht="14.25" customHeight="1">
      <c r="C1653" s="245"/>
      <c r="D1653" s="26"/>
      <c r="E1653" s="26"/>
      <c r="F1653" s="26"/>
      <c r="G1653" s="26"/>
      <c r="H1653" s="5"/>
      <c r="T1653" s="115"/>
      <c r="U1653" s="115"/>
      <c r="V1653" s="115"/>
      <c r="W1653" s="115"/>
      <c r="X1653" s="304"/>
      <c r="Y1653" s="304"/>
      <c r="Z1653" s="304"/>
      <c r="AA1653" s="304"/>
      <c r="AB1653" s="304"/>
    </row>
    <row r="1654" spans="3:28" ht="14.25" customHeight="1">
      <c r="C1654" s="245"/>
      <c r="D1654" s="26"/>
      <c r="E1654" s="26"/>
      <c r="F1654" s="26"/>
      <c r="G1654" s="26"/>
      <c r="H1654" s="5"/>
      <c r="T1654" s="115"/>
      <c r="U1654" s="115"/>
      <c r="V1654" s="115"/>
      <c r="W1654" s="115"/>
      <c r="X1654" s="304"/>
      <c r="Y1654" s="304"/>
      <c r="Z1654" s="304"/>
      <c r="AA1654" s="304"/>
      <c r="AB1654" s="304"/>
    </row>
    <row r="1655" spans="3:28" ht="14.25" customHeight="1">
      <c r="C1655" s="245"/>
      <c r="D1655" s="26"/>
      <c r="E1655" s="26"/>
      <c r="F1655" s="26"/>
      <c r="G1655" s="26"/>
      <c r="H1655" s="5"/>
      <c r="T1655" s="115"/>
      <c r="U1655" s="115"/>
      <c r="V1655" s="115"/>
      <c r="W1655" s="115"/>
      <c r="X1655" s="304"/>
      <c r="Y1655" s="304"/>
      <c r="Z1655" s="304"/>
      <c r="AA1655" s="304"/>
      <c r="AB1655" s="304"/>
    </row>
    <row r="1656" spans="3:28" ht="14.25" customHeight="1">
      <c r="C1656" s="245"/>
      <c r="D1656" s="26"/>
      <c r="E1656" s="26"/>
      <c r="F1656" s="26"/>
      <c r="G1656" s="26"/>
      <c r="H1656" s="5"/>
      <c r="T1656" s="115"/>
      <c r="U1656" s="115"/>
      <c r="V1656" s="115"/>
      <c r="W1656" s="115"/>
      <c r="X1656" s="304"/>
      <c r="Y1656" s="304"/>
      <c r="Z1656" s="304"/>
      <c r="AA1656" s="304"/>
      <c r="AB1656" s="304"/>
    </row>
    <row r="1657" spans="3:28" ht="14.25" customHeight="1">
      <c r="C1657" s="245"/>
      <c r="D1657" s="26"/>
      <c r="E1657" s="26"/>
      <c r="F1657" s="26"/>
      <c r="G1657" s="26"/>
      <c r="H1657" s="5"/>
      <c r="T1657" s="115"/>
      <c r="U1657" s="115"/>
      <c r="V1657" s="115"/>
      <c r="W1657" s="115"/>
      <c r="X1657" s="304"/>
      <c r="Y1657" s="304"/>
      <c r="Z1657" s="304"/>
      <c r="AA1657" s="304"/>
      <c r="AB1657" s="304"/>
    </row>
    <row r="1658" spans="3:28" ht="14.25" customHeight="1">
      <c r="C1658" s="245"/>
      <c r="D1658" s="26"/>
      <c r="E1658" s="26"/>
      <c r="F1658" s="26"/>
      <c r="G1658" s="26"/>
      <c r="H1658" s="5"/>
      <c r="T1658" s="115"/>
      <c r="U1658" s="115"/>
      <c r="V1658" s="115"/>
      <c r="W1658" s="115"/>
      <c r="X1658" s="304"/>
      <c r="Y1658" s="304"/>
      <c r="Z1658" s="304"/>
      <c r="AA1658" s="304"/>
      <c r="AB1658" s="304"/>
    </row>
    <row r="1659" spans="3:28" ht="14.25" customHeight="1">
      <c r="C1659" s="245"/>
      <c r="D1659" s="26"/>
      <c r="E1659" s="26"/>
      <c r="F1659" s="26"/>
      <c r="G1659" s="26"/>
      <c r="H1659" s="5"/>
      <c r="T1659" s="115"/>
      <c r="U1659" s="115"/>
      <c r="V1659" s="115"/>
      <c r="W1659" s="115"/>
      <c r="X1659" s="304"/>
      <c r="Y1659" s="304"/>
      <c r="Z1659" s="304"/>
      <c r="AA1659" s="304"/>
      <c r="AB1659" s="304"/>
    </row>
    <row r="1660" spans="3:28" ht="14.25" customHeight="1">
      <c r="C1660" s="245"/>
      <c r="D1660" s="26"/>
      <c r="E1660" s="26"/>
      <c r="F1660" s="26"/>
      <c r="G1660" s="26"/>
      <c r="H1660" s="5"/>
      <c r="T1660" s="115"/>
      <c r="U1660" s="115"/>
      <c r="V1660" s="115"/>
      <c r="W1660" s="115"/>
      <c r="X1660" s="304"/>
      <c r="Y1660" s="304"/>
      <c r="Z1660" s="304"/>
      <c r="AA1660" s="304"/>
      <c r="AB1660" s="304"/>
    </row>
    <row r="1661" spans="3:28" ht="14.25" customHeight="1">
      <c r="C1661" s="245"/>
      <c r="D1661" s="26"/>
      <c r="E1661" s="26"/>
      <c r="F1661" s="26"/>
      <c r="G1661" s="26"/>
      <c r="H1661" s="5"/>
      <c r="T1661" s="115"/>
      <c r="U1661" s="115"/>
      <c r="V1661" s="115"/>
      <c r="W1661" s="115"/>
      <c r="X1661" s="304"/>
      <c r="Y1661" s="304"/>
      <c r="Z1661" s="304"/>
      <c r="AA1661" s="304"/>
      <c r="AB1661" s="304"/>
    </row>
    <row r="1662" spans="3:28" ht="14.25" customHeight="1">
      <c r="C1662" s="245"/>
      <c r="D1662" s="26"/>
      <c r="E1662" s="26"/>
      <c r="F1662" s="26"/>
      <c r="G1662" s="26"/>
      <c r="H1662" s="5"/>
      <c r="T1662" s="115"/>
      <c r="U1662" s="115"/>
      <c r="V1662" s="115"/>
      <c r="W1662" s="115"/>
      <c r="X1662" s="304"/>
      <c r="Y1662" s="304"/>
      <c r="Z1662" s="304"/>
      <c r="AA1662" s="304"/>
      <c r="AB1662" s="304"/>
    </row>
    <row r="1663" spans="3:28" ht="14.25" customHeight="1">
      <c r="C1663" s="245"/>
      <c r="D1663" s="26"/>
      <c r="E1663" s="26"/>
      <c r="F1663" s="26"/>
      <c r="G1663" s="26"/>
      <c r="H1663" s="5"/>
      <c r="T1663" s="115"/>
      <c r="U1663" s="115"/>
      <c r="V1663" s="115"/>
      <c r="W1663" s="115"/>
      <c r="X1663" s="304"/>
      <c r="Y1663" s="304"/>
      <c r="Z1663" s="304"/>
      <c r="AA1663" s="304"/>
      <c r="AB1663" s="304"/>
    </row>
    <row r="1664" spans="3:28" ht="14.25" customHeight="1">
      <c r="C1664" s="245"/>
      <c r="D1664" s="26"/>
      <c r="E1664" s="26"/>
      <c r="F1664" s="26"/>
      <c r="G1664" s="26"/>
      <c r="H1664" s="5"/>
      <c r="T1664" s="115"/>
      <c r="U1664" s="115"/>
      <c r="V1664" s="115"/>
      <c r="W1664" s="115"/>
      <c r="X1664" s="304"/>
      <c r="Y1664" s="304"/>
      <c r="Z1664" s="304"/>
      <c r="AA1664" s="304"/>
      <c r="AB1664" s="304"/>
    </row>
    <row r="1665" spans="3:28" ht="14.25" customHeight="1">
      <c r="C1665" s="245"/>
      <c r="D1665" s="26"/>
      <c r="E1665" s="26"/>
      <c r="F1665" s="26"/>
      <c r="G1665" s="26"/>
      <c r="H1665" s="5"/>
      <c r="T1665" s="115"/>
      <c r="U1665" s="115"/>
      <c r="V1665" s="115"/>
      <c r="W1665" s="115"/>
      <c r="X1665" s="304"/>
      <c r="Y1665" s="304"/>
      <c r="Z1665" s="304"/>
      <c r="AA1665" s="304"/>
      <c r="AB1665" s="304"/>
    </row>
    <row r="1666" spans="3:28" ht="14.25" customHeight="1">
      <c r="C1666" s="245"/>
      <c r="D1666" s="26"/>
      <c r="E1666" s="26"/>
      <c r="F1666" s="26"/>
      <c r="G1666" s="26"/>
      <c r="H1666" s="5"/>
      <c r="T1666" s="115"/>
      <c r="U1666" s="115"/>
      <c r="V1666" s="115"/>
      <c r="W1666" s="115"/>
      <c r="X1666" s="304"/>
      <c r="Y1666" s="304"/>
      <c r="Z1666" s="304"/>
      <c r="AA1666" s="304"/>
      <c r="AB1666" s="304"/>
    </row>
    <row r="1667" spans="3:28" ht="14.25" customHeight="1">
      <c r="C1667" s="245"/>
      <c r="D1667" s="26"/>
      <c r="E1667" s="26"/>
      <c r="F1667" s="26"/>
      <c r="G1667" s="26"/>
      <c r="H1667" s="5"/>
      <c r="T1667" s="115"/>
      <c r="U1667" s="115"/>
      <c r="V1667" s="115"/>
      <c r="W1667" s="115"/>
      <c r="X1667" s="304"/>
      <c r="Y1667" s="304"/>
      <c r="Z1667" s="304"/>
      <c r="AA1667" s="304"/>
      <c r="AB1667" s="304"/>
    </row>
    <row r="1668" spans="3:28" ht="14.25" customHeight="1">
      <c r="C1668" s="245"/>
      <c r="D1668" s="26"/>
      <c r="E1668" s="26"/>
      <c r="F1668" s="26"/>
      <c r="G1668" s="26"/>
      <c r="H1668" s="5"/>
      <c r="T1668" s="115"/>
      <c r="U1668" s="115"/>
      <c r="V1668" s="115"/>
      <c r="W1668" s="115"/>
      <c r="X1668" s="304"/>
      <c r="Y1668" s="304"/>
      <c r="Z1668" s="304"/>
      <c r="AA1668" s="304"/>
      <c r="AB1668" s="304"/>
    </row>
    <row r="1669" spans="3:28" ht="14.25" customHeight="1">
      <c r="C1669" s="245"/>
      <c r="D1669" s="26"/>
      <c r="E1669" s="26"/>
      <c r="F1669" s="26"/>
      <c r="G1669" s="26"/>
      <c r="H1669" s="5"/>
      <c r="T1669" s="115"/>
      <c r="U1669" s="115"/>
      <c r="V1669" s="115"/>
      <c r="W1669" s="115"/>
      <c r="X1669" s="304"/>
      <c r="Y1669" s="304"/>
      <c r="Z1669" s="304"/>
      <c r="AA1669" s="304"/>
      <c r="AB1669" s="304"/>
    </row>
    <row r="1670" spans="3:28" ht="14.25" customHeight="1">
      <c r="C1670" s="245"/>
      <c r="D1670" s="26"/>
      <c r="E1670" s="26"/>
      <c r="F1670" s="26"/>
      <c r="G1670" s="26"/>
      <c r="H1670" s="5"/>
      <c r="T1670" s="115"/>
      <c r="U1670" s="115"/>
      <c r="V1670" s="115"/>
      <c r="W1670" s="115"/>
      <c r="X1670" s="304"/>
      <c r="Y1670" s="304"/>
      <c r="Z1670" s="304"/>
      <c r="AA1670" s="304"/>
      <c r="AB1670" s="304"/>
    </row>
    <row r="1671" spans="3:28" ht="14.25" customHeight="1">
      <c r="C1671" s="245"/>
      <c r="D1671" s="26"/>
      <c r="E1671" s="26"/>
      <c r="F1671" s="26"/>
      <c r="G1671" s="26"/>
      <c r="H1671" s="5"/>
      <c r="T1671" s="115"/>
      <c r="U1671" s="115"/>
      <c r="V1671" s="115"/>
      <c r="W1671" s="115"/>
      <c r="X1671" s="304"/>
      <c r="Y1671" s="304"/>
      <c r="Z1671" s="304"/>
      <c r="AA1671" s="304"/>
      <c r="AB1671" s="304"/>
    </row>
    <row r="1672" spans="3:28" ht="14.25" customHeight="1">
      <c r="C1672" s="245"/>
      <c r="D1672" s="26"/>
      <c r="E1672" s="26"/>
      <c r="F1672" s="26"/>
      <c r="G1672" s="26"/>
      <c r="H1672" s="5"/>
      <c r="T1672" s="115"/>
      <c r="U1672" s="115"/>
      <c r="V1672" s="115"/>
      <c r="W1672" s="115"/>
      <c r="X1672" s="304"/>
      <c r="Y1672" s="304"/>
      <c r="Z1672" s="304"/>
      <c r="AA1672" s="304"/>
      <c r="AB1672" s="304"/>
    </row>
    <row r="1673" spans="3:28" ht="14.25" customHeight="1">
      <c r="C1673" s="245"/>
      <c r="D1673" s="26"/>
      <c r="E1673" s="26"/>
      <c r="F1673" s="26"/>
      <c r="G1673" s="26"/>
      <c r="H1673" s="5"/>
      <c r="T1673" s="115"/>
      <c r="U1673" s="115"/>
      <c r="V1673" s="115"/>
      <c r="W1673" s="115"/>
      <c r="X1673" s="304"/>
      <c r="Y1673" s="304"/>
      <c r="Z1673" s="304"/>
      <c r="AA1673" s="304"/>
      <c r="AB1673" s="304"/>
    </row>
    <row r="1674" spans="3:28" ht="14.25" customHeight="1">
      <c r="C1674" s="245"/>
      <c r="D1674" s="26"/>
      <c r="E1674" s="26"/>
      <c r="F1674" s="26"/>
      <c r="G1674" s="26"/>
      <c r="H1674" s="5"/>
      <c r="T1674" s="115"/>
      <c r="U1674" s="115"/>
      <c r="V1674" s="115"/>
      <c r="W1674" s="115"/>
      <c r="X1674" s="304"/>
      <c r="Y1674" s="304"/>
      <c r="Z1674" s="304"/>
      <c r="AA1674" s="304"/>
      <c r="AB1674" s="304"/>
    </row>
    <row r="1675" spans="3:28" ht="14.25" customHeight="1">
      <c r="C1675" s="245"/>
      <c r="D1675" s="26"/>
      <c r="E1675" s="26"/>
      <c r="F1675" s="26"/>
      <c r="G1675" s="26"/>
      <c r="H1675" s="5"/>
      <c r="T1675" s="115"/>
      <c r="U1675" s="115"/>
      <c r="V1675" s="115"/>
      <c r="W1675" s="115"/>
      <c r="X1675" s="304"/>
      <c r="Y1675" s="304"/>
      <c r="Z1675" s="304"/>
      <c r="AA1675" s="304"/>
      <c r="AB1675" s="304"/>
    </row>
    <row r="1676" spans="3:28" ht="14.25" customHeight="1">
      <c r="C1676" s="245"/>
      <c r="D1676" s="26"/>
      <c r="E1676" s="26"/>
      <c r="F1676" s="26"/>
      <c r="G1676" s="26"/>
      <c r="H1676" s="5"/>
      <c r="T1676" s="115"/>
      <c r="U1676" s="115"/>
      <c r="V1676" s="115"/>
      <c r="W1676" s="115"/>
      <c r="X1676" s="304"/>
      <c r="Y1676" s="304"/>
      <c r="Z1676" s="304"/>
      <c r="AA1676" s="304"/>
      <c r="AB1676" s="304"/>
    </row>
    <row r="1677" spans="3:28" ht="14.25" customHeight="1">
      <c r="C1677" s="245"/>
      <c r="D1677" s="26"/>
      <c r="E1677" s="26"/>
      <c r="F1677" s="26"/>
      <c r="G1677" s="26"/>
      <c r="H1677" s="5"/>
      <c r="T1677" s="115"/>
      <c r="U1677" s="115"/>
      <c r="V1677" s="115"/>
      <c r="W1677" s="115"/>
      <c r="X1677" s="304"/>
      <c r="Y1677" s="304"/>
      <c r="Z1677" s="304"/>
      <c r="AA1677" s="304"/>
      <c r="AB1677" s="304"/>
    </row>
    <row r="1678" spans="3:28" ht="14.25" customHeight="1">
      <c r="C1678" s="245"/>
      <c r="D1678" s="26"/>
      <c r="E1678" s="26"/>
      <c r="F1678" s="26"/>
      <c r="G1678" s="26"/>
      <c r="H1678" s="5"/>
      <c r="T1678" s="115"/>
      <c r="U1678" s="115"/>
      <c r="V1678" s="115"/>
      <c r="W1678" s="115"/>
      <c r="X1678" s="304"/>
      <c r="Y1678" s="304"/>
      <c r="Z1678" s="304"/>
      <c r="AA1678" s="304"/>
      <c r="AB1678" s="304"/>
    </row>
    <row r="1679" spans="3:28" ht="14.25" customHeight="1">
      <c r="C1679" s="245"/>
      <c r="D1679" s="26"/>
      <c r="E1679" s="26"/>
      <c r="F1679" s="26"/>
      <c r="G1679" s="26"/>
      <c r="H1679" s="5"/>
      <c r="T1679" s="115"/>
      <c r="U1679" s="115"/>
      <c r="V1679" s="115"/>
      <c r="W1679" s="115"/>
      <c r="X1679" s="304"/>
      <c r="Y1679" s="304"/>
      <c r="Z1679" s="304"/>
      <c r="AA1679" s="304"/>
      <c r="AB1679" s="304"/>
    </row>
    <row r="1680" spans="3:28" ht="14.25" customHeight="1">
      <c r="C1680" s="245"/>
      <c r="D1680" s="26"/>
      <c r="E1680" s="26"/>
      <c r="F1680" s="26"/>
      <c r="G1680" s="26"/>
      <c r="H1680" s="5"/>
      <c r="T1680" s="115"/>
      <c r="U1680" s="115"/>
      <c r="V1680" s="115"/>
      <c r="W1680" s="115"/>
      <c r="X1680" s="304"/>
      <c r="Y1680" s="304"/>
      <c r="Z1680" s="304"/>
      <c r="AA1680" s="304"/>
      <c r="AB1680" s="304"/>
    </row>
    <row r="1681" spans="1:46" ht="14.25" customHeight="1">
      <c r="C1681" s="245"/>
      <c r="D1681" s="26"/>
      <c r="E1681" s="26"/>
      <c r="F1681" s="26"/>
      <c r="G1681" s="26"/>
      <c r="H1681" s="5"/>
      <c r="T1681" s="115"/>
      <c r="U1681" s="115"/>
      <c r="V1681" s="115"/>
      <c r="W1681" s="115"/>
      <c r="X1681" s="304"/>
      <c r="Y1681" s="304"/>
      <c r="Z1681" s="304"/>
      <c r="AA1681" s="304"/>
      <c r="AB1681" s="304"/>
    </row>
    <row r="1682" spans="1:46" ht="14.25" customHeight="1">
      <c r="C1682" s="245"/>
      <c r="D1682" s="26"/>
      <c r="E1682" s="26"/>
      <c r="F1682" s="26"/>
      <c r="G1682" s="26"/>
      <c r="H1682" s="5"/>
      <c r="T1682" s="115"/>
      <c r="U1682" s="115"/>
      <c r="V1682" s="115"/>
      <c r="W1682" s="115"/>
      <c r="X1682" s="304"/>
      <c r="Y1682" s="304"/>
      <c r="Z1682" s="304"/>
      <c r="AA1682" s="304"/>
      <c r="AB1682" s="304"/>
    </row>
    <row r="1683" spans="1:46" ht="14.25" customHeight="1">
      <c r="C1683" s="245"/>
      <c r="D1683" s="26"/>
      <c r="E1683" s="26"/>
      <c r="F1683" s="26"/>
      <c r="G1683" s="26"/>
      <c r="H1683" s="5"/>
      <c r="T1683" s="115"/>
      <c r="U1683" s="115"/>
      <c r="V1683" s="115"/>
      <c r="W1683" s="115"/>
      <c r="X1683" s="304"/>
      <c r="Y1683" s="304"/>
      <c r="Z1683" s="304"/>
      <c r="AA1683" s="304"/>
      <c r="AB1683" s="304"/>
    </row>
    <row r="1684" spans="1:46" ht="14.25" customHeight="1">
      <c r="C1684" s="245"/>
      <c r="D1684" s="26"/>
      <c r="E1684" s="26"/>
      <c r="F1684" s="26"/>
      <c r="G1684" s="26"/>
      <c r="H1684" s="5"/>
      <c r="T1684" s="115"/>
      <c r="U1684" s="115"/>
      <c r="V1684" s="115"/>
      <c r="W1684" s="115"/>
      <c r="X1684" s="304"/>
      <c r="Y1684" s="304"/>
      <c r="Z1684" s="304"/>
      <c r="AA1684" s="304"/>
      <c r="AB1684" s="304"/>
    </row>
    <row r="1685" spans="1:46" s="8" customFormat="1">
      <c r="B1685" s="518" t="str">
        <f>TITLE!C31</f>
        <v>Полотна збірні: ПОЛО</v>
      </c>
      <c r="C1685" s="518"/>
      <c r="D1685" s="118"/>
      <c r="E1685" s="118"/>
      <c r="F1685" s="118"/>
      <c r="G1685" s="118"/>
      <c r="H1685" s="520"/>
      <c r="I1685" s="520"/>
      <c r="J1685" s="121"/>
      <c r="K1685" s="121"/>
      <c r="L1685" s="121"/>
      <c r="M1685" s="121"/>
      <c r="N1685" s="121"/>
      <c r="O1685" s="121"/>
      <c r="P1685" s="121"/>
      <c r="Q1685" s="121"/>
      <c r="R1685" s="121"/>
      <c r="S1685" s="121"/>
      <c r="T1685" s="529" t="str">
        <f>IF($C$1="ENG",CONCATENATE("up to: ",B1611),CONCATENATE("вгору до: ",B1611))</f>
        <v>вгору до: Полотна збірні: МОДЕРН</v>
      </c>
      <c r="U1685" s="529"/>
      <c r="V1685" s="529"/>
      <c r="W1685" s="529"/>
      <c r="AG1685" s="289">
        <f>AB1685/100*12+AB1685</f>
        <v>0</v>
      </c>
      <c r="AH1685" s="289" t="e">
        <f>AG1685/AB1685-1</f>
        <v>#DIV/0!</v>
      </c>
      <c r="AN1685" s="280"/>
      <c r="AO1685" s="280"/>
      <c r="AP1685" s="280"/>
      <c r="AQ1685" s="280"/>
      <c r="AR1685" s="280"/>
      <c r="AS1685" s="280"/>
      <c r="AT1685" s="280"/>
    </row>
    <row r="1686" spans="1:46" s="8" customFormat="1" ht="5.0999999999999996" customHeight="1">
      <c r="B1686" s="117"/>
      <c r="C1686" s="419"/>
      <c r="D1686" s="9"/>
      <c r="E1686" s="9"/>
      <c r="F1686" s="9"/>
      <c r="G1686" s="9"/>
      <c r="H1686" s="120"/>
      <c r="I1686" s="120"/>
      <c r="J1686" s="1"/>
      <c r="K1686" s="1"/>
      <c r="T1686" s="115"/>
      <c r="U1686" s="115"/>
      <c r="V1686" s="115"/>
      <c r="W1686" s="115"/>
      <c r="AN1686" s="280"/>
      <c r="AO1686" s="280"/>
      <c r="AP1686" s="280"/>
      <c r="AQ1686" s="280"/>
      <c r="AR1686" s="280"/>
      <c r="AS1686" s="280"/>
      <c r="AT1686" s="280"/>
    </row>
    <row r="1687" spans="1:46" s="8" customFormat="1" ht="12.75" customHeight="1">
      <c r="B1687" s="536" t="str">
        <f>IF($C$1="ENG","model","модель")</f>
        <v>модель</v>
      </c>
      <c r="C1687" s="122" t="str">
        <f>IF($C$1="ENG","cover:","покриття:")</f>
        <v>покриття:</v>
      </c>
      <c r="D1687" s="522" t="str">
        <f>IF($C$1="ENG","Verto-CELL","Verto-CELL")</f>
        <v>Verto-CELL</v>
      </c>
      <c r="E1687" s="524"/>
      <c r="F1687" s="522" t="str">
        <f>IF($C$1="ENG","UNI-MAT","UNI-MAT")</f>
        <v>UNI-MAT</v>
      </c>
      <c r="G1687" s="524"/>
      <c r="H1687" s="522" t="str">
        <f>IF($C$1="ENG","RESIST","RESIST")</f>
        <v>RESIST</v>
      </c>
      <c r="I1687" s="524"/>
      <c r="J1687" s="522" t="str">
        <f>IF($C$1="ENG","Verto LINE-3D","Verto LINE-3D")</f>
        <v>Verto LINE-3D</v>
      </c>
      <c r="K1687" s="524"/>
      <c r="L1687" s="522" t="str">
        <f>IF($C$1="ENG","ECO Shpon","ЕКО Шпон")</f>
        <v>ЕКО Шпон</v>
      </c>
      <c r="M1687" s="524"/>
      <c r="P1687" s="20"/>
      <c r="Q1687" s="20"/>
      <c r="T1687" s="115"/>
      <c r="U1687" s="115"/>
      <c r="V1687" s="115"/>
      <c r="W1687" s="115"/>
      <c r="AN1687" s="280"/>
      <c r="AO1687" s="280"/>
      <c r="AP1687" s="280"/>
      <c r="AQ1687" s="280"/>
      <c r="AR1687" s="280"/>
      <c r="AS1687" s="280"/>
      <c r="AT1687" s="280"/>
    </row>
    <row r="1688" spans="1:46" s="8" customFormat="1" ht="24" customHeight="1">
      <c r="B1688" s="537"/>
      <c r="C1688" s="123" t="str">
        <f>IF($C$1="ENG","filling:","заповнення:")</f>
        <v>заповнення:</v>
      </c>
      <c r="D1688" s="527" t="str">
        <f>IF($C$1="ENG","softwood","клеєний сосновий брус")</f>
        <v>клеєний сосновий брус</v>
      </c>
      <c r="E1688" s="528"/>
      <c r="F1688" s="527" t="str">
        <f>IF($C$1="ENG","softwood","клеєний сосновий брус")</f>
        <v>клеєний сосновий брус</v>
      </c>
      <c r="G1688" s="528"/>
      <c r="H1688" s="527" t="str">
        <f>IF($C$1="ENG","softwood","клеєний сосновий брус")</f>
        <v>клеєний сосновий брус</v>
      </c>
      <c r="I1688" s="528"/>
      <c r="J1688" s="527" t="str">
        <f>IF($C$1="ENG","softwood","клеєний сосновий брус")</f>
        <v>клеєний сосновий брус</v>
      </c>
      <c r="K1688" s="528"/>
      <c r="L1688" s="527" t="str">
        <f>IF($C$1="ENG","softwood","клеєний сосновий брус")</f>
        <v>клеєний сосновий брус</v>
      </c>
      <c r="M1688" s="528"/>
      <c r="P1688" s="20"/>
      <c r="Q1688" s="20"/>
      <c r="T1688" s="115"/>
      <c r="U1688" s="115"/>
      <c r="V1688" s="115"/>
      <c r="W1688" s="115"/>
      <c r="AD1688" s="382">
        <f>AD1690/AC1690-1</f>
        <v>0.11024844720496896</v>
      </c>
      <c r="AE1688" s="382">
        <f>AE1690/AD1690-1</f>
        <v>4.8951048951048959E-2</v>
      </c>
      <c r="AF1688" s="382">
        <f>AF1690/AE1690-1</f>
        <v>8.1333333333333258E-2</v>
      </c>
      <c r="AG1688" s="382">
        <f>AG1690/AF1690-1</f>
        <v>5.3020961775585684E-2</v>
      </c>
      <c r="AN1688" s="280"/>
      <c r="AO1688" s="280"/>
      <c r="AP1688" s="280"/>
      <c r="AQ1688" s="280"/>
      <c r="AR1688" s="280"/>
      <c r="AS1688" s="280"/>
      <c r="AT1688" s="280"/>
    </row>
    <row r="1689" spans="1:46" ht="12.75" customHeight="1">
      <c r="A1689" s="8"/>
      <c r="B1689" s="538"/>
      <c r="C1689" s="124" t="str">
        <f>IF($C$1="ENG","glazing:","скління:")</f>
        <v>скління:</v>
      </c>
      <c r="D1689" s="513" t="str">
        <f>IF($C$1="ENG","Satin","Сатин")</f>
        <v>Сатин</v>
      </c>
      <c r="E1689" s="516"/>
      <c r="F1689" s="513" t="str">
        <f>IF($C$1="ENG","Satin","Сатин")</f>
        <v>Сатин</v>
      </c>
      <c r="G1689" s="516"/>
      <c r="H1689" s="513" t="str">
        <f>IF($C$1="ENG","Satin","Сатин")</f>
        <v>Сатин</v>
      </c>
      <c r="I1689" s="516"/>
      <c r="J1689" s="513" t="str">
        <f>IF($C$1="ENG","Satin","Сатин")</f>
        <v>Сатин</v>
      </c>
      <c r="K1689" s="516"/>
      <c r="L1689" s="513" t="str">
        <f>IF($C$1="ENG","Satin","Сатин")</f>
        <v>Сатин</v>
      </c>
      <c r="M1689" s="516"/>
      <c r="N1689" s="11"/>
      <c r="O1689" s="11"/>
      <c r="P1689" s="20"/>
      <c r="Q1689" s="20"/>
      <c r="R1689" s="11"/>
      <c r="S1689" s="11"/>
      <c r="T1689" s="11"/>
    </row>
    <row r="1690" spans="1:46" ht="35.1" customHeight="1">
      <c r="A1690" s="8"/>
      <c r="B1690" s="13" t="s">
        <v>32</v>
      </c>
      <c r="C1690" s="14"/>
      <c r="D1690" s="15">
        <f>IF(AC1690="","",(1-$W$2)*(AC1690/1.2))</f>
        <v>5366.666666666667</v>
      </c>
      <c r="E1690" s="64">
        <f>IF($W$5=0.2,D1690*1.2,D1690)/$W$4</f>
        <v>6440</v>
      </c>
      <c r="F1690" s="15">
        <f>IF(AD1690="","",(1-$W$2)*(AD1690/1.2))</f>
        <v>5958.3333333333339</v>
      </c>
      <c r="G1690" s="64">
        <f>IF($W$5=0.2,F1690*1.2,F1690)/$W$4</f>
        <v>7150.0000000000009</v>
      </c>
      <c r="H1690" s="15">
        <f>IF(AE1690="","",(1-$W$2)*(AE1690/1.2))</f>
        <v>6250</v>
      </c>
      <c r="I1690" s="64">
        <f>IF($W$5=0.2,H1690*1.2,H1690)/$W$4</f>
        <v>7500</v>
      </c>
      <c r="J1690" s="15">
        <f>IF(AF1690="","",(1-$W$2)*(AF1690/1.2))</f>
        <v>6758.3333333333339</v>
      </c>
      <c r="K1690" s="64">
        <f>IF($W$5=0.2,J1690*1.2,J1690)/$W$4</f>
        <v>8110</v>
      </c>
      <c r="L1690" s="15">
        <f>IF(AG1690="","",(1-$W$2)*(AG1690/1.2))</f>
        <v>7116.666666666667</v>
      </c>
      <c r="M1690" s="64">
        <f>IF($W$5=0.2,L1690*1.2,L1690)/$W$4</f>
        <v>8540</v>
      </c>
      <c r="N1690" s="104"/>
      <c r="O1690" s="20"/>
      <c r="P1690" s="20"/>
      <c r="Q1690" s="20"/>
      <c r="R1690" s="104"/>
      <c r="S1690" s="20"/>
      <c r="T1690" s="104"/>
      <c r="U1690" s="20"/>
      <c r="V1690" s="104"/>
      <c r="W1690" s="20"/>
      <c r="X1690" s="22"/>
      <c r="Y1690" s="22"/>
      <c r="Z1690" s="22"/>
      <c r="AA1690" s="22"/>
      <c r="AB1690" s="22"/>
      <c r="AC1690" s="332">
        <v>6440</v>
      </c>
      <c r="AD1690" s="390">
        <v>7150</v>
      </c>
      <c r="AE1690" s="332">
        <v>7500</v>
      </c>
      <c r="AF1690" s="332">
        <v>8110</v>
      </c>
      <c r="AG1690" s="332">
        <v>8540</v>
      </c>
      <c r="AH1690" s="289">
        <v>6440</v>
      </c>
      <c r="AI1690" s="289">
        <f>AH1690/AC1690-1</f>
        <v>0</v>
      </c>
      <c r="AJ1690" s="289">
        <v>7150</v>
      </c>
      <c r="AK1690" s="289">
        <f>AJ1690/AD1690-1</f>
        <v>0</v>
      </c>
      <c r="AL1690" s="289">
        <v>7500</v>
      </c>
      <c r="AM1690" s="289">
        <f>AL1690/AE1690-1</f>
        <v>0</v>
      </c>
      <c r="AN1690" s="289">
        <v>8110</v>
      </c>
      <c r="AO1690" s="289">
        <f>AN1690/AF1690-1</f>
        <v>0</v>
      </c>
      <c r="AP1690" s="289">
        <v>8540</v>
      </c>
      <c r="AQ1690" s="289">
        <f>AP1690/AG1690-1</f>
        <v>0</v>
      </c>
    </row>
    <row r="1691" spans="1:46" ht="35.1" customHeight="1">
      <c r="A1691" s="8"/>
      <c r="B1691" s="16" t="s">
        <v>15</v>
      </c>
      <c r="C1691" s="17"/>
      <c r="D1691" s="18">
        <f>IF(AC1691="","",(1-$W$2)*(AC1691/1.2))</f>
        <v>4983.3333333333339</v>
      </c>
      <c r="E1691" s="66">
        <f>IF($W$5=0.2,D1691*1.2,D1691)/$W$4</f>
        <v>5980.0000000000009</v>
      </c>
      <c r="F1691" s="18">
        <f>IF(AD1691="","",(1-$W$2)*(AD1691/1.2))</f>
        <v>5533.3333333333339</v>
      </c>
      <c r="G1691" s="66">
        <f>IF($W$5=0.2,F1691*1.2,F1691)/$W$4</f>
        <v>6640.0000000000009</v>
      </c>
      <c r="H1691" s="18">
        <f>IF(AE1691="","",(1-$W$2)*(AE1691/1.2))</f>
        <v>5750</v>
      </c>
      <c r="I1691" s="66">
        <f>IF($W$5=0.2,H1691*1.2,H1691)/$W$4</f>
        <v>6900</v>
      </c>
      <c r="J1691" s="18">
        <f>IF(AF1691="","",(1-$W$2)*(AF1691/1.2))</f>
        <v>6225</v>
      </c>
      <c r="K1691" s="66">
        <f>IF($W$5=0.2,J1691*1.2,J1691)/$W$4</f>
        <v>7470</v>
      </c>
      <c r="L1691" s="18">
        <f>IF(AG1691="","",(1-$W$2)*(AG1691/1.2))</f>
        <v>6525</v>
      </c>
      <c r="M1691" s="66">
        <f>IF($W$5=0.2,L1691*1.2,L1691)/$W$4</f>
        <v>7830</v>
      </c>
      <c r="N1691" s="104"/>
      <c r="O1691" s="20"/>
      <c r="P1691" s="20"/>
      <c r="Q1691" s="20"/>
      <c r="R1691" s="104"/>
      <c r="S1691" s="20"/>
      <c r="T1691" s="104"/>
      <c r="U1691" s="20"/>
      <c r="V1691" s="104"/>
      <c r="W1691" s="20"/>
      <c r="X1691" s="22"/>
      <c r="Y1691" s="22"/>
      <c r="Z1691" s="22"/>
      <c r="AA1691" s="22"/>
      <c r="AB1691" s="22"/>
      <c r="AC1691" s="332">
        <v>5980</v>
      </c>
      <c r="AD1691" s="390">
        <v>6640</v>
      </c>
      <c r="AE1691" s="332">
        <v>6900</v>
      </c>
      <c r="AF1691" s="332">
        <v>7470</v>
      </c>
      <c r="AG1691" s="332">
        <v>7830</v>
      </c>
      <c r="AH1691" s="289">
        <v>5980</v>
      </c>
      <c r="AI1691" s="289">
        <f t="shared" ref="AI1691:AI1693" si="231">AH1691/AC1691-1</f>
        <v>0</v>
      </c>
      <c r="AJ1691" s="289">
        <v>6640</v>
      </c>
      <c r="AK1691" s="289">
        <f t="shared" ref="AK1691:AK1693" si="232">AJ1691/AD1691-1</f>
        <v>0</v>
      </c>
      <c r="AL1691" s="289">
        <v>6900</v>
      </c>
      <c r="AM1691" s="289">
        <f t="shared" ref="AM1691:AM1693" si="233">AL1691/AE1691-1</f>
        <v>0</v>
      </c>
      <c r="AN1691" s="289">
        <v>7470</v>
      </c>
      <c r="AO1691" s="289">
        <f t="shared" ref="AO1691:AO1693" si="234">AN1691/AF1691-1</f>
        <v>0</v>
      </c>
      <c r="AP1691" s="289">
        <v>7830</v>
      </c>
      <c r="AQ1691" s="289">
        <f t="shared" ref="AQ1691:AQ1693" si="235">AP1691/AG1691-1</f>
        <v>0</v>
      </c>
    </row>
    <row r="1692" spans="1:46" ht="35.1" customHeight="1">
      <c r="A1692" s="8"/>
      <c r="B1692" s="16" t="s">
        <v>16</v>
      </c>
      <c r="C1692" s="17"/>
      <c r="D1692" s="18">
        <f>IF(AC1692="","",(1-$W$2)*(AC1692/1.2))</f>
        <v>4650</v>
      </c>
      <c r="E1692" s="66">
        <f>IF($W$5=0.2,D1692*1.2,D1692)/$W$4</f>
        <v>5580</v>
      </c>
      <c r="F1692" s="18">
        <f>IF(AD1692="","",(1-$W$2)*(AD1692/1.2))</f>
        <v>5158.3333333333339</v>
      </c>
      <c r="G1692" s="66">
        <f>IF($W$5=0.2,F1692*1.2,F1692)/$W$4</f>
        <v>6190.0000000000009</v>
      </c>
      <c r="H1692" s="18">
        <f>IF(AE1692="","",(1-$W$2)*(AE1692/1.2))</f>
        <v>5283.3333333333339</v>
      </c>
      <c r="I1692" s="66">
        <f>IF($W$5=0.2,H1692*1.2,H1692)/$W$4</f>
        <v>6340.0000000000009</v>
      </c>
      <c r="J1692" s="18">
        <f>IF(AF1692="","",(1-$W$2)*(AF1692/1.2))</f>
        <v>5741.666666666667</v>
      </c>
      <c r="K1692" s="66">
        <f>IF($W$5=0.2,J1692*1.2,J1692)/$W$4</f>
        <v>6890</v>
      </c>
      <c r="L1692" s="18">
        <f>IF(AG1692="","",(1-$W$2)*(AG1692/1.2))</f>
        <v>6025</v>
      </c>
      <c r="M1692" s="66">
        <f>IF($W$5=0.2,L1692*1.2,L1692)/$W$4</f>
        <v>7230</v>
      </c>
      <c r="N1692" s="104"/>
      <c r="O1692" s="20"/>
      <c r="P1692" s="20"/>
      <c r="Q1692" s="20"/>
      <c r="R1692" s="104"/>
      <c r="S1692" s="20"/>
      <c r="T1692" s="104"/>
      <c r="U1692" s="20"/>
      <c r="V1692" s="104"/>
      <c r="W1692" s="20"/>
      <c r="X1692" s="22"/>
      <c r="Y1692" s="22"/>
      <c r="Z1692" s="22"/>
      <c r="AA1692" s="22"/>
      <c r="AB1692" s="22"/>
      <c r="AC1692" s="332">
        <v>5580</v>
      </c>
      <c r="AD1692" s="390">
        <v>6190</v>
      </c>
      <c r="AE1692" s="332">
        <v>6340</v>
      </c>
      <c r="AF1692" s="332">
        <v>6890</v>
      </c>
      <c r="AG1692" s="332">
        <v>7230</v>
      </c>
      <c r="AH1692" s="289">
        <v>5580</v>
      </c>
      <c r="AI1692" s="289">
        <f t="shared" si="231"/>
        <v>0</v>
      </c>
      <c r="AJ1692" s="289">
        <v>6190</v>
      </c>
      <c r="AK1692" s="289">
        <f t="shared" si="232"/>
        <v>0</v>
      </c>
      <c r="AL1692" s="289">
        <v>6340</v>
      </c>
      <c r="AM1692" s="289">
        <f t="shared" si="233"/>
        <v>0</v>
      </c>
      <c r="AN1692" s="289">
        <v>6890</v>
      </c>
      <c r="AO1692" s="289">
        <f t="shared" si="234"/>
        <v>0</v>
      </c>
      <c r="AP1692" s="289">
        <v>7230</v>
      </c>
      <c r="AQ1692" s="289">
        <f t="shared" si="235"/>
        <v>0</v>
      </c>
    </row>
    <row r="1693" spans="1:46" ht="35.1" customHeight="1">
      <c r="A1693" s="8"/>
      <c r="B1693" s="23" t="s">
        <v>14</v>
      </c>
      <c r="C1693" s="24"/>
      <c r="D1693" s="25">
        <f>IF(AC1693="","",(1-$W$2)*(AC1693/1.2))</f>
        <v>4983.3333333333339</v>
      </c>
      <c r="E1693" s="69">
        <f>IF($W$5=0.2,D1693*1.2,D1693)/$W$4</f>
        <v>5980.0000000000009</v>
      </c>
      <c r="F1693" s="25">
        <f>IF(AD1693="","",(1-$W$2)*(AD1693/1.2))</f>
        <v>5533.3333333333339</v>
      </c>
      <c r="G1693" s="69">
        <f>IF($W$5=0.2,F1693*1.2,F1693)/$W$4</f>
        <v>6640.0000000000009</v>
      </c>
      <c r="H1693" s="25">
        <f>IF(AE1693="","",(1-$W$2)*(AE1693/1.2))</f>
        <v>5750</v>
      </c>
      <c r="I1693" s="69">
        <f>IF($W$5=0.2,H1693*1.2,H1693)/$W$4</f>
        <v>6900</v>
      </c>
      <c r="J1693" s="25">
        <f>IF(AF1693="","",(1-$W$2)*(AF1693/1.2))</f>
        <v>6225</v>
      </c>
      <c r="K1693" s="69">
        <f>IF($W$5=0.2,J1693*1.2,J1693)/$W$4</f>
        <v>7470</v>
      </c>
      <c r="L1693" s="25">
        <f>IF(AG1693="","",(1-$W$2)*(AG1693/1.2))</f>
        <v>6525</v>
      </c>
      <c r="M1693" s="69">
        <f>IF($W$5=0.2,L1693*1.2,L1693)/$W$4</f>
        <v>7830</v>
      </c>
      <c r="N1693" s="104"/>
      <c r="O1693" s="20"/>
      <c r="P1693" s="20"/>
      <c r="Q1693" s="20"/>
      <c r="R1693" s="104"/>
      <c r="S1693" s="20"/>
      <c r="T1693" s="104"/>
      <c r="U1693" s="20"/>
      <c r="V1693" s="104"/>
      <c r="W1693" s="20"/>
      <c r="X1693" s="22"/>
      <c r="Y1693" s="22"/>
      <c r="Z1693" s="22"/>
      <c r="AA1693" s="22"/>
      <c r="AB1693" s="22"/>
      <c r="AC1693" s="332">
        <v>5980</v>
      </c>
      <c r="AD1693" s="390">
        <v>6640</v>
      </c>
      <c r="AE1693" s="332">
        <v>6900</v>
      </c>
      <c r="AF1693" s="332">
        <v>7470</v>
      </c>
      <c r="AG1693" s="332">
        <v>7830</v>
      </c>
      <c r="AH1693" s="289">
        <v>5980</v>
      </c>
      <c r="AI1693" s="289">
        <f t="shared" si="231"/>
        <v>0</v>
      </c>
      <c r="AJ1693" s="289">
        <v>6640</v>
      </c>
      <c r="AK1693" s="289">
        <f t="shared" si="232"/>
        <v>0</v>
      </c>
      <c r="AL1693" s="289">
        <v>6900</v>
      </c>
      <c r="AM1693" s="289">
        <f t="shared" si="233"/>
        <v>0</v>
      </c>
      <c r="AN1693" s="289">
        <v>7470</v>
      </c>
      <c r="AO1693" s="289">
        <f t="shared" si="234"/>
        <v>0</v>
      </c>
      <c r="AP1693" s="289">
        <v>7830</v>
      </c>
      <c r="AQ1693" s="289">
        <f t="shared" si="235"/>
        <v>0</v>
      </c>
    </row>
    <row r="1694" spans="1:46">
      <c r="C1694" s="245"/>
      <c r="D1694" s="26"/>
      <c r="E1694" s="57"/>
      <c r="F1694" s="26"/>
      <c r="G1694" s="57"/>
      <c r="H1694" s="5"/>
      <c r="P1694" s="20"/>
      <c r="Q1694" s="20"/>
    </row>
    <row r="1695" spans="1:46">
      <c r="B1695" s="212" t="str">
        <f>IF($C$1="ENG","For additonal charge:","Послуги за додаткову плату:")</f>
        <v>Послуги за додаткову плату:</v>
      </c>
      <c r="C1695" s="420"/>
      <c r="D1695" s="213"/>
      <c r="E1695" s="214"/>
      <c r="F1695" s="26"/>
      <c r="G1695" s="57"/>
      <c r="H1695" s="10"/>
      <c r="I1695" s="8"/>
      <c r="J1695" s="8"/>
      <c r="K1695" s="8"/>
    </row>
    <row r="1696" spans="1:46" ht="5.0999999999999996" customHeight="1">
      <c r="B1696" s="27"/>
      <c r="C1696" s="245"/>
      <c r="D1696" s="26"/>
      <c r="E1696" s="57"/>
      <c r="F1696" s="26"/>
      <c r="G1696" s="26"/>
      <c r="H1696" s="10"/>
      <c r="I1696" s="8"/>
      <c r="J1696" s="8"/>
      <c r="K1696" s="8"/>
    </row>
    <row r="1697" spans="2:38">
      <c r="B1697" s="539" t="str">
        <f>IF($C$1="ENG","door leaf with width 100","полотно розміром 100")</f>
        <v>полотно розміром 100</v>
      </c>
      <c r="C1697" s="540"/>
      <c r="D1697" s="132">
        <f t="shared" ref="D1697:D1709" si="236">IF(AC1697="","",(1-$W$2)*(AC1697/1.2))</f>
        <v>600</v>
      </c>
      <c r="E1697" s="92">
        <f t="shared" ref="E1697:E1708" si="237">IF($W$5=0.2,D1697*1.2,D1697)/$W$4</f>
        <v>720</v>
      </c>
      <c r="F1697" s="26"/>
      <c r="G1697" s="26"/>
      <c r="H1697" s="10"/>
      <c r="I1697" s="8"/>
      <c r="J1697" s="8"/>
      <c r="K1697" s="8"/>
      <c r="AC1697" s="289">
        <v>720</v>
      </c>
      <c r="AD1697" s="289">
        <v>720</v>
      </c>
      <c r="AE1697" s="289"/>
      <c r="AF1697" s="289"/>
      <c r="AG1697" s="289"/>
      <c r="AH1697" s="289"/>
      <c r="AI1697" s="289"/>
      <c r="AJ1697" s="289"/>
      <c r="AK1697" s="289"/>
      <c r="AL1697" s="289"/>
    </row>
    <row r="1698" spans="2:38">
      <c r="B1698" s="532" t="str">
        <f>IF($C$1="ENG","Ventilation sleeves (1 row)","вентиляційні віддушини (1ряд)")</f>
        <v>вентиляційні віддушини (1ряд)</v>
      </c>
      <c r="C1698" s="533"/>
      <c r="D1698" s="133">
        <f t="shared" si="236"/>
        <v>208.33333333333334</v>
      </c>
      <c r="E1698" s="93">
        <f t="shared" si="237"/>
        <v>250</v>
      </c>
      <c r="F1698" s="26"/>
      <c r="G1698" s="26"/>
      <c r="I1698" s="11"/>
      <c r="J1698" s="11"/>
      <c r="K1698" s="11"/>
      <c r="AC1698" s="289">
        <v>250</v>
      </c>
      <c r="AD1698" s="289">
        <v>250</v>
      </c>
      <c r="AE1698" s="289"/>
      <c r="AF1698" s="289"/>
      <c r="AG1698" s="289"/>
      <c r="AH1698" s="289"/>
      <c r="AI1698" s="289"/>
      <c r="AJ1698" s="289"/>
      <c r="AK1698" s="289"/>
      <c r="AL1698" s="289"/>
    </row>
    <row r="1699" spans="2:38">
      <c r="B1699" s="539" t="str">
        <f>IF($C$1="ENG","Ventilation cut","вентиляційний підріз")</f>
        <v>вентиляційний підріз</v>
      </c>
      <c r="C1699" s="540"/>
      <c r="D1699" s="133">
        <f t="shared" si="236"/>
        <v>141.66666666666669</v>
      </c>
      <c r="E1699" s="66">
        <f t="shared" si="237"/>
        <v>170.00000000000003</v>
      </c>
      <c r="F1699" s="26"/>
      <c r="G1699" s="26"/>
      <c r="I1699" s="59"/>
      <c r="J1699" s="28"/>
      <c r="AC1699" s="289">
        <v>170</v>
      </c>
      <c r="AD1699" s="289">
        <v>170</v>
      </c>
      <c r="AE1699" s="289"/>
      <c r="AF1699" s="289"/>
      <c r="AG1699" s="289"/>
      <c r="AH1699" s="289"/>
      <c r="AI1699" s="289"/>
      <c r="AJ1699" s="289"/>
      <c r="AK1699" s="289"/>
      <c r="AL1699" s="289"/>
    </row>
    <row r="1700" spans="2:38">
      <c r="B1700" s="532" t="str">
        <f>IF($C$1="ENG","glazing Graphite / Bronze","скло Графіт / Бронза")</f>
        <v>скло Графіт / Бронза</v>
      </c>
      <c r="C1700" s="533"/>
      <c r="D1700" s="102">
        <f t="shared" si="236"/>
        <v>458.33333333333337</v>
      </c>
      <c r="E1700" s="93">
        <f t="shared" si="237"/>
        <v>550</v>
      </c>
      <c r="F1700" s="26"/>
      <c r="G1700" s="26"/>
      <c r="H1700" s="5"/>
      <c r="AC1700" s="289">
        <v>550</v>
      </c>
      <c r="AD1700" s="289">
        <v>550</v>
      </c>
      <c r="AE1700" s="289"/>
      <c r="AF1700" s="289"/>
      <c r="AG1700" s="289"/>
      <c r="AH1700" s="289"/>
      <c r="AI1700" s="289"/>
      <c r="AJ1700" s="289"/>
      <c r="AK1700" s="289"/>
      <c r="AL1700" s="289"/>
    </row>
    <row r="1701" spans="2:38">
      <c r="B1701" s="532" t="str">
        <f>IF($C$1="ENG","door lock Soft","замок Soft")</f>
        <v>замок Soft</v>
      </c>
      <c r="C1701" s="533"/>
      <c r="D1701" s="102">
        <f t="shared" si="236"/>
        <v>458.33333333333337</v>
      </c>
      <c r="E1701" s="93">
        <f t="shared" si="237"/>
        <v>550</v>
      </c>
      <c r="F1701" s="26"/>
      <c r="G1701" s="26"/>
      <c r="H1701" s="5"/>
      <c r="AC1701" s="289">
        <v>550</v>
      </c>
      <c r="AD1701" s="289">
        <v>550</v>
      </c>
      <c r="AE1701" s="289"/>
      <c r="AF1701" s="289"/>
      <c r="AG1701" s="289"/>
      <c r="AH1701" s="289"/>
      <c r="AI1701" s="289"/>
      <c r="AJ1701" s="289"/>
      <c r="AK1701" s="289"/>
      <c r="AL1701" s="289"/>
    </row>
    <row r="1702" spans="2:38">
      <c r="B1702" s="532" t="str">
        <f>IF($C$1="ENG","door lock Soft black","замок Soft чорн.")</f>
        <v>замок Soft чорн.</v>
      </c>
      <c r="C1702" s="533"/>
      <c r="D1702" s="102">
        <f t="shared" ref="D1702" si="238">IF(AC1702="","",(1-$W$2)*(AC1702/1.2))</f>
        <v>566.66666666666674</v>
      </c>
      <c r="E1702" s="93">
        <f t="shared" ref="E1702" si="239">IF($W$5=0.2,D1702*1.2,D1702)/$W$4</f>
        <v>680.00000000000011</v>
      </c>
      <c r="F1702" s="26"/>
      <c r="G1702" s="26"/>
      <c r="H1702" s="5"/>
      <c r="AC1702" s="289">
        <v>680</v>
      </c>
      <c r="AD1702" s="289"/>
      <c r="AE1702" s="289"/>
      <c r="AF1702" s="289"/>
      <c r="AG1702" s="289"/>
      <c r="AH1702" s="289"/>
      <c r="AI1702" s="289"/>
      <c r="AJ1702" s="289"/>
      <c r="AK1702" s="289"/>
      <c r="AL1702" s="289"/>
    </row>
    <row r="1703" spans="2:38">
      <c r="B1703" s="532" t="str">
        <f>IF($C$1="ENG","door lock Magnet","замок Magnet")</f>
        <v>замок Magnet</v>
      </c>
      <c r="C1703" s="533"/>
      <c r="D1703" s="102">
        <f t="shared" si="236"/>
        <v>666.66666666666674</v>
      </c>
      <c r="E1703" s="93">
        <f t="shared" si="237"/>
        <v>800.00000000000011</v>
      </c>
      <c r="F1703" s="26"/>
      <c r="G1703" s="26"/>
      <c r="H1703" s="5"/>
      <c r="AC1703" s="289">
        <v>800</v>
      </c>
      <c r="AD1703" s="289">
        <v>800</v>
      </c>
      <c r="AE1703" s="289"/>
      <c r="AF1703" s="289"/>
      <c r="AG1703" s="289"/>
      <c r="AH1703" s="289"/>
      <c r="AI1703" s="289"/>
      <c r="AJ1703" s="289"/>
      <c r="AK1703" s="289"/>
      <c r="AL1703" s="289"/>
    </row>
    <row r="1704" spans="2:38">
      <c r="B1704" s="532" t="s">
        <v>75</v>
      </c>
      <c r="C1704" s="533"/>
      <c r="D1704" s="102">
        <f t="shared" ref="D1704" si="240">IF(AC1704="","",(1-$W$2)*(AC1704/1.2))</f>
        <v>833.33333333333337</v>
      </c>
      <c r="E1704" s="93">
        <f t="shared" ref="E1704" si="241">IF($W$5=0.2,D1704*1.2,D1704)/$W$4</f>
        <v>1000</v>
      </c>
      <c r="F1704" s="26"/>
      <c r="G1704" s="26"/>
      <c r="H1704" s="5"/>
      <c r="AC1704" s="289">
        <v>1000</v>
      </c>
      <c r="AD1704" s="289"/>
      <c r="AE1704" s="289"/>
      <c r="AF1704" s="289"/>
      <c r="AG1704" s="289"/>
      <c r="AH1704" s="289"/>
      <c r="AI1704" s="289"/>
      <c r="AJ1704" s="289"/>
      <c r="AK1704" s="289"/>
      <c r="AL1704" s="289"/>
    </row>
    <row r="1705" spans="2:38">
      <c r="B1705" s="532" t="str">
        <f>IF($C$1="ENG","door handle-lock (for sliding doors)","ручка-замок (для дверей купе)")</f>
        <v>ручка-замок (для дверей купе)</v>
      </c>
      <c r="C1705" s="533"/>
      <c r="D1705" s="133">
        <f t="shared" si="236"/>
        <v>466.66666666666669</v>
      </c>
      <c r="E1705" s="93">
        <f t="shared" si="237"/>
        <v>560</v>
      </c>
      <c r="F1705" s="26"/>
      <c r="G1705" s="26"/>
      <c r="I1705" s="11"/>
      <c r="J1705" s="11"/>
      <c r="K1705" s="19"/>
      <c r="AC1705" s="289">
        <v>560</v>
      </c>
      <c r="AD1705" s="289">
        <v>560</v>
      </c>
      <c r="AE1705" s="289"/>
      <c r="AF1705" s="289"/>
      <c r="AG1705" s="289"/>
      <c r="AH1705" s="289"/>
      <c r="AI1705" s="289"/>
      <c r="AJ1705" s="289"/>
      <c r="AK1705" s="289"/>
      <c r="AL1705" s="289"/>
    </row>
    <row r="1706" spans="2:38">
      <c r="B1706" s="532" t="str">
        <f>IF($C$1="ENG","cylinder incert","циліндр несиметричний")</f>
        <v>циліндр несиметричний</v>
      </c>
      <c r="C1706" s="533"/>
      <c r="D1706" s="133">
        <f t="shared" si="236"/>
        <v>316.66666666666669</v>
      </c>
      <c r="E1706" s="93">
        <f t="shared" si="237"/>
        <v>380</v>
      </c>
      <c r="F1706" s="26"/>
      <c r="G1706" s="26"/>
      <c r="I1706" s="20"/>
      <c r="AC1706" s="289">
        <v>380</v>
      </c>
      <c r="AD1706" s="289">
        <v>380</v>
      </c>
      <c r="AE1706" s="289"/>
      <c r="AF1706" s="289"/>
      <c r="AG1706" s="289"/>
      <c r="AH1706" s="289"/>
      <c r="AI1706" s="289"/>
      <c r="AJ1706" s="289"/>
      <c r="AK1706" s="289"/>
      <c r="AL1706" s="289"/>
    </row>
    <row r="1707" spans="2:38">
      <c r="B1707" s="532" t="str">
        <f>IF($C$1="ENG","door hindge Prestige (1 unit)","завіса Prestige (1 шт)")</f>
        <v>завіса Prestige (1 шт)</v>
      </c>
      <c r="C1707" s="533"/>
      <c r="D1707" s="135">
        <f t="shared" si="236"/>
        <v>216.66666666666669</v>
      </c>
      <c r="E1707" s="93">
        <f t="shared" si="237"/>
        <v>260</v>
      </c>
      <c r="F1707" s="26"/>
      <c r="G1707" s="26"/>
      <c r="AC1707" s="289">
        <v>260</v>
      </c>
      <c r="AD1707" s="289">
        <v>260</v>
      </c>
      <c r="AE1707" s="289"/>
      <c r="AF1707" s="289"/>
      <c r="AG1707" s="289"/>
      <c r="AH1707" s="289"/>
      <c r="AI1707" s="289"/>
      <c r="AJ1707" s="289"/>
      <c r="AK1707" s="289"/>
      <c r="AL1707" s="289"/>
    </row>
    <row r="1708" spans="2:38">
      <c r="B1708" s="532" t="str">
        <f>IF($C$1="ENG","door hinge caps (1 set)","накладка на завіси (1 к-т)")</f>
        <v>накладка на завіси (1 к-т)</v>
      </c>
      <c r="C1708" s="533"/>
      <c r="D1708" s="135">
        <f t="shared" si="236"/>
        <v>66.666666666666671</v>
      </c>
      <c r="E1708" s="93">
        <f t="shared" si="237"/>
        <v>80</v>
      </c>
      <c r="F1708" s="26"/>
      <c r="G1708" s="26"/>
      <c r="AC1708" s="289">
        <v>80</v>
      </c>
      <c r="AD1708" s="289">
        <v>80</v>
      </c>
      <c r="AE1708" s="289"/>
      <c r="AF1708" s="289"/>
      <c r="AG1708" s="289"/>
      <c r="AH1708" s="289"/>
      <c r="AI1708" s="289"/>
      <c r="AJ1708" s="289"/>
      <c r="AK1708" s="289"/>
      <c r="AL1708" s="289"/>
    </row>
    <row r="1709" spans="2:38">
      <c r="B1709" s="532" t="str">
        <f>IF($C$1="ENG","door handle","дверна ручка")</f>
        <v>дверна ручка</v>
      </c>
      <c r="C1709" s="533"/>
      <c r="D1709" s="134" t="str">
        <f t="shared" si="236"/>
        <v/>
      </c>
      <c r="E1709" s="247" t="str">
        <f>IF($C$1="ENG","see Handles Price","див. Таблицю Ручки")</f>
        <v>див. Таблицю Ручки</v>
      </c>
      <c r="F1709" s="26"/>
      <c r="G1709" s="26"/>
      <c r="AC1709" s="289"/>
      <c r="AD1709" s="289"/>
      <c r="AE1709" s="289"/>
      <c r="AF1709" s="289"/>
      <c r="AG1709" s="289"/>
      <c r="AH1709" s="289"/>
      <c r="AI1709" s="289"/>
      <c r="AJ1709" s="289"/>
      <c r="AK1709" s="289"/>
      <c r="AL1709" s="289"/>
    </row>
    <row r="1710" spans="2:38" ht="14.25" customHeight="1">
      <c r="C1710" s="245"/>
      <c r="D1710" s="26"/>
      <c r="E1710" s="26"/>
      <c r="F1710" s="26"/>
      <c r="G1710" s="26"/>
      <c r="H1710" s="5"/>
      <c r="T1710" s="525" t="str">
        <f>IF($C$1="ENG",CONCATENATE("down to: ",B1760),CONCATENATE("вниз до: ",B1760))</f>
        <v>вниз до: Полотна скляні: ЛІНЕЯ</v>
      </c>
      <c r="U1710" s="525"/>
      <c r="V1710" s="525"/>
      <c r="W1710" s="525"/>
    </row>
    <row r="1711" spans="2:38" ht="14.25" customHeight="1">
      <c r="C1711" s="245"/>
      <c r="D1711" s="26"/>
      <c r="E1711" s="26"/>
      <c r="F1711" s="26"/>
      <c r="G1711" s="26"/>
      <c r="H1711" s="5"/>
      <c r="T1711" s="115"/>
      <c r="U1711" s="115"/>
      <c r="V1711" s="115"/>
      <c r="W1711" s="115"/>
    </row>
    <row r="1712" spans="2:38" ht="14.25" customHeight="1">
      <c r="C1712" s="245"/>
      <c r="D1712" s="26"/>
      <c r="E1712" s="26"/>
      <c r="F1712" s="26"/>
      <c r="G1712" s="26"/>
      <c r="H1712" s="5"/>
      <c r="T1712" s="115"/>
      <c r="U1712" s="115"/>
      <c r="V1712" s="115"/>
      <c r="W1712" s="115"/>
    </row>
    <row r="1713" spans="3:23" ht="14.25" customHeight="1">
      <c r="C1713" s="245"/>
      <c r="D1713" s="26"/>
      <c r="E1713" s="26"/>
      <c r="F1713" s="26"/>
      <c r="G1713" s="26"/>
      <c r="H1713" s="5"/>
      <c r="T1713" s="115"/>
      <c r="U1713" s="115"/>
      <c r="V1713" s="115"/>
      <c r="W1713" s="115"/>
    </row>
    <row r="1714" spans="3:23" ht="14.25" customHeight="1">
      <c r="C1714" s="245"/>
      <c r="D1714" s="26"/>
      <c r="E1714" s="26"/>
      <c r="F1714" s="26"/>
      <c r="G1714" s="26"/>
      <c r="H1714" s="5"/>
      <c r="T1714" s="115"/>
      <c r="U1714" s="115"/>
      <c r="V1714" s="115"/>
      <c r="W1714" s="115"/>
    </row>
    <row r="1715" spans="3:23" ht="14.25" customHeight="1">
      <c r="C1715" s="245"/>
      <c r="D1715" s="26"/>
      <c r="E1715" s="26"/>
      <c r="F1715" s="26"/>
      <c r="G1715" s="26"/>
      <c r="H1715" s="5"/>
      <c r="T1715" s="115"/>
      <c r="U1715" s="115"/>
      <c r="V1715" s="115"/>
      <c r="W1715" s="115"/>
    </row>
    <row r="1716" spans="3:23" ht="14.25" customHeight="1">
      <c r="C1716" s="245"/>
      <c r="D1716" s="26"/>
      <c r="E1716" s="26"/>
      <c r="F1716" s="26"/>
      <c r="G1716" s="26"/>
      <c r="H1716" s="5"/>
      <c r="T1716" s="115"/>
      <c r="U1716" s="115"/>
      <c r="V1716" s="115"/>
      <c r="W1716" s="115"/>
    </row>
    <row r="1717" spans="3:23" ht="14.25" customHeight="1">
      <c r="C1717" s="245"/>
      <c r="D1717" s="26"/>
      <c r="E1717" s="26"/>
      <c r="F1717" s="26"/>
      <c r="G1717" s="26"/>
      <c r="H1717" s="5"/>
      <c r="T1717" s="115"/>
      <c r="U1717" s="115"/>
      <c r="V1717" s="115"/>
      <c r="W1717" s="115"/>
    </row>
    <row r="1718" spans="3:23" ht="14.25" customHeight="1">
      <c r="C1718" s="245"/>
      <c r="D1718" s="26"/>
      <c r="E1718" s="26"/>
      <c r="F1718" s="26"/>
      <c r="G1718" s="26"/>
      <c r="H1718" s="5"/>
      <c r="T1718" s="115"/>
      <c r="U1718" s="115"/>
      <c r="V1718" s="115"/>
      <c r="W1718" s="115"/>
    </row>
    <row r="1719" spans="3:23" ht="14.25" customHeight="1">
      <c r="C1719" s="245"/>
      <c r="D1719" s="26"/>
      <c r="E1719" s="26"/>
      <c r="F1719" s="26"/>
      <c r="G1719" s="26"/>
      <c r="H1719" s="5"/>
      <c r="T1719" s="115"/>
      <c r="U1719" s="115"/>
      <c r="V1719" s="115"/>
      <c r="W1719" s="115"/>
    </row>
    <row r="1720" spans="3:23" ht="14.25" customHeight="1">
      <c r="C1720" s="245"/>
      <c r="D1720" s="26"/>
      <c r="E1720" s="26"/>
      <c r="F1720" s="26"/>
      <c r="G1720" s="26"/>
      <c r="H1720" s="5"/>
      <c r="T1720" s="115"/>
      <c r="U1720" s="115"/>
      <c r="V1720" s="115"/>
      <c r="W1720" s="115"/>
    </row>
    <row r="1721" spans="3:23" ht="14.25" customHeight="1">
      <c r="C1721" s="245"/>
      <c r="D1721" s="26"/>
      <c r="E1721" s="26"/>
      <c r="F1721" s="26"/>
      <c r="G1721" s="26"/>
      <c r="H1721" s="5"/>
      <c r="T1721" s="115"/>
      <c r="U1721" s="115"/>
      <c r="V1721" s="115"/>
      <c r="W1721" s="115"/>
    </row>
    <row r="1722" spans="3:23" ht="14.25" customHeight="1">
      <c r="C1722" s="245"/>
      <c r="D1722" s="26"/>
      <c r="E1722" s="26"/>
      <c r="F1722" s="26"/>
      <c r="G1722" s="26"/>
      <c r="H1722" s="5"/>
      <c r="T1722" s="115"/>
      <c r="U1722" s="115"/>
      <c r="V1722" s="115"/>
      <c r="W1722" s="115"/>
    </row>
    <row r="1723" spans="3:23" ht="14.25" customHeight="1">
      <c r="C1723" s="245"/>
      <c r="D1723" s="26"/>
      <c r="E1723" s="26"/>
      <c r="F1723" s="26"/>
      <c r="G1723" s="26"/>
      <c r="H1723" s="5"/>
      <c r="T1723" s="115"/>
      <c r="U1723" s="115"/>
      <c r="V1723" s="115"/>
      <c r="W1723" s="115"/>
    </row>
    <row r="1724" spans="3:23" ht="14.25" customHeight="1">
      <c r="C1724" s="245"/>
      <c r="D1724" s="26"/>
      <c r="E1724" s="26"/>
      <c r="F1724" s="26"/>
      <c r="G1724" s="26"/>
      <c r="H1724" s="5"/>
      <c r="T1724" s="115"/>
      <c r="U1724" s="115"/>
      <c r="V1724" s="115"/>
      <c r="W1724" s="115"/>
    </row>
    <row r="1725" spans="3:23" ht="14.25" customHeight="1">
      <c r="C1725" s="245"/>
      <c r="D1725" s="26"/>
      <c r="E1725" s="26"/>
      <c r="F1725" s="26"/>
      <c r="G1725" s="26"/>
      <c r="H1725" s="5"/>
      <c r="T1725" s="115"/>
      <c r="U1725" s="115"/>
      <c r="V1725" s="115"/>
      <c r="W1725" s="115"/>
    </row>
    <row r="1726" spans="3:23" ht="14.25" customHeight="1">
      <c r="C1726" s="245"/>
      <c r="D1726" s="26"/>
      <c r="E1726" s="26"/>
      <c r="F1726" s="26"/>
      <c r="G1726" s="26"/>
      <c r="H1726" s="5"/>
      <c r="T1726" s="115"/>
      <c r="U1726" s="115"/>
      <c r="V1726" s="115"/>
      <c r="W1726" s="115"/>
    </row>
    <row r="1727" spans="3:23" ht="14.25" customHeight="1">
      <c r="C1727" s="245"/>
      <c r="D1727" s="26"/>
      <c r="E1727" s="26"/>
      <c r="F1727" s="26"/>
      <c r="G1727" s="26"/>
      <c r="H1727" s="5"/>
      <c r="T1727" s="115"/>
      <c r="U1727" s="115"/>
      <c r="V1727" s="115"/>
      <c r="W1727" s="115"/>
    </row>
    <row r="1728" spans="3:23" ht="14.25" customHeight="1">
      <c r="C1728" s="245"/>
      <c r="D1728" s="26"/>
      <c r="E1728" s="26"/>
      <c r="F1728" s="26"/>
      <c r="G1728" s="26"/>
      <c r="H1728" s="5"/>
      <c r="T1728" s="115"/>
      <c r="U1728" s="115"/>
      <c r="V1728" s="115"/>
      <c r="W1728" s="115"/>
    </row>
    <row r="1729" spans="3:23" ht="14.25" customHeight="1">
      <c r="C1729" s="245"/>
      <c r="D1729" s="26"/>
      <c r="E1729" s="26"/>
      <c r="F1729" s="26"/>
      <c r="G1729" s="26"/>
      <c r="H1729" s="5"/>
      <c r="T1729" s="115"/>
      <c r="U1729" s="115"/>
      <c r="V1729" s="115"/>
      <c r="W1729" s="115"/>
    </row>
    <row r="1730" spans="3:23" ht="14.25" customHeight="1">
      <c r="C1730" s="245"/>
      <c r="D1730" s="26"/>
      <c r="E1730" s="26"/>
      <c r="F1730" s="26"/>
      <c r="G1730" s="26"/>
      <c r="H1730" s="5"/>
      <c r="T1730" s="115"/>
      <c r="U1730" s="115"/>
      <c r="V1730" s="115"/>
      <c r="W1730" s="115"/>
    </row>
    <row r="1731" spans="3:23" ht="14.25" customHeight="1">
      <c r="C1731" s="245"/>
      <c r="D1731" s="26"/>
      <c r="E1731" s="26"/>
      <c r="F1731" s="26"/>
      <c r="G1731" s="26"/>
      <c r="H1731" s="5"/>
      <c r="T1731" s="115"/>
      <c r="U1731" s="115"/>
      <c r="V1731" s="115"/>
      <c r="W1731" s="115"/>
    </row>
    <row r="1732" spans="3:23" ht="14.25" customHeight="1">
      <c r="C1732" s="245"/>
      <c r="D1732" s="26"/>
      <c r="E1732" s="26"/>
      <c r="F1732" s="26"/>
      <c r="G1732" s="26"/>
      <c r="H1732" s="5"/>
      <c r="T1732" s="115"/>
      <c r="U1732" s="115"/>
      <c r="V1732" s="115"/>
      <c r="W1732" s="115"/>
    </row>
    <row r="1733" spans="3:23" ht="14.25" customHeight="1">
      <c r="C1733" s="245"/>
      <c r="D1733" s="26"/>
      <c r="E1733" s="26"/>
      <c r="F1733" s="26"/>
      <c r="G1733" s="26"/>
      <c r="H1733" s="5"/>
      <c r="T1733" s="115"/>
      <c r="U1733" s="115"/>
      <c r="V1733" s="115"/>
      <c r="W1733" s="115"/>
    </row>
    <row r="1734" spans="3:23" ht="14.25" customHeight="1">
      <c r="C1734" s="245"/>
      <c r="D1734" s="26"/>
      <c r="E1734" s="26"/>
      <c r="F1734" s="26"/>
      <c r="G1734" s="26"/>
      <c r="H1734" s="5"/>
      <c r="T1734" s="115"/>
      <c r="U1734" s="115"/>
      <c r="V1734" s="115"/>
      <c r="W1734" s="115"/>
    </row>
    <row r="1735" spans="3:23" ht="14.25" customHeight="1">
      <c r="C1735" s="245"/>
      <c r="D1735" s="26"/>
      <c r="E1735" s="26"/>
      <c r="F1735" s="26"/>
      <c r="G1735" s="26"/>
      <c r="H1735" s="5"/>
      <c r="T1735" s="115"/>
      <c r="U1735" s="115"/>
      <c r="V1735" s="115"/>
      <c r="W1735" s="115"/>
    </row>
    <row r="1736" spans="3:23" ht="14.25" customHeight="1">
      <c r="C1736" s="245"/>
      <c r="D1736" s="26"/>
      <c r="E1736" s="26"/>
      <c r="F1736" s="26"/>
      <c r="G1736" s="26"/>
      <c r="H1736" s="5"/>
      <c r="T1736" s="115"/>
      <c r="U1736" s="115"/>
      <c r="V1736" s="115"/>
      <c r="W1736" s="115"/>
    </row>
    <row r="1737" spans="3:23" ht="14.25" customHeight="1">
      <c r="C1737" s="245"/>
      <c r="D1737" s="26"/>
      <c r="E1737" s="26"/>
      <c r="F1737" s="26"/>
      <c r="G1737" s="26"/>
      <c r="H1737" s="5"/>
      <c r="T1737" s="115"/>
      <c r="U1737" s="115"/>
      <c r="V1737" s="115"/>
      <c r="W1737" s="115"/>
    </row>
    <row r="1738" spans="3:23" ht="14.25" customHeight="1">
      <c r="C1738" s="245"/>
      <c r="D1738" s="26"/>
      <c r="E1738" s="26"/>
      <c r="F1738" s="26"/>
      <c r="G1738" s="26"/>
      <c r="H1738" s="5"/>
    </row>
    <row r="1739" spans="3:23" ht="14.25" customHeight="1">
      <c r="C1739" s="245"/>
      <c r="D1739" s="26"/>
      <c r="E1739" s="26"/>
      <c r="F1739" s="26"/>
      <c r="G1739" s="26"/>
      <c r="H1739" s="5"/>
    </row>
    <row r="1740" spans="3:23" ht="14.25" customHeight="1">
      <c r="C1740" s="245"/>
      <c r="D1740" s="26"/>
      <c r="E1740" s="26"/>
      <c r="F1740" s="26"/>
      <c r="G1740" s="26"/>
      <c r="H1740" s="5"/>
    </row>
    <row r="1741" spans="3:23" ht="14.25" customHeight="1">
      <c r="C1741" s="245"/>
      <c r="D1741" s="26"/>
      <c r="E1741" s="26"/>
      <c r="F1741" s="26"/>
      <c r="G1741" s="26"/>
      <c r="H1741" s="5"/>
    </row>
    <row r="1742" spans="3:23" ht="14.25" customHeight="1">
      <c r="C1742" s="245"/>
      <c r="D1742" s="26"/>
      <c r="E1742" s="26"/>
      <c r="F1742" s="26"/>
      <c r="G1742" s="26"/>
      <c r="H1742" s="5"/>
    </row>
    <row r="1743" spans="3:23" ht="14.25" customHeight="1">
      <c r="C1743" s="245"/>
      <c r="D1743" s="26"/>
      <c r="E1743" s="26"/>
      <c r="F1743" s="26"/>
      <c r="G1743" s="26"/>
      <c r="H1743" s="5"/>
    </row>
    <row r="1744" spans="3:23" ht="14.25" customHeight="1">
      <c r="C1744" s="245"/>
      <c r="D1744" s="26"/>
      <c r="E1744" s="26"/>
      <c r="F1744" s="26"/>
      <c r="G1744" s="26"/>
      <c r="H1744" s="5"/>
    </row>
    <row r="1745" spans="2:46" ht="14.25" customHeight="1">
      <c r="C1745" s="245"/>
      <c r="D1745" s="26"/>
      <c r="E1745" s="26"/>
      <c r="F1745" s="26"/>
      <c r="G1745" s="26"/>
      <c r="H1745" s="5"/>
    </row>
    <row r="1746" spans="2:46" ht="14.25" customHeight="1">
      <c r="C1746" s="245"/>
      <c r="D1746" s="26"/>
      <c r="E1746" s="26"/>
      <c r="F1746" s="26"/>
      <c r="G1746" s="26"/>
      <c r="H1746" s="5"/>
    </row>
    <row r="1747" spans="2:46" ht="14.25" customHeight="1">
      <c r="C1747" s="245"/>
      <c r="D1747" s="26"/>
      <c r="E1747" s="26"/>
      <c r="F1747" s="26"/>
      <c r="G1747" s="26"/>
      <c r="H1747" s="5"/>
    </row>
    <row r="1748" spans="2:46" ht="14.25" customHeight="1">
      <c r="C1748" s="245"/>
      <c r="D1748" s="26"/>
      <c r="E1748" s="26"/>
      <c r="F1748" s="26"/>
      <c r="G1748" s="26"/>
      <c r="H1748" s="5"/>
    </row>
    <row r="1749" spans="2:46" ht="14.25" customHeight="1">
      <c r="C1749" s="245"/>
      <c r="D1749" s="26"/>
      <c r="E1749" s="26"/>
      <c r="F1749" s="26"/>
      <c r="G1749" s="26"/>
      <c r="H1749" s="5"/>
    </row>
    <row r="1750" spans="2:46" ht="14.25" customHeight="1">
      <c r="C1750" s="245"/>
      <c r="D1750" s="26"/>
      <c r="E1750" s="26"/>
      <c r="F1750" s="26"/>
      <c r="G1750" s="26"/>
      <c r="H1750" s="5"/>
    </row>
    <row r="1751" spans="2:46" ht="14.25" customHeight="1">
      <c r="C1751" s="245"/>
      <c r="D1751" s="26"/>
      <c r="E1751" s="26"/>
      <c r="F1751" s="26"/>
      <c r="G1751" s="26"/>
      <c r="H1751" s="5"/>
    </row>
    <row r="1752" spans="2:46" ht="14.25" customHeight="1">
      <c r="C1752" s="245"/>
      <c r="D1752" s="26"/>
      <c r="E1752" s="26"/>
      <c r="F1752" s="26"/>
      <c r="G1752" s="26"/>
      <c r="H1752" s="5"/>
    </row>
    <row r="1753" spans="2:46" ht="14.25" customHeight="1">
      <c r="C1753" s="245"/>
      <c r="D1753" s="26"/>
      <c r="E1753" s="26"/>
      <c r="F1753" s="26"/>
      <c r="G1753" s="26"/>
      <c r="H1753" s="5"/>
    </row>
    <row r="1754" spans="2:46" ht="14.25" customHeight="1">
      <c r="C1754" s="245"/>
      <c r="D1754" s="26"/>
      <c r="E1754" s="26"/>
      <c r="F1754" s="26"/>
      <c r="G1754" s="26"/>
      <c r="H1754" s="5"/>
    </row>
    <row r="1755" spans="2:46" ht="14.25" customHeight="1">
      <c r="C1755" s="245"/>
      <c r="D1755" s="26"/>
      <c r="E1755" s="26"/>
      <c r="F1755" s="26"/>
      <c r="G1755" s="26"/>
      <c r="H1755" s="5"/>
    </row>
    <row r="1756" spans="2:46" ht="14.25" customHeight="1">
      <c r="C1756" s="245"/>
      <c r="D1756" s="26"/>
      <c r="E1756" s="26"/>
      <c r="F1756" s="26"/>
      <c r="G1756" s="26"/>
      <c r="H1756" s="5"/>
    </row>
    <row r="1757" spans="2:46" ht="14.25" customHeight="1">
      <c r="C1757" s="245"/>
      <c r="D1757" s="26"/>
      <c r="E1757" s="26"/>
      <c r="F1757" s="26"/>
      <c r="G1757" s="26"/>
      <c r="H1757" s="5"/>
    </row>
    <row r="1758" spans="2:46" ht="14.25" customHeight="1">
      <c r="C1758" s="245"/>
      <c r="D1758" s="26"/>
      <c r="E1758" s="26"/>
      <c r="F1758" s="26"/>
      <c r="G1758" s="26"/>
      <c r="H1758" s="5"/>
    </row>
    <row r="1759" spans="2:46" s="8" customFormat="1">
      <c r="B1759" s="1"/>
      <c r="C1759" s="245"/>
      <c r="D1759" s="26"/>
      <c r="E1759" s="26"/>
      <c r="F1759" s="26"/>
      <c r="G1759" s="26"/>
      <c r="H1759" s="5"/>
      <c r="I1759" s="1"/>
      <c r="J1759" s="1"/>
      <c r="K1759" s="1"/>
      <c r="AN1759" s="280"/>
      <c r="AO1759" s="280"/>
      <c r="AP1759" s="280"/>
      <c r="AQ1759" s="280"/>
      <c r="AR1759" s="280"/>
      <c r="AS1759" s="280"/>
      <c r="AT1759" s="280"/>
    </row>
    <row r="1760" spans="2:46" s="8" customFormat="1" ht="12.75" customHeight="1">
      <c r="B1760" s="518" t="str">
        <f>TITLE!$C$32</f>
        <v>Полотна скляні: ЛІНЕЯ</v>
      </c>
      <c r="C1760" s="518"/>
      <c r="D1760" s="118"/>
      <c r="E1760" s="118"/>
      <c r="F1760" s="118"/>
      <c r="G1760" s="118"/>
      <c r="H1760" s="118"/>
      <c r="I1760" s="121"/>
      <c r="J1760" s="121"/>
      <c r="K1760" s="121"/>
      <c r="L1760" s="121"/>
      <c r="M1760" s="121"/>
      <c r="N1760" s="121"/>
      <c r="O1760" s="121"/>
      <c r="P1760" s="121"/>
      <c r="Q1760" s="121"/>
      <c r="R1760" s="121"/>
      <c r="S1760" s="121"/>
      <c r="T1760" s="529" t="str">
        <f>IF($C$1="ENG",CONCATENATE("up to: ",B1685),CONCATENATE("вгору до: ",B1685))</f>
        <v>вгору до: Полотна збірні: ПОЛО</v>
      </c>
      <c r="U1760" s="529"/>
      <c r="V1760" s="529"/>
      <c r="W1760" s="529"/>
      <c r="AN1760" s="280"/>
      <c r="AO1760" s="280"/>
      <c r="AP1760" s="280"/>
      <c r="AQ1760" s="280"/>
      <c r="AR1760" s="280"/>
      <c r="AS1760" s="280"/>
      <c r="AT1760" s="280"/>
    </row>
    <row r="1761" spans="1:41" ht="4.5" customHeight="1">
      <c r="A1761" s="8"/>
      <c r="B1761" s="117"/>
      <c r="C1761" s="419"/>
      <c r="D1761" s="10"/>
      <c r="E1761" s="10"/>
      <c r="F1761" s="10"/>
      <c r="G1761" s="10"/>
      <c r="H1761" s="10"/>
      <c r="I1761" s="8"/>
      <c r="J1761" s="8"/>
      <c r="K1761" s="8"/>
      <c r="L1761" s="8"/>
      <c r="M1761" s="11"/>
      <c r="P1761" s="8"/>
      <c r="Q1761" s="11"/>
    </row>
    <row r="1762" spans="1:41" ht="12.75" customHeight="1">
      <c r="A1762" s="8"/>
      <c r="B1762" s="536" t="str">
        <f>IF($C$1="ENG","model","модель")</f>
        <v>модель</v>
      </c>
      <c r="C1762" s="122" t="str">
        <f>IF($C$1="ENG","cover:","покриття:")</f>
        <v>покриття:</v>
      </c>
      <c r="D1762" s="522" t="str">
        <f>IF($C$1="ENG"," VERTO-CELL","VERTO-CELL")</f>
        <v>VERTO-CELL</v>
      </c>
      <c r="E1762" s="523"/>
      <c r="F1762" s="523"/>
      <c r="G1762" s="523"/>
      <c r="H1762" s="523"/>
      <c r="I1762" s="524"/>
      <c r="J1762" s="311"/>
      <c r="K1762" s="311"/>
      <c r="L1762" s="8"/>
      <c r="M1762" s="11"/>
      <c r="P1762" s="8"/>
      <c r="Q1762" s="11"/>
      <c r="AH1762" s="1">
        <f>AF1765-AJ1765</f>
        <v>-1120</v>
      </c>
      <c r="AM1762" s="22">
        <f>AD1765-AC1765</f>
        <v>730</v>
      </c>
      <c r="AN1762" s="30">
        <f>AE1765-AC1765</f>
        <v>1120</v>
      </c>
    </row>
    <row r="1763" spans="1:41" ht="12.75" customHeight="1">
      <c r="A1763" s="8"/>
      <c r="B1763" s="537"/>
      <c r="C1763" s="123" t="str">
        <f>IF($C$1="ENG","filling:","заповнення:")</f>
        <v>заповнення:</v>
      </c>
      <c r="D1763" s="527" t="str">
        <f>IF($C$1="ENG","honeycomb core ","сотове заповнення")</f>
        <v>сотове заповнення</v>
      </c>
      <c r="E1763" s="544"/>
      <c r="F1763" s="544"/>
      <c r="G1763" s="544"/>
      <c r="H1763" s="544"/>
      <c r="I1763" s="528"/>
      <c r="J1763" s="311"/>
      <c r="K1763" s="311"/>
      <c r="L1763" s="8"/>
      <c r="M1763" s="11"/>
      <c r="P1763" s="8"/>
      <c r="Q1763" s="11"/>
      <c r="AD1763" s="22"/>
    </row>
    <row r="1764" spans="1:41">
      <c r="A1764" s="8"/>
      <c r="B1764" s="538"/>
      <c r="C1764" s="124" t="str">
        <f>IF($C$1="ENG","glazing:","скління:")</f>
        <v>скління:</v>
      </c>
      <c r="D1764" s="513" t="str">
        <f>IF($C$1="ENG","Satin","Сатин")</f>
        <v>Сатин</v>
      </c>
      <c r="E1764" s="516"/>
      <c r="F1764" s="513" t="str">
        <f>IF($C$1="ENG","Graphite / Bronze","Графіт / Бронза")</f>
        <v>Графіт / Бронза</v>
      </c>
      <c r="G1764" s="514"/>
      <c r="H1764" s="545" t="str">
        <f>IF($C$1="ENG","Triplex mat / black","Триплекс мат/чорн")</f>
        <v>Триплекс мат/чорн</v>
      </c>
      <c r="I1764" s="516"/>
      <c r="J1764" s="543"/>
      <c r="K1764" s="543"/>
      <c r="L1764" s="104"/>
      <c r="M1764" s="59"/>
      <c r="N1764" s="104"/>
      <c r="O1764" s="59"/>
      <c r="P1764" s="104"/>
      <c r="Q1764" s="59"/>
      <c r="R1764" s="104"/>
      <c r="S1764" s="59"/>
      <c r="T1764" s="104"/>
      <c r="U1764" s="20"/>
      <c r="V1764" s="104"/>
      <c r="W1764" s="20"/>
      <c r="X1764" s="22"/>
      <c r="Y1764" s="22"/>
      <c r="Z1764" s="22"/>
      <c r="AA1764" s="22"/>
      <c r="AB1764" s="22"/>
      <c r="AE1764" s="22"/>
    </row>
    <row r="1765" spans="1:41" ht="35.1" customHeight="1">
      <c r="A1765" s="8"/>
      <c r="B1765" s="13">
        <v>1</v>
      </c>
      <c r="C1765" s="14"/>
      <c r="D1765" s="15">
        <f>IF(AC1765="","",(1-$W$2)*(AC1765/1.2))</f>
        <v>4033.3333333333335</v>
      </c>
      <c r="E1765" s="267">
        <f>IF($W$5=0.2,D1765*1.2,D1765)/$W$4</f>
        <v>4840</v>
      </c>
      <c r="F1765" s="15">
        <f>IF(AD1765="","",(1-$W$2)*(AD1765/1.2))</f>
        <v>4641.666666666667</v>
      </c>
      <c r="G1765" s="267">
        <f>IF($W$5=0.2,F1765*1.2,F1765)/$W$4</f>
        <v>5570</v>
      </c>
      <c r="H1765" s="270">
        <f>IF(AE1765="","",(1-$W$2)*(AE1765/1.2))</f>
        <v>4966.666666666667</v>
      </c>
      <c r="I1765" s="64">
        <f>IF($W$5=0.2,H1765*1.2,H1765)/$W$4</f>
        <v>5960</v>
      </c>
      <c r="J1765" s="28"/>
      <c r="K1765" s="59"/>
      <c r="L1765" s="104"/>
      <c r="M1765" s="59"/>
      <c r="N1765" s="104"/>
      <c r="O1765" s="59"/>
      <c r="P1765" s="104"/>
      <c r="Q1765" s="59"/>
      <c r="R1765" s="104"/>
      <c r="S1765" s="59"/>
      <c r="T1765" s="104"/>
      <c r="U1765" s="20"/>
      <c r="V1765" s="104"/>
      <c r="W1765" s="20"/>
      <c r="AC1765" s="332">
        <v>4840</v>
      </c>
      <c r="AD1765" s="391">
        <v>5570</v>
      </c>
      <c r="AE1765" s="391">
        <v>5960</v>
      </c>
      <c r="AF1765" s="289">
        <v>4840</v>
      </c>
      <c r="AG1765" s="289">
        <f>AF1765/AC1765-1</f>
        <v>0</v>
      </c>
      <c r="AH1765" s="289">
        <v>5570</v>
      </c>
      <c r="AI1765" s="289">
        <f>AH1765/AD1765-1</f>
        <v>0</v>
      </c>
      <c r="AJ1765" s="289">
        <v>5960</v>
      </c>
      <c r="AK1765" s="289">
        <f>AJ1765/AE1765-1</f>
        <v>0</v>
      </c>
      <c r="AL1765" s="289"/>
      <c r="AO1765" s="22"/>
    </row>
    <row r="1766" spans="1:41" ht="35.1" customHeight="1">
      <c r="A1766" s="8"/>
      <c r="B1766" s="16">
        <v>3</v>
      </c>
      <c r="C1766" s="17"/>
      <c r="D1766" s="18">
        <f>IF(AC1766="","",(1-$W$2)*(AC1766/1.2))</f>
        <v>5700</v>
      </c>
      <c r="E1766" s="268">
        <f>IF($W$5=0.2,D1766*1.2,D1766)/$W$4</f>
        <v>6840</v>
      </c>
      <c r="F1766" s="18">
        <f>IF(AD1766="","",(1-$W$2)*(AD1766/1.2))</f>
        <v>6500</v>
      </c>
      <c r="G1766" s="268">
        <f>IF($W$5=0.2,F1766*1.2,F1766)/$W$4</f>
        <v>7800</v>
      </c>
      <c r="H1766" s="271">
        <f>IF(AE1766="","",(1-$W$2)*(AE1766/1.2))</f>
        <v>6825</v>
      </c>
      <c r="I1766" s="66">
        <f>IF($W$5=0.2,H1766*1.2,H1766)/$W$4</f>
        <v>8190</v>
      </c>
      <c r="J1766" s="28"/>
      <c r="K1766" s="59"/>
      <c r="L1766" s="104"/>
      <c r="M1766" s="59"/>
      <c r="N1766" s="104"/>
      <c r="O1766" s="59"/>
      <c r="P1766" s="104"/>
      <c r="Q1766" s="59"/>
      <c r="R1766" s="104"/>
      <c r="S1766" s="59"/>
      <c r="T1766" s="104"/>
      <c r="U1766" s="20"/>
      <c r="V1766" s="104"/>
      <c r="W1766" s="20"/>
      <c r="AC1766" s="332">
        <v>6840</v>
      </c>
      <c r="AD1766" s="391">
        <v>7800</v>
      </c>
      <c r="AE1766" s="391">
        <v>8190</v>
      </c>
      <c r="AF1766" s="289">
        <v>6840</v>
      </c>
      <c r="AG1766" s="289">
        <f t="shared" ref="AG1766:AG1767" si="242">AF1766/AC1766-1</f>
        <v>0</v>
      </c>
      <c r="AH1766" s="289">
        <v>7800</v>
      </c>
      <c r="AI1766" s="289">
        <f t="shared" ref="AI1766:AI1767" si="243">AH1766/AD1766-1</f>
        <v>0</v>
      </c>
      <c r="AJ1766" s="289">
        <v>8190</v>
      </c>
      <c r="AK1766" s="289">
        <f t="shared" ref="AK1766:AK1767" si="244">AJ1766/AE1766-1</f>
        <v>0</v>
      </c>
      <c r="AL1766" s="289"/>
      <c r="AM1766" s="22"/>
      <c r="AO1766" s="22"/>
    </row>
    <row r="1767" spans="1:41" ht="34.5" customHeight="1">
      <c r="B1767" s="23">
        <v>4</v>
      </c>
      <c r="C1767" s="24"/>
      <c r="D1767" s="25">
        <f>IF(AC1767="","",(1-$W$2)*(AC1767/1.2))</f>
        <v>6016.666666666667</v>
      </c>
      <c r="E1767" s="269">
        <f>IF($W$5=0.2,D1767*1.2,D1767)/$W$4</f>
        <v>7220</v>
      </c>
      <c r="F1767" s="25">
        <f>IF(AD1767="","",(1-$W$2)*(AD1767/1.2))</f>
        <v>6933.3333333333339</v>
      </c>
      <c r="G1767" s="269">
        <f>IF($W$5=0.2,F1767*1.2,F1767)/$W$4</f>
        <v>8320</v>
      </c>
      <c r="H1767" s="272">
        <f>IF(AE1767="","",(1-$W$2)*(AE1767/1.2))</f>
        <v>7416.666666666667</v>
      </c>
      <c r="I1767" s="69">
        <f>IF($W$5=0.2,H1767*1.2,H1767)/$W$4</f>
        <v>8900</v>
      </c>
      <c r="J1767" s="28"/>
      <c r="K1767" s="59"/>
      <c r="L1767" s="8"/>
      <c r="O1767" s="59"/>
      <c r="P1767" s="8"/>
      <c r="S1767" s="59"/>
      <c r="T1767" s="104"/>
      <c r="U1767" s="20"/>
      <c r="AC1767" s="332">
        <v>7220</v>
      </c>
      <c r="AD1767" s="391">
        <v>8320</v>
      </c>
      <c r="AE1767" s="391">
        <v>8900</v>
      </c>
      <c r="AF1767" s="289">
        <v>7220</v>
      </c>
      <c r="AG1767" s="289">
        <f t="shared" si="242"/>
        <v>0</v>
      </c>
      <c r="AH1767" s="289">
        <v>8320</v>
      </c>
      <c r="AI1767" s="289">
        <f t="shared" si="243"/>
        <v>0</v>
      </c>
      <c r="AJ1767" s="289">
        <v>8900</v>
      </c>
      <c r="AK1767" s="289">
        <f t="shared" si="244"/>
        <v>0</v>
      </c>
      <c r="AL1767" s="289"/>
      <c r="AM1767" s="22"/>
      <c r="AO1767" s="22"/>
    </row>
    <row r="1768" spans="1:41">
      <c r="C1768" s="245"/>
      <c r="D1768" s="26"/>
      <c r="E1768" s="57"/>
      <c r="F1768" s="26"/>
      <c r="G1768" s="57"/>
      <c r="H1768" s="10"/>
      <c r="I1768" s="143"/>
      <c r="J1768" s="48"/>
      <c r="K1768" s="143"/>
      <c r="L1768" s="8"/>
      <c r="P1768" s="8"/>
    </row>
    <row r="1769" spans="1:41" ht="12.75" customHeight="1">
      <c r="B1769" s="212" t="str">
        <f>IF($C$1="ENG","For additonal charge:","Послуги за додаткову плату:")</f>
        <v>Послуги за додаткову плату:</v>
      </c>
      <c r="C1769" s="420"/>
      <c r="D1769" s="213"/>
      <c r="E1769" s="214"/>
      <c r="F1769" s="26"/>
      <c r="G1769" s="57"/>
      <c r="H1769" s="10"/>
      <c r="I1769" s="84"/>
      <c r="J1769" s="8"/>
      <c r="K1769" s="84"/>
    </row>
    <row r="1770" spans="1:41" ht="4.5" customHeight="1">
      <c r="B1770" s="99"/>
      <c r="C1770" s="422"/>
      <c r="D1770" s="26"/>
      <c r="E1770" s="57"/>
      <c r="F1770" s="26"/>
      <c r="G1770" s="57"/>
      <c r="H1770" s="10"/>
      <c r="I1770" s="84"/>
      <c r="K1770" s="20"/>
    </row>
    <row r="1771" spans="1:41">
      <c r="B1771" s="539" t="str">
        <f>IF($C$1="ENG","door leaf with width 100","полотно розміром 100")</f>
        <v>полотно розміром 100</v>
      </c>
      <c r="C1771" s="540"/>
      <c r="D1771" s="416">
        <f t="shared" ref="D1771:D1782" si="245">IF(AC1771="","",(1-$W$2)*(AC1771/1.2))</f>
        <v>566.66666666666674</v>
      </c>
      <c r="E1771" s="92">
        <f>IF($W$5=0.2,D1771*1.2,D1771)/$W$4</f>
        <v>680.00000000000011</v>
      </c>
      <c r="F1771" s="141"/>
      <c r="G1771" s="57"/>
      <c r="H1771" s="10"/>
      <c r="I1771" s="84"/>
      <c r="K1771" s="20"/>
      <c r="AC1771" s="289">
        <v>680</v>
      </c>
      <c r="AD1771" s="289">
        <v>680</v>
      </c>
      <c r="AE1771" s="289">
        <f>AD1771/AC1771-1</f>
        <v>0</v>
      </c>
      <c r="AF1771" s="289"/>
      <c r="AG1771" s="289"/>
      <c r="AH1771" s="289"/>
      <c r="AI1771" s="289"/>
      <c r="AJ1771" s="289"/>
      <c r="AK1771" s="289"/>
      <c r="AL1771" s="289"/>
    </row>
    <row r="1772" spans="1:41">
      <c r="B1772" s="532" t="str">
        <f>IF($C$1="ENG","glazing Graphite / Bronze","скло Графіт / Бронза")</f>
        <v>скло Графіт / Бронза</v>
      </c>
      <c r="C1772" s="533"/>
      <c r="D1772" s="404">
        <f t="shared" si="245"/>
        <v>0</v>
      </c>
      <c r="E1772" s="136" t="str">
        <f>IF($C$1="ENG","see Glazing Price","див. Таблицю Ціни")</f>
        <v>див. Таблицю Ціни</v>
      </c>
      <c r="F1772" s="141"/>
      <c r="G1772" s="141"/>
      <c r="AC1772" s="289">
        <f t="shared" ref="AC1772:AD1781" si="246">AB1772/100*13+AB1772</f>
        <v>0</v>
      </c>
      <c r="AD1772" s="289">
        <f t="shared" si="246"/>
        <v>0</v>
      </c>
      <c r="AE1772" s="289" t="e">
        <f t="shared" ref="AE1772:AE1782" si="247">AD1772/AC1772-1</f>
        <v>#DIV/0!</v>
      </c>
      <c r="AF1772" s="289"/>
      <c r="AG1772" s="289"/>
      <c r="AH1772" s="289"/>
      <c r="AI1772" s="289"/>
      <c r="AJ1772" s="289"/>
      <c r="AK1772" s="289"/>
      <c r="AL1772" s="289"/>
    </row>
    <row r="1773" spans="1:41">
      <c r="B1773" s="532" t="str">
        <f>IF($C$1="ENG","glazing Triplex mat / black","скло Триплекс матовий / чорний")</f>
        <v>скло Триплекс матовий / чорний</v>
      </c>
      <c r="C1773" s="533"/>
      <c r="D1773" s="404">
        <f t="shared" si="245"/>
        <v>0</v>
      </c>
      <c r="E1773" s="136" t="str">
        <f>IF($C$1="ENG","see Glazing Price","див. Таблицю Ціни")</f>
        <v>див. Таблицю Ціни</v>
      </c>
      <c r="F1773" s="141"/>
      <c r="G1773" s="141"/>
      <c r="AC1773" s="289">
        <f t="shared" si="246"/>
        <v>0</v>
      </c>
      <c r="AD1773" s="289">
        <f t="shared" si="246"/>
        <v>0</v>
      </c>
      <c r="AE1773" s="289" t="e">
        <f t="shared" si="247"/>
        <v>#DIV/0!</v>
      </c>
      <c r="AF1773" s="289"/>
      <c r="AG1773" s="289"/>
      <c r="AH1773" s="289"/>
      <c r="AI1773" s="289"/>
      <c r="AJ1773" s="289"/>
      <c r="AK1773" s="289"/>
      <c r="AL1773" s="289"/>
    </row>
    <row r="1774" spans="1:41">
      <c r="B1774" s="532" t="str">
        <f>IF($C$1="ENG","door lock Soft","замок Soft")</f>
        <v>замок Soft</v>
      </c>
      <c r="C1774" s="533"/>
      <c r="D1774" s="406">
        <f t="shared" si="245"/>
        <v>458.33333333333337</v>
      </c>
      <c r="E1774" s="93">
        <f t="shared" ref="E1774:E1780" si="248">IF($W$5=0.2,D1774*1.2,D1774)/$W$4</f>
        <v>550</v>
      </c>
      <c r="F1774" s="26"/>
      <c r="G1774" s="26"/>
      <c r="H1774" s="5"/>
      <c r="AC1774" s="289">
        <v>550</v>
      </c>
      <c r="AD1774" s="289">
        <v>550</v>
      </c>
      <c r="AE1774" s="289">
        <f t="shared" si="247"/>
        <v>0</v>
      </c>
      <c r="AF1774" s="289"/>
      <c r="AG1774" s="289"/>
      <c r="AH1774" s="289"/>
      <c r="AI1774" s="289"/>
      <c r="AJ1774" s="289"/>
      <c r="AK1774" s="289"/>
      <c r="AL1774" s="289"/>
    </row>
    <row r="1775" spans="1:41">
      <c r="B1775" s="532" t="str">
        <f>IF($C$1="ENG","door lock Soft black","замок Soft чорн.")</f>
        <v>замок Soft чорн.</v>
      </c>
      <c r="C1775" s="533"/>
      <c r="D1775" s="406">
        <f t="shared" ref="D1775" si="249">IF(AC1775="","",(1-$W$2)*(AC1775/1.2))</f>
        <v>566.66666666666674</v>
      </c>
      <c r="E1775" s="93">
        <f t="shared" ref="E1775" si="250">IF($W$5=0.2,D1775*1.2,D1775)/$W$4</f>
        <v>680.00000000000011</v>
      </c>
      <c r="F1775" s="26"/>
      <c r="G1775" s="26"/>
      <c r="H1775" s="5"/>
      <c r="AC1775" s="289">
        <v>680</v>
      </c>
      <c r="AD1775" s="289"/>
      <c r="AE1775" s="289"/>
      <c r="AF1775" s="289"/>
      <c r="AG1775" s="289"/>
      <c r="AH1775" s="289"/>
      <c r="AI1775" s="289"/>
      <c r="AJ1775" s="289"/>
      <c r="AK1775" s="289"/>
      <c r="AL1775" s="289"/>
    </row>
    <row r="1776" spans="1:41">
      <c r="B1776" s="532" t="str">
        <f>IF($C$1="ENG","door lock Magnet","замок Magnet")</f>
        <v>замок Magnet</v>
      </c>
      <c r="C1776" s="533"/>
      <c r="D1776" s="406">
        <f t="shared" si="245"/>
        <v>666.66666666666674</v>
      </c>
      <c r="E1776" s="93">
        <f t="shared" si="248"/>
        <v>800.00000000000011</v>
      </c>
      <c r="F1776" s="26"/>
      <c r="G1776" s="26"/>
      <c r="H1776" s="5"/>
      <c r="AC1776" s="289">
        <v>800</v>
      </c>
      <c r="AD1776" s="289">
        <v>800</v>
      </c>
      <c r="AE1776" s="289">
        <f t="shared" si="247"/>
        <v>0</v>
      </c>
      <c r="AF1776" s="289"/>
      <c r="AG1776" s="289"/>
      <c r="AH1776" s="289"/>
      <c r="AI1776" s="289"/>
      <c r="AJ1776" s="289"/>
      <c r="AK1776" s="289"/>
      <c r="AL1776" s="289"/>
    </row>
    <row r="1777" spans="2:38">
      <c r="B1777" s="532" t="s">
        <v>75</v>
      </c>
      <c r="C1777" s="532"/>
      <c r="D1777" s="415">
        <f t="shared" si="245"/>
        <v>833.33333333333337</v>
      </c>
      <c r="E1777" s="93">
        <f t="shared" si="248"/>
        <v>1000</v>
      </c>
      <c r="F1777" s="26"/>
      <c r="G1777" s="26"/>
      <c r="H1777" s="5"/>
      <c r="AC1777" s="289">
        <v>1000</v>
      </c>
      <c r="AD1777" s="289"/>
      <c r="AE1777" s="289"/>
      <c r="AF1777" s="289"/>
      <c r="AG1777" s="289"/>
      <c r="AH1777" s="289"/>
      <c r="AI1777" s="289"/>
      <c r="AJ1777" s="289"/>
      <c r="AK1777" s="289"/>
      <c r="AL1777" s="289"/>
    </row>
    <row r="1778" spans="2:38">
      <c r="B1778" s="532" t="str">
        <f>IF($C$1="ENG","cylinder incert","циліндр несиметричний")</f>
        <v>циліндр несиметричний</v>
      </c>
      <c r="C1778" s="533"/>
      <c r="D1778" s="404">
        <f t="shared" si="245"/>
        <v>316.66666666666669</v>
      </c>
      <c r="E1778" s="66">
        <f t="shared" si="248"/>
        <v>380</v>
      </c>
      <c r="F1778" s="26"/>
      <c r="G1778" s="26"/>
      <c r="AC1778" s="289">
        <v>380</v>
      </c>
      <c r="AD1778" s="289">
        <v>380</v>
      </c>
      <c r="AE1778" s="289">
        <f t="shared" si="247"/>
        <v>0</v>
      </c>
      <c r="AF1778" s="289"/>
      <c r="AG1778" s="289"/>
      <c r="AH1778" s="289"/>
      <c r="AI1778" s="289"/>
      <c r="AJ1778" s="289"/>
      <c r="AK1778" s="289"/>
      <c r="AL1778" s="289"/>
    </row>
    <row r="1779" spans="2:38">
      <c r="B1779" s="532" t="str">
        <f>IF($C$1="ENG","door hindge Prestige (1 unit)","завіса Prestige (1 шт)")</f>
        <v>завіса Prestige (1 шт)</v>
      </c>
      <c r="C1779" s="533"/>
      <c r="D1779" s="407">
        <f t="shared" si="245"/>
        <v>216.66666666666669</v>
      </c>
      <c r="E1779" s="66">
        <f t="shared" si="248"/>
        <v>260</v>
      </c>
      <c r="F1779" s="26"/>
      <c r="G1779" s="26"/>
      <c r="AC1779" s="289">
        <v>260</v>
      </c>
      <c r="AD1779" s="289">
        <v>260</v>
      </c>
      <c r="AE1779" s="289">
        <f t="shared" si="247"/>
        <v>0</v>
      </c>
      <c r="AF1779" s="289"/>
      <c r="AG1779" s="289"/>
      <c r="AH1779" s="289"/>
      <c r="AI1779" s="289"/>
      <c r="AJ1779" s="289"/>
      <c r="AK1779" s="289"/>
      <c r="AL1779" s="289"/>
    </row>
    <row r="1780" spans="2:38">
      <c r="B1780" s="532" t="str">
        <f>IF($C$1="ENG","door hinge caps (1 set)","накладка на завіси (1 к-т)")</f>
        <v>накладка на завіси (1 к-т)</v>
      </c>
      <c r="C1780" s="533"/>
      <c r="D1780" s="407">
        <f t="shared" si="245"/>
        <v>66.666666666666671</v>
      </c>
      <c r="E1780" s="66">
        <f t="shared" si="248"/>
        <v>80</v>
      </c>
      <c r="F1780" s="26"/>
      <c r="G1780" s="26"/>
      <c r="AC1780" s="289">
        <v>80</v>
      </c>
      <c r="AD1780" s="289">
        <v>80</v>
      </c>
      <c r="AE1780" s="289">
        <f t="shared" si="247"/>
        <v>0</v>
      </c>
      <c r="AF1780" s="289"/>
      <c r="AG1780" s="289"/>
      <c r="AH1780" s="289"/>
      <c r="AI1780" s="289"/>
      <c r="AJ1780" s="289"/>
      <c r="AK1780" s="289"/>
      <c r="AL1780" s="289"/>
    </row>
    <row r="1781" spans="2:38">
      <c r="B1781" s="532" t="str">
        <f>IF($C$1="ENG","door handle","дверна ручка")</f>
        <v>дверна ручка</v>
      </c>
      <c r="C1781" s="533"/>
      <c r="D1781" s="404">
        <f t="shared" si="245"/>
        <v>0</v>
      </c>
      <c r="E1781" s="136" t="str">
        <f>IF($C$1="ENG","see Handles Price","див. Таблицю Ручки")</f>
        <v>див. Таблицю Ручки</v>
      </c>
      <c r="F1781" s="26"/>
      <c r="G1781" s="26"/>
      <c r="AC1781" s="289">
        <f t="shared" si="246"/>
        <v>0</v>
      </c>
      <c r="AD1781" s="289">
        <f t="shared" si="246"/>
        <v>0</v>
      </c>
      <c r="AE1781" s="289" t="e">
        <f t="shared" si="247"/>
        <v>#DIV/0!</v>
      </c>
      <c r="AF1781" s="289"/>
      <c r="AG1781" s="289"/>
      <c r="AH1781" s="289"/>
      <c r="AI1781" s="289"/>
      <c r="AJ1781" s="289"/>
      <c r="AK1781" s="289"/>
      <c r="AL1781" s="289"/>
    </row>
    <row r="1782" spans="2:38" ht="14.25" customHeight="1">
      <c r="B1782" s="532" t="str">
        <f>IF($C$1="ENG","perforated chipboard","ДСП трубчасте")</f>
        <v>ДСП трубчасте</v>
      </c>
      <c r="C1782" s="533"/>
      <c r="D1782" s="408">
        <f t="shared" si="245"/>
        <v>775</v>
      </c>
      <c r="E1782" s="69">
        <f>IF($W$5=0.2,D1782*1.2,D1782)/$W$4</f>
        <v>930</v>
      </c>
      <c r="F1782" s="26"/>
      <c r="G1782" s="26"/>
      <c r="AC1782" s="289">
        <v>930</v>
      </c>
      <c r="AD1782" s="289">
        <v>930</v>
      </c>
      <c r="AE1782" s="289">
        <f t="shared" si="247"/>
        <v>0</v>
      </c>
      <c r="AF1782" s="289"/>
      <c r="AG1782" s="289"/>
      <c r="AH1782" s="289"/>
      <c r="AI1782" s="289"/>
      <c r="AJ1782" s="289"/>
      <c r="AK1782" s="289"/>
      <c r="AL1782" s="289"/>
    </row>
    <row r="1783" spans="2:38" ht="14.25" customHeight="1">
      <c r="C1783" s="245"/>
      <c r="D1783" s="26"/>
      <c r="E1783" s="26"/>
      <c r="F1783" s="26"/>
      <c r="G1783" s="26"/>
      <c r="H1783" s="5"/>
      <c r="U1783" s="525" t="str">
        <f>IF($C$1="ENG",CONCATENATE("down to: ",B1833),CONCATENATE("вниз до: ",B1833))</f>
        <v>вниз до: Полотна скляні: ЛАЙН</v>
      </c>
      <c r="V1783" s="525"/>
      <c r="W1783" s="525"/>
      <c r="X1783" s="304"/>
      <c r="Y1783" s="304"/>
      <c r="Z1783" s="304"/>
      <c r="AA1783" s="304"/>
      <c r="AB1783" s="304"/>
    </row>
    <row r="1784" spans="2:38" ht="14.25" customHeight="1">
      <c r="C1784" s="245"/>
      <c r="D1784" s="26"/>
      <c r="E1784" s="26"/>
      <c r="F1784" s="26"/>
      <c r="G1784" s="26"/>
      <c r="H1784" s="5"/>
    </row>
    <row r="1785" spans="2:38" ht="14.25" customHeight="1">
      <c r="C1785" s="245"/>
      <c r="D1785" s="26"/>
      <c r="E1785" s="26"/>
      <c r="F1785" s="26"/>
      <c r="G1785" s="26"/>
      <c r="H1785" s="5"/>
    </row>
    <row r="1786" spans="2:38" ht="14.25" customHeight="1">
      <c r="C1786" s="245"/>
      <c r="D1786" s="26"/>
      <c r="E1786" s="26"/>
      <c r="F1786" s="26"/>
      <c r="G1786" s="26"/>
      <c r="H1786" s="5"/>
    </row>
    <row r="1787" spans="2:38" ht="14.25" customHeight="1">
      <c r="C1787" s="245"/>
      <c r="D1787" s="26"/>
      <c r="E1787" s="26"/>
      <c r="F1787" s="26"/>
      <c r="G1787" s="26"/>
      <c r="H1787" s="5"/>
    </row>
    <row r="1788" spans="2:38" ht="14.25" customHeight="1">
      <c r="C1788" s="245"/>
      <c r="D1788" s="26"/>
      <c r="E1788" s="26"/>
      <c r="F1788" s="26"/>
      <c r="G1788" s="26"/>
      <c r="H1788" s="5"/>
    </row>
    <row r="1789" spans="2:38" ht="14.25" customHeight="1">
      <c r="C1789" s="245"/>
      <c r="D1789" s="26"/>
      <c r="E1789" s="26"/>
      <c r="F1789" s="26"/>
      <c r="G1789" s="26"/>
      <c r="H1789" s="5"/>
    </row>
    <row r="1790" spans="2:38" ht="14.25" customHeight="1">
      <c r="C1790" s="245"/>
      <c r="D1790" s="26"/>
      <c r="E1790" s="26"/>
      <c r="F1790" s="26"/>
      <c r="G1790" s="26"/>
      <c r="H1790" s="5"/>
    </row>
    <row r="1791" spans="2:38" ht="14.25" customHeight="1">
      <c r="C1791" s="245"/>
      <c r="D1791" s="26"/>
      <c r="E1791" s="26"/>
      <c r="F1791" s="26"/>
      <c r="G1791" s="26"/>
      <c r="H1791" s="5"/>
    </row>
    <row r="1792" spans="2:38" ht="14.25" customHeight="1">
      <c r="C1792" s="245"/>
      <c r="D1792" s="26"/>
      <c r="E1792" s="26"/>
      <c r="F1792" s="26"/>
      <c r="G1792" s="26"/>
      <c r="H1792" s="5"/>
    </row>
    <row r="1793" spans="3:8" ht="14.25" customHeight="1">
      <c r="C1793" s="245"/>
      <c r="D1793" s="26"/>
      <c r="E1793" s="26"/>
      <c r="F1793" s="26"/>
      <c r="G1793" s="26"/>
      <c r="H1793" s="5"/>
    </row>
    <row r="1794" spans="3:8" ht="14.25" customHeight="1">
      <c r="C1794" s="245"/>
      <c r="D1794" s="26"/>
      <c r="E1794" s="26"/>
      <c r="F1794" s="26"/>
      <c r="G1794" s="26"/>
      <c r="H1794" s="5"/>
    </row>
    <row r="1795" spans="3:8" ht="14.25" customHeight="1">
      <c r="C1795" s="245"/>
      <c r="D1795" s="26"/>
      <c r="E1795" s="26"/>
      <c r="F1795" s="26"/>
      <c r="G1795" s="26"/>
      <c r="H1795" s="5"/>
    </row>
    <row r="1796" spans="3:8" ht="14.25" customHeight="1">
      <c r="C1796" s="245"/>
      <c r="D1796" s="26"/>
      <c r="E1796" s="26"/>
      <c r="F1796" s="26"/>
      <c r="G1796" s="26"/>
      <c r="H1796" s="5"/>
    </row>
    <row r="1797" spans="3:8" ht="14.25" customHeight="1">
      <c r="C1797" s="245"/>
      <c r="D1797" s="26"/>
      <c r="E1797" s="26"/>
      <c r="F1797" s="26"/>
      <c r="G1797" s="26"/>
      <c r="H1797" s="5"/>
    </row>
    <row r="1798" spans="3:8" ht="14.25" customHeight="1">
      <c r="C1798" s="245"/>
      <c r="D1798" s="26"/>
      <c r="E1798" s="26"/>
      <c r="F1798" s="26"/>
      <c r="G1798" s="26"/>
      <c r="H1798" s="5"/>
    </row>
    <row r="1799" spans="3:8" ht="14.25" customHeight="1">
      <c r="C1799" s="245"/>
      <c r="D1799" s="26"/>
      <c r="E1799" s="26"/>
      <c r="F1799" s="26"/>
      <c r="G1799" s="26"/>
      <c r="H1799" s="5"/>
    </row>
    <row r="1800" spans="3:8" ht="14.25" customHeight="1">
      <c r="C1800" s="245"/>
      <c r="D1800" s="26"/>
      <c r="E1800" s="26"/>
      <c r="F1800" s="26"/>
      <c r="G1800" s="26"/>
      <c r="H1800" s="5"/>
    </row>
    <row r="1801" spans="3:8" ht="14.25" customHeight="1">
      <c r="C1801" s="245"/>
      <c r="D1801" s="26"/>
      <c r="E1801" s="26"/>
      <c r="F1801" s="26"/>
      <c r="G1801" s="26"/>
      <c r="H1801" s="5"/>
    </row>
    <row r="1802" spans="3:8" ht="14.25" customHeight="1">
      <c r="C1802" s="245"/>
      <c r="D1802" s="26"/>
      <c r="E1802" s="26"/>
      <c r="F1802" s="26"/>
      <c r="G1802" s="26"/>
      <c r="H1802" s="5"/>
    </row>
    <row r="1803" spans="3:8" ht="14.25" customHeight="1">
      <c r="C1803" s="245"/>
      <c r="D1803" s="26"/>
      <c r="E1803" s="26"/>
      <c r="F1803" s="26"/>
      <c r="G1803" s="26"/>
      <c r="H1803" s="5"/>
    </row>
    <row r="1804" spans="3:8" ht="14.25" customHeight="1">
      <c r="C1804" s="245"/>
      <c r="D1804" s="26"/>
      <c r="E1804" s="26"/>
      <c r="F1804" s="26"/>
      <c r="G1804" s="26"/>
      <c r="H1804" s="5"/>
    </row>
    <row r="1805" spans="3:8" ht="14.25" customHeight="1">
      <c r="C1805" s="245"/>
      <c r="D1805" s="26"/>
      <c r="E1805" s="26"/>
      <c r="F1805" s="26"/>
      <c r="G1805" s="26"/>
      <c r="H1805" s="5"/>
    </row>
    <row r="1806" spans="3:8" ht="14.25" customHeight="1">
      <c r="C1806" s="245"/>
      <c r="D1806" s="26"/>
      <c r="E1806" s="26"/>
      <c r="F1806" s="26"/>
      <c r="G1806" s="26"/>
      <c r="H1806" s="5"/>
    </row>
    <row r="1807" spans="3:8" ht="14.25" customHeight="1">
      <c r="C1807" s="245"/>
      <c r="D1807" s="26"/>
      <c r="E1807" s="26"/>
      <c r="F1807" s="26"/>
      <c r="G1807" s="26"/>
      <c r="H1807" s="5"/>
    </row>
    <row r="1808" spans="3:8" ht="14.25" customHeight="1">
      <c r="C1808" s="245"/>
      <c r="D1808" s="26"/>
      <c r="E1808" s="26"/>
      <c r="F1808" s="26"/>
      <c r="G1808" s="26"/>
      <c r="H1808" s="5"/>
    </row>
    <row r="1809" spans="3:8" ht="14.25" customHeight="1">
      <c r="C1809" s="245"/>
      <c r="D1809" s="26"/>
      <c r="E1809" s="26"/>
      <c r="F1809" s="26"/>
      <c r="G1809" s="26"/>
      <c r="H1809" s="5"/>
    </row>
    <row r="1810" spans="3:8" ht="14.25" customHeight="1">
      <c r="C1810" s="245"/>
      <c r="D1810" s="26"/>
      <c r="E1810" s="26"/>
      <c r="F1810" s="26"/>
      <c r="G1810" s="26"/>
      <c r="H1810" s="5"/>
    </row>
    <row r="1811" spans="3:8" ht="14.25" customHeight="1">
      <c r="C1811" s="245"/>
      <c r="D1811" s="26"/>
      <c r="E1811" s="26"/>
      <c r="F1811" s="26"/>
      <c r="G1811" s="26"/>
      <c r="H1811" s="5"/>
    </row>
    <row r="1812" spans="3:8" ht="14.25" customHeight="1">
      <c r="C1812" s="245"/>
      <c r="D1812" s="26"/>
      <c r="E1812" s="26"/>
      <c r="F1812" s="26"/>
      <c r="G1812" s="26"/>
      <c r="H1812" s="5"/>
    </row>
    <row r="1813" spans="3:8" ht="14.25" customHeight="1">
      <c r="C1813" s="245"/>
      <c r="D1813" s="26"/>
      <c r="E1813" s="26"/>
      <c r="F1813" s="26"/>
      <c r="G1813" s="26"/>
      <c r="H1813" s="5"/>
    </row>
    <row r="1814" spans="3:8" ht="14.25" customHeight="1">
      <c r="C1814" s="245"/>
      <c r="D1814" s="26"/>
      <c r="E1814" s="26"/>
      <c r="F1814" s="26"/>
      <c r="G1814" s="26"/>
      <c r="H1814" s="5"/>
    </row>
    <row r="1815" spans="3:8" ht="14.25" customHeight="1">
      <c r="C1815" s="245"/>
      <c r="D1815" s="26"/>
      <c r="E1815" s="26"/>
      <c r="F1815" s="26"/>
      <c r="G1815" s="26"/>
      <c r="H1815" s="5"/>
    </row>
    <row r="1816" spans="3:8" ht="14.25" customHeight="1">
      <c r="C1816" s="245"/>
      <c r="D1816" s="26"/>
      <c r="E1816" s="26"/>
      <c r="F1816" s="26"/>
      <c r="G1816" s="26"/>
      <c r="H1816" s="5"/>
    </row>
    <row r="1817" spans="3:8" ht="14.25" customHeight="1">
      <c r="C1817" s="245"/>
      <c r="D1817" s="26"/>
      <c r="E1817" s="26"/>
      <c r="F1817" s="26"/>
      <c r="G1817" s="26"/>
      <c r="H1817" s="5"/>
    </row>
    <row r="1818" spans="3:8" ht="14.25" customHeight="1">
      <c r="C1818" s="245"/>
      <c r="D1818" s="26"/>
      <c r="E1818" s="26"/>
      <c r="F1818" s="26"/>
      <c r="G1818" s="26"/>
      <c r="H1818" s="5"/>
    </row>
    <row r="1819" spans="3:8" ht="14.25" customHeight="1">
      <c r="C1819" s="245"/>
      <c r="D1819" s="26"/>
      <c r="E1819" s="26"/>
      <c r="F1819" s="26"/>
      <c r="G1819" s="26"/>
      <c r="H1819" s="5"/>
    </row>
    <row r="1820" spans="3:8" ht="14.25" customHeight="1">
      <c r="C1820" s="245"/>
      <c r="D1820" s="26"/>
      <c r="E1820" s="26"/>
      <c r="F1820" s="26"/>
      <c r="G1820" s="26"/>
      <c r="H1820" s="5"/>
    </row>
    <row r="1821" spans="3:8" ht="14.25" customHeight="1">
      <c r="C1821" s="245"/>
      <c r="D1821" s="26"/>
      <c r="E1821" s="26"/>
      <c r="F1821" s="26"/>
      <c r="G1821" s="26"/>
      <c r="H1821" s="5"/>
    </row>
    <row r="1822" spans="3:8" ht="14.25" customHeight="1">
      <c r="C1822" s="245"/>
      <c r="D1822" s="26"/>
      <c r="E1822" s="26"/>
      <c r="F1822" s="26"/>
      <c r="G1822" s="26"/>
      <c r="H1822" s="5"/>
    </row>
    <row r="1823" spans="3:8" ht="14.25" customHeight="1">
      <c r="C1823" s="245"/>
      <c r="D1823" s="26"/>
      <c r="E1823" s="26"/>
      <c r="F1823" s="26"/>
      <c r="G1823" s="26"/>
      <c r="H1823" s="5"/>
    </row>
    <row r="1824" spans="3:8" ht="14.25" customHeight="1">
      <c r="C1824" s="245"/>
      <c r="D1824" s="26"/>
      <c r="E1824" s="26"/>
      <c r="F1824" s="26"/>
      <c r="G1824" s="26"/>
      <c r="H1824" s="5"/>
    </row>
    <row r="1825" spans="1:46" ht="14.25" customHeight="1">
      <c r="C1825" s="245"/>
      <c r="D1825" s="26"/>
      <c r="E1825" s="26"/>
      <c r="F1825" s="26"/>
      <c r="G1825" s="26"/>
      <c r="H1825" s="5"/>
    </row>
    <row r="1826" spans="1:46" ht="14.25" customHeight="1">
      <c r="C1826" s="245"/>
      <c r="D1826" s="26"/>
      <c r="E1826" s="26"/>
      <c r="F1826" s="26"/>
      <c r="G1826" s="26"/>
      <c r="H1826" s="5"/>
    </row>
    <row r="1827" spans="1:46" ht="14.25" customHeight="1">
      <c r="C1827" s="245"/>
      <c r="D1827" s="26"/>
      <c r="E1827" s="26"/>
      <c r="F1827" s="26"/>
      <c r="G1827" s="26"/>
      <c r="H1827" s="5"/>
    </row>
    <row r="1828" spans="1:46" ht="14.25" customHeight="1">
      <c r="C1828" s="245"/>
      <c r="D1828" s="26"/>
      <c r="E1828" s="26"/>
      <c r="F1828" s="26"/>
      <c r="G1828" s="26"/>
      <c r="H1828" s="5"/>
    </row>
    <row r="1829" spans="1:46" ht="14.25" customHeight="1">
      <c r="C1829" s="245"/>
      <c r="D1829" s="26"/>
      <c r="E1829" s="26"/>
      <c r="F1829" s="26"/>
      <c r="G1829" s="26"/>
      <c r="H1829" s="5"/>
    </row>
    <row r="1830" spans="1:46" ht="14.25" customHeight="1">
      <c r="C1830" s="245"/>
      <c r="D1830" s="26"/>
      <c r="E1830" s="26"/>
      <c r="F1830" s="26"/>
      <c r="G1830" s="26"/>
      <c r="H1830" s="5"/>
    </row>
    <row r="1831" spans="1:46" ht="14.25" customHeight="1">
      <c r="C1831" s="245"/>
      <c r="D1831" s="26"/>
      <c r="E1831" s="26"/>
      <c r="F1831" s="26"/>
      <c r="G1831" s="26"/>
      <c r="H1831" s="5"/>
    </row>
    <row r="1832" spans="1:46" s="8" customFormat="1">
      <c r="B1832" s="1"/>
      <c r="C1832" s="245"/>
      <c r="D1832" s="26"/>
      <c r="E1832" s="26"/>
      <c r="F1832" s="26"/>
      <c r="G1832" s="26"/>
      <c r="H1832" s="5"/>
      <c r="I1832" s="1"/>
      <c r="J1832" s="1"/>
      <c r="K1832" s="1"/>
      <c r="AE1832" s="289">
        <f>Z1832/100*12+Z1832</f>
        <v>0</v>
      </c>
      <c r="AF1832" s="289" t="e">
        <f>AE1832/Z1832-1</f>
        <v>#DIV/0!</v>
      </c>
      <c r="AN1832" s="280"/>
      <c r="AO1832" s="280"/>
      <c r="AP1832" s="280"/>
      <c r="AQ1832" s="280"/>
      <c r="AR1832" s="280"/>
      <c r="AS1832" s="280"/>
      <c r="AT1832" s="280"/>
    </row>
    <row r="1833" spans="1:46" s="8" customFormat="1" ht="12.75" customHeight="1">
      <c r="B1833" s="518" t="str">
        <f>TITLE!$C$33</f>
        <v>Полотна скляні: ЛАЙН</v>
      </c>
      <c r="C1833" s="518"/>
      <c r="D1833" s="118"/>
      <c r="E1833" s="118"/>
      <c r="F1833" s="118"/>
      <c r="G1833" s="118"/>
      <c r="H1833" s="118"/>
      <c r="I1833" s="121"/>
      <c r="J1833" s="121"/>
      <c r="K1833" s="121"/>
      <c r="L1833" s="121"/>
      <c r="M1833" s="121"/>
      <c r="N1833" s="121"/>
      <c r="O1833" s="121"/>
      <c r="P1833" s="121"/>
      <c r="Q1833" s="121"/>
      <c r="R1833" s="121"/>
      <c r="S1833" s="121"/>
      <c r="T1833" s="529" t="str">
        <f>IF($C$1="ENG",CONCATENATE("up to: ",B1760),CONCATENATE("вгору до: ",B1760))</f>
        <v>вгору до: Полотна скляні: ЛІНЕЯ</v>
      </c>
      <c r="U1833" s="529"/>
      <c r="V1833" s="529"/>
      <c r="W1833" s="529"/>
      <c r="AN1833" s="280"/>
      <c r="AO1833" s="280"/>
      <c r="AP1833" s="280"/>
      <c r="AQ1833" s="280"/>
      <c r="AR1833" s="280"/>
      <c r="AS1833" s="280"/>
      <c r="AT1833" s="280"/>
    </row>
    <row r="1834" spans="1:46" ht="4.5" customHeight="1">
      <c r="A1834" s="8"/>
      <c r="B1834" s="117"/>
      <c r="C1834" s="419"/>
      <c r="D1834" s="9"/>
      <c r="E1834" s="9"/>
      <c r="F1834" s="9"/>
      <c r="G1834" s="9"/>
      <c r="H1834" s="10"/>
      <c r="I1834" s="8"/>
      <c r="J1834" s="8"/>
      <c r="K1834" s="8"/>
      <c r="L1834" s="8"/>
      <c r="M1834" s="11"/>
      <c r="P1834" s="8"/>
      <c r="Q1834" s="11"/>
    </row>
    <row r="1835" spans="1:46" ht="12.75" customHeight="1">
      <c r="A1835" s="8"/>
      <c r="B1835" s="536" t="str">
        <f>IF($C$1="ENG","model","модель")</f>
        <v>модель</v>
      </c>
      <c r="C1835" s="122" t="str">
        <f>IF($C$1="ENG","cover:","покриття:")</f>
        <v>покриття:</v>
      </c>
      <c r="D1835" s="522" t="str">
        <f>IF($C$1="ENG","VERTO-CELL","VERTO-CELL")</f>
        <v>VERTO-CELL</v>
      </c>
      <c r="E1835" s="524"/>
      <c r="F1835" s="522" t="str">
        <f>IF($C$1="ENG","RESIST","RESIST")</f>
        <v>RESIST</v>
      </c>
      <c r="G1835" s="524"/>
      <c r="H1835" s="522" t="str">
        <f>IF($C$1="ENG","Verto LINE-3D","Verto LINE-3D")</f>
        <v>Verto LINE-3D</v>
      </c>
      <c r="I1835" s="524"/>
      <c r="J1835" s="522" t="str">
        <f>IF($C$1="ENG","ECO Shpon","ЕКО Шпон")</f>
        <v>ЕКО Шпон</v>
      </c>
      <c r="K1835" s="524"/>
      <c r="L1835" s="8"/>
      <c r="M1835" s="11"/>
      <c r="P1835" s="8"/>
      <c r="Q1835" s="11"/>
    </row>
    <row r="1836" spans="1:46" ht="12.75" customHeight="1">
      <c r="A1836" s="8"/>
      <c r="B1836" s="537"/>
      <c r="C1836" s="123" t="str">
        <f>IF($C$1="ENG","filling:","заповнення:")</f>
        <v>заповнення:</v>
      </c>
      <c r="D1836" s="527" t="str">
        <f>IF($C$1="ENG","honeycomb core ","сотове заповнення")</f>
        <v>сотове заповнення</v>
      </c>
      <c r="E1836" s="528"/>
      <c r="F1836" s="527" t="str">
        <f>IF($C$1="ENG","honeycomb core ","сотове заповнення")</f>
        <v>сотове заповнення</v>
      </c>
      <c r="G1836" s="528"/>
      <c r="H1836" s="527" t="str">
        <f>IF($C$1="ENG","honeycomb core ","сотове заповнення")</f>
        <v>сотове заповнення</v>
      </c>
      <c r="I1836" s="528"/>
      <c r="J1836" s="527" t="str">
        <f>IF($C$1="ENG","honeycomb core ","сотове заповнення")</f>
        <v>сотове заповнення</v>
      </c>
      <c r="K1836" s="528"/>
      <c r="L1836" s="8"/>
      <c r="M1836" s="11"/>
      <c r="P1836" s="8"/>
      <c r="Q1836" s="11"/>
    </row>
    <row r="1837" spans="1:46">
      <c r="A1837" s="8"/>
      <c r="B1837" s="538"/>
      <c r="C1837" s="124" t="str">
        <f>IF($C$1="ENG","glazing:","скління:")</f>
        <v>скління:</v>
      </c>
      <c r="D1837" s="513" t="str">
        <f>IF($C$1="ENG","Drawing / Satin (1)","Малюнок / Сатин (1)")</f>
        <v>Малюнок / Сатин (1)</v>
      </c>
      <c r="E1837" s="516"/>
      <c r="F1837" s="513" t="str">
        <f>IF($C$1="ENG","Drawing / Satin (1)","Малюнок / Сатин (1)")</f>
        <v>Малюнок / Сатин (1)</v>
      </c>
      <c r="G1837" s="516"/>
      <c r="H1837" s="513" t="str">
        <f>IF($C$1="ENG","Drawing / Satin (1)","Малюнок / Сатин (1)")</f>
        <v>Малюнок / Сатин (1)</v>
      </c>
      <c r="I1837" s="516"/>
      <c r="J1837" s="513" t="str">
        <f>IF($C$1="ENG","Drawing / Satin (1)","Малюнок / Сатин (1)")</f>
        <v>Малюнок / Сатин (1)</v>
      </c>
      <c r="K1837" s="516"/>
      <c r="L1837" s="104"/>
      <c r="M1837" s="20"/>
      <c r="N1837" s="104"/>
      <c r="O1837" s="20"/>
      <c r="P1837" s="104"/>
      <c r="Q1837" s="20"/>
      <c r="R1837" s="104"/>
      <c r="S1837" s="20"/>
      <c r="T1837" s="104"/>
      <c r="V1837" s="104"/>
      <c r="W1837" s="20"/>
      <c r="X1837" s="22"/>
      <c r="Y1837" s="22"/>
      <c r="Z1837" s="22"/>
      <c r="AA1837" s="22"/>
      <c r="AB1837" s="22"/>
    </row>
    <row r="1838" spans="1:46" ht="35.1" customHeight="1">
      <c r="A1838" s="8"/>
      <c r="B1838" s="13">
        <v>1</v>
      </c>
      <c r="C1838" s="14"/>
      <c r="D1838" s="15">
        <f t="shared" ref="D1838:D1844" si="251">IF(AC1838="","",(1-$W$2)*(AC1838/1.2))</f>
        <v>6033.3333333333339</v>
      </c>
      <c r="E1838" s="64">
        <f t="shared" ref="E1838:E1844" si="252">IF($W$5=0.2,D1838*1.2,D1838)/$W$4</f>
        <v>7240.0000000000009</v>
      </c>
      <c r="F1838" s="15">
        <f t="shared" ref="F1838:F1844" si="253">IF(AD1838="","",(1-$W$2)*(AD1838/1.2))</f>
        <v>6516.666666666667</v>
      </c>
      <c r="G1838" s="64">
        <f t="shared" ref="G1838:G1844" si="254">IF($W$5=0.2,F1838*1.2,F1838)/$W$4</f>
        <v>7820</v>
      </c>
      <c r="H1838" s="15">
        <f t="shared" ref="H1838:H1844" si="255">IF(AE1838="","",(1-$W$2)*(AE1838/1.2))</f>
        <v>6800</v>
      </c>
      <c r="I1838" s="64">
        <f t="shared" ref="I1838:I1844" si="256">IF($W$5=0.2,H1838*1.2,H1838)/$W$4</f>
        <v>8160</v>
      </c>
      <c r="J1838" s="15">
        <f>IF(AF1838="","",(1-$W$2)*(AF1838/1.2))</f>
        <v>7141.666666666667</v>
      </c>
      <c r="K1838" s="64">
        <f t="shared" ref="K1838:K1844" si="257">IF($W$5=0.2,J1838*1.2,J1838)/$W$4</f>
        <v>8570</v>
      </c>
      <c r="L1838" s="104"/>
      <c r="M1838" s="20"/>
      <c r="N1838" s="104"/>
      <c r="O1838" s="20"/>
      <c r="P1838" s="104"/>
      <c r="Q1838" s="20"/>
      <c r="R1838" s="104"/>
      <c r="S1838" s="20"/>
      <c r="T1838" s="104"/>
      <c r="V1838" s="104"/>
      <c r="W1838" s="20"/>
      <c r="AC1838" s="332">
        <v>7240</v>
      </c>
      <c r="AD1838" s="332">
        <v>7820</v>
      </c>
      <c r="AE1838" s="332">
        <v>8160</v>
      </c>
      <c r="AF1838" s="332">
        <v>8570</v>
      </c>
      <c r="AG1838" s="289">
        <v>7240</v>
      </c>
      <c r="AH1838" s="289">
        <f>AG1838/AC1838-1</f>
        <v>0</v>
      </c>
      <c r="AI1838" s="289">
        <v>7820</v>
      </c>
      <c r="AJ1838" s="289">
        <f>AI1838/AD1838-1</f>
        <v>0</v>
      </c>
      <c r="AK1838" s="289">
        <v>8160</v>
      </c>
      <c r="AL1838" s="289">
        <f>AK1838/AE1838-1</f>
        <v>0</v>
      </c>
      <c r="AM1838" s="289">
        <v>8570</v>
      </c>
      <c r="AN1838" s="289">
        <f>AM1838/AF1838-1</f>
        <v>0</v>
      </c>
      <c r="AO1838" s="1"/>
      <c r="AP1838" s="1"/>
    </row>
    <row r="1839" spans="1:46" ht="35.1" customHeight="1">
      <c r="A1839" s="8"/>
      <c r="B1839" s="16">
        <v>2</v>
      </c>
      <c r="C1839" s="17"/>
      <c r="D1839" s="18">
        <f t="shared" si="251"/>
        <v>6700</v>
      </c>
      <c r="E1839" s="66">
        <f t="shared" si="252"/>
        <v>8040</v>
      </c>
      <c r="F1839" s="18">
        <f t="shared" si="253"/>
        <v>7158.3333333333339</v>
      </c>
      <c r="G1839" s="66">
        <f t="shared" si="254"/>
        <v>8590</v>
      </c>
      <c r="H1839" s="18">
        <f t="shared" si="255"/>
        <v>7475</v>
      </c>
      <c r="I1839" s="66">
        <f t="shared" si="256"/>
        <v>8970</v>
      </c>
      <c r="J1839" s="18">
        <f t="shared" ref="J1839:J1844" si="258">IF(AF1839="","",(1-$W$2)*(AF1839/1.2))</f>
        <v>7833.3333333333339</v>
      </c>
      <c r="K1839" s="66">
        <f t="shared" si="257"/>
        <v>9400</v>
      </c>
      <c r="L1839" s="104"/>
      <c r="M1839" s="20"/>
      <c r="N1839" s="104"/>
      <c r="O1839" s="20"/>
      <c r="P1839" s="104"/>
      <c r="Q1839" s="20"/>
      <c r="R1839" s="104"/>
      <c r="S1839" s="20"/>
      <c r="T1839" s="104"/>
      <c r="V1839" s="104"/>
      <c r="W1839" s="20"/>
      <c r="AC1839" s="332">
        <v>8040</v>
      </c>
      <c r="AD1839" s="332">
        <v>8590</v>
      </c>
      <c r="AE1839" s="332">
        <v>8970</v>
      </c>
      <c r="AF1839" s="332">
        <v>9400</v>
      </c>
      <c r="AG1839" s="289">
        <v>8040</v>
      </c>
      <c r="AH1839" s="289">
        <f t="shared" ref="AH1839:AH1844" si="259">AG1839/AC1839-1</f>
        <v>0</v>
      </c>
      <c r="AI1839" s="289">
        <v>8590</v>
      </c>
      <c r="AJ1839" s="289">
        <f t="shared" ref="AJ1839:AJ1844" si="260">AI1839/AD1839-1</f>
        <v>0</v>
      </c>
      <c r="AK1839" s="289">
        <v>8970</v>
      </c>
      <c r="AL1839" s="289">
        <f t="shared" ref="AL1839:AL1844" si="261">AK1839/AE1839-1</f>
        <v>0</v>
      </c>
      <c r="AM1839" s="289">
        <v>9400</v>
      </c>
      <c r="AN1839" s="289">
        <f t="shared" ref="AN1839:AN1844" si="262">AM1839/AF1839-1</f>
        <v>0</v>
      </c>
      <c r="AO1839" s="1"/>
      <c r="AP1839" s="1"/>
    </row>
    <row r="1840" spans="1:46" ht="35.1" customHeight="1">
      <c r="A1840" s="8"/>
      <c r="B1840" s="16">
        <v>3</v>
      </c>
      <c r="C1840" s="17"/>
      <c r="D1840" s="18">
        <f t="shared" si="251"/>
        <v>6700</v>
      </c>
      <c r="E1840" s="66">
        <f t="shared" si="252"/>
        <v>8040</v>
      </c>
      <c r="F1840" s="18">
        <f t="shared" si="253"/>
        <v>7158.3333333333339</v>
      </c>
      <c r="G1840" s="66">
        <f t="shared" si="254"/>
        <v>8590</v>
      </c>
      <c r="H1840" s="18">
        <f t="shared" si="255"/>
        <v>7475</v>
      </c>
      <c r="I1840" s="66">
        <f t="shared" si="256"/>
        <v>8970</v>
      </c>
      <c r="J1840" s="18">
        <f t="shared" si="258"/>
        <v>7833.3333333333339</v>
      </c>
      <c r="K1840" s="66">
        <f t="shared" si="257"/>
        <v>9400</v>
      </c>
      <c r="L1840" s="104"/>
      <c r="M1840" s="20"/>
      <c r="N1840" s="104"/>
      <c r="O1840" s="20"/>
      <c r="P1840" s="104"/>
      <c r="Q1840" s="20"/>
      <c r="R1840" s="104"/>
      <c r="S1840" s="20"/>
      <c r="T1840" s="104"/>
      <c r="V1840" s="104"/>
      <c r="W1840" s="20"/>
      <c r="AC1840" s="332">
        <v>8040</v>
      </c>
      <c r="AD1840" s="332">
        <v>8590</v>
      </c>
      <c r="AE1840" s="332">
        <v>8970</v>
      </c>
      <c r="AF1840" s="332">
        <v>9400</v>
      </c>
      <c r="AG1840" s="289">
        <v>8040</v>
      </c>
      <c r="AH1840" s="289">
        <f t="shared" si="259"/>
        <v>0</v>
      </c>
      <c r="AI1840" s="289">
        <v>8590</v>
      </c>
      <c r="AJ1840" s="289">
        <f t="shared" si="260"/>
        <v>0</v>
      </c>
      <c r="AK1840" s="289">
        <v>8970</v>
      </c>
      <c r="AL1840" s="289">
        <f t="shared" si="261"/>
        <v>0</v>
      </c>
      <c r="AM1840" s="289">
        <v>9400</v>
      </c>
      <c r="AN1840" s="289">
        <f t="shared" si="262"/>
        <v>0</v>
      </c>
      <c r="AO1840" s="1"/>
      <c r="AP1840" s="1"/>
    </row>
    <row r="1841" spans="1:42" ht="35.1" customHeight="1">
      <c r="A1841" s="8"/>
      <c r="B1841" s="16">
        <v>4</v>
      </c>
      <c r="C1841" s="17"/>
      <c r="D1841" s="18">
        <f t="shared" si="251"/>
        <v>6700</v>
      </c>
      <c r="E1841" s="66">
        <f t="shared" si="252"/>
        <v>8040</v>
      </c>
      <c r="F1841" s="18">
        <f t="shared" si="253"/>
        <v>7158.3333333333339</v>
      </c>
      <c r="G1841" s="66">
        <f t="shared" si="254"/>
        <v>8590</v>
      </c>
      <c r="H1841" s="18">
        <f t="shared" si="255"/>
        <v>7475</v>
      </c>
      <c r="I1841" s="66">
        <f t="shared" si="256"/>
        <v>8970</v>
      </c>
      <c r="J1841" s="18">
        <f t="shared" si="258"/>
        <v>7833.3333333333339</v>
      </c>
      <c r="K1841" s="66">
        <f t="shared" si="257"/>
        <v>9400</v>
      </c>
      <c r="L1841" s="104"/>
      <c r="M1841" s="20"/>
      <c r="N1841" s="104"/>
      <c r="O1841" s="20"/>
      <c r="P1841" s="104"/>
      <c r="Q1841" s="20"/>
      <c r="R1841" s="104"/>
      <c r="S1841" s="20"/>
      <c r="T1841" s="104"/>
      <c r="V1841" s="104"/>
      <c r="W1841" s="20"/>
      <c r="AC1841" s="332">
        <v>8040</v>
      </c>
      <c r="AD1841" s="332">
        <v>8590</v>
      </c>
      <c r="AE1841" s="332">
        <v>8970</v>
      </c>
      <c r="AF1841" s="332">
        <v>9400</v>
      </c>
      <c r="AG1841" s="289">
        <v>8040</v>
      </c>
      <c r="AH1841" s="289">
        <f t="shared" si="259"/>
        <v>0</v>
      </c>
      <c r="AI1841" s="289">
        <v>8590</v>
      </c>
      <c r="AJ1841" s="289">
        <f t="shared" si="260"/>
        <v>0</v>
      </c>
      <c r="AK1841" s="289">
        <v>8970</v>
      </c>
      <c r="AL1841" s="289">
        <f t="shared" si="261"/>
        <v>0</v>
      </c>
      <c r="AM1841" s="289">
        <v>9400</v>
      </c>
      <c r="AN1841" s="289">
        <f t="shared" si="262"/>
        <v>0</v>
      </c>
      <c r="AO1841" s="1"/>
      <c r="AP1841" s="1"/>
    </row>
    <row r="1842" spans="1:42" ht="35.1" customHeight="1">
      <c r="A1842" s="8"/>
      <c r="B1842" s="16">
        <v>5</v>
      </c>
      <c r="C1842" s="17"/>
      <c r="D1842" s="18">
        <f t="shared" si="251"/>
        <v>6700</v>
      </c>
      <c r="E1842" s="66">
        <f t="shared" si="252"/>
        <v>8040</v>
      </c>
      <c r="F1842" s="18">
        <f t="shared" si="253"/>
        <v>7158.3333333333339</v>
      </c>
      <c r="G1842" s="66">
        <f t="shared" si="254"/>
        <v>8590</v>
      </c>
      <c r="H1842" s="18">
        <f t="shared" si="255"/>
        <v>7475</v>
      </c>
      <c r="I1842" s="66">
        <f t="shared" si="256"/>
        <v>8970</v>
      </c>
      <c r="J1842" s="18">
        <f t="shared" si="258"/>
        <v>7833.3333333333339</v>
      </c>
      <c r="K1842" s="66">
        <f t="shared" si="257"/>
        <v>9400</v>
      </c>
      <c r="L1842" s="104"/>
      <c r="M1842" s="20"/>
      <c r="N1842" s="104"/>
      <c r="O1842" s="20"/>
      <c r="P1842" s="104"/>
      <c r="Q1842" s="20"/>
      <c r="R1842" s="104"/>
      <c r="S1842" s="20"/>
      <c r="T1842" s="104"/>
      <c r="V1842" s="104"/>
      <c r="W1842" s="20"/>
      <c r="AC1842" s="332">
        <v>8040</v>
      </c>
      <c r="AD1842" s="332">
        <v>8590</v>
      </c>
      <c r="AE1842" s="332">
        <v>8970</v>
      </c>
      <c r="AF1842" s="332">
        <v>9400</v>
      </c>
      <c r="AG1842" s="289">
        <v>8040</v>
      </c>
      <c r="AH1842" s="289">
        <f t="shared" si="259"/>
        <v>0</v>
      </c>
      <c r="AI1842" s="289">
        <v>8590</v>
      </c>
      <c r="AJ1842" s="289">
        <f t="shared" si="260"/>
        <v>0</v>
      </c>
      <c r="AK1842" s="289">
        <v>8970</v>
      </c>
      <c r="AL1842" s="289">
        <f t="shared" si="261"/>
        <v>0</v>
      </c>
      <c r="AM1842" s="289">
        <v>9400</v>
      </c>
      <c r="AN1842" s="289">
        <f t="shared" si="262"/>
        <v>0</v>
      </c>
      <c r="AO1842" s="1"/>
      <c r="AP1842" s="1"/>
    </row>
    <row r="1843" spans="1:42" ht="35.1" customHeight="1">
      <c r="A1843" s="8"/>
      <c r="B1843" s="16">
        <v>6</v>
      </c>
      <c r="C1843" s="17"/>
      <c r="D1843" s="18">
        <f t="shared" si="251"/>
        <v>6700</v>
      </c>
      <c r="E1843" s="66">
        <f t="shared" si="252"/>
        <v>8040</v>
      </c>
      <c r="F1843" s="18">
        <f t="shared" si="253"/>
        <v>7158.3333333333339</v>
      </c>
      <c r="G1843" s="66">
        <f t="shared" si="254"/>
        <v>8590</v>
      </c>
      <c r="H1843" s="18">
        <f t="shared" si="255"/>
        <v>7475</v>
      </c>
      <c r="I1843" s="66">
        <f t="shared" si="256"/>
        <v>8970</v>
      </c>
      <c r="J1843" s="18">
        <f t="shared" si="258"/>
        <v>7833.3333333333339</v>
      </c>
      <c r="K1843" s="66">
        <f t="shared" si="257"/>
        <v>9400</v>
      </c>
      <c r="L1843" s="104"/>
      <c r="M1843" s="20"/>
      <c r="N1843" s="104"/>
      <c r="O1843" s="20"/>
      <c r="P1843" s="104"/>
      <c r="Q1843" s="20"/>
      <c r="R1843" s="104"/>
      <c r="S1843" s="20"/>
      <c r="T1843" s="104"/>
      <c r="V1843" s="104"/>
      <c r="W1843" s="20"/>
      <c r="AC1843" s="332">
        <v>8040</v>
      </c>
      <c r="AD1843" s="332">
        <v>8590</v>
      </c>
      <c r="AE1843" s="332">
        <v>8970</v>
      </c>
      <c r="AF1843" s="332">
        <v>9400</v>
      </c>
      <c r="AG1843" s="289">
        <v>8040</v>
      </c>
      <c r="AH1843" s="289">
        <f t="shared" si="259"/>
        <v>0</v>
      </c>
      <c r="AI1843" s="289">
        <v>8590</v>
      </c>
      <c r="AJ1843" s="289">
        <f t="shared" si="260"/>
        <v>0</v>
      </c>
      <c r="AK1843" s="289">
        <v>8970</v>
      </c>
      <c r="AL1843" s="289">
        <f t="shared" si="261"/>
        <v>0</v>
      </c>
      <c r="AM1843" s="289">
        <v>9400</v>
      </c>
      <c r="AN1843" s="289">
        <f t="shared" si="262"/>
        <v>0</v>
      </c>
      <c r="AO1843" s="1"/>
      <c r="AP1843" s="1"/>
    </row>
    <row r="1844" spans="1:42" ht="34.5" customHeight="1">
      <c r="B1844" s="23">
        <v>7</v>
      </c>
      <c r="C1844" s="24"/>
      <c r="D1844" s="25">
        <f t="shared" si="251"/>
        <v>6700</v>
      </c>
      <c r="E1844" s="69">
        <f t="shared" si="252"/>
        <v>8040</v>
      </c>
      <c r="F1844" s="25">
        <f t="shared" si="253"/>
        <v>7158.3333333333339</v>
      </c>
      <c r="G1844" s="69">
        <f t="shared" si="254"/>
        <v>8590</v>
      </c>
      <c r="H1844" s="25">
        <f t="shared" si="255"/>
        <v>7475</v>
      </c>
      <c r="I1844" s="69">
        <f t="shared" si="256"/>
        <v>8970</v>
      </c>
      <c r="J1844" s="25">
        <f t="shared" si="258"/>
        <v>7833.3333333333339</v>
      </c>
      <c r="K1844" s="69">
        <f t="shared" si="257"/>
        <v>9400</v>
      </c>
      <c r="L1844" s="8"/>
      <c r="P1844" s="8"/>
      <c r="AC1844" s="332">
        <v>8040</v>
      </c>
      <c r="AD1844" s="332">
        <v>8590</v>
      </c>
      <c r="AE1844" s="332">
        <v>8970</v>
      </c>
      <c r="AF1844" s="332">
        <v>9400</v>
      </c>
      <c r="AG1844" s="289">
        <v>8040</v>
      </c>
      <c r="AH1844" s="289">
        <f t="shared" si="259"/>
        <v>0</v>
      </c>
      <c r="AI1844" s="289">
        <v>8590</v>
      </c>
      <c r="AJ1844" s="289">
        <f t="shared" si="260"/>
        <v>0</v>
      </c>
      <c r="AK1844" s="289">
        <v>8970</v>
      </c>
      <c r="AL1844" s="289">
        <f t="shared" si="261"/>
        <v>0</v>
      </c>
      <c r="AM1844" s="289">
        <v>9400</v>
      </c>
      <c r="AN1844" s="289">
        <f t="shared" si="262"/>
        <v>0</v>
      </c>
      <c r="AO1844" s="1"/>
      <c r="AP1844" s="1"/>
    </row>
    <row r="1845" spans="1:42">
      <c r="C1845" s="245"/>
      <c r="D1845" s="26"/>
      <c r="E1845" s="57"/>
      <c r="F1845" s="26"/>
      <c r="G1845" s="57"/>
      <c r="H1845" s="10"/>
      <c r="I1845" s="8"/>
      <c r="J1845" s="8"/>
      <c r="K1845" s="8"/>
      <c r="L1845" s="8"/>
      <c r="P1845" s="8"/>
    </row>
    <row r="1846" spans="1:42" ht="12.75" customHeight="1">
      <c r="B1846" s="212" t="str">
        <f>IF($C$1="ENG","For additonal charge:","Послуги за додаткову плату:")</f>
        <v>Послуги за додаткову плату:</v>
      </c>
      <c r="C1846" s="420"/>
      <c r="D1846" s="213"/>
      <c r="E1846" s="214"/>
      <c r="F1846" s="26"/>
      <c r="G1846" s="57"/>
      <c r="H1846" s="10"/>
      <c r="I1846" s="8"/>
      <c r="J1846" s="8"/>
      <c r="K1846" s="8"/>
    </row>
    <row r="1847" spans="1:42" ht="4.5" customHeight="1">
      <c r="B1847" s="99"/>
      <c r="C1847" s="422"/>
      <c r="D1847" s="26"/>
      <c r="E1847" s="57"/>
      <c r="F1847" s="26"/>
      <c r="G1847" s="26"/>
      <c r="H1847" s="10"/>
      <c r="I1847" s="8"/>
      <c r="J1847" s="8"/>
      <c r="K1847" s="8"/>
    </row>
    <row r="1848" spans="1:42">
      <c r="B1848" s="539" t="str">
        <f>IF($C$1="ENG","door leaf with width 100","полотно розміром 100")</f>
        <v>полотно розміром 100</v>
      </c>
      <c r="C1848" s="540"/>
      <c r="D1848" s="15">
        <f t="shared" ref="D1848:D1859" si="263">IF(AC1848="","",(1-$W$2)*(AC1848/1.2))</f>
        <v>566.66666666666674</v>
      </c>
      <c r="E1848" s="92">
        <f t="shared" ref="E1848:E1857" si="264">IF($W$5=0.2,D1848*1.2,D1848)/$W$4</f>
        <v>680.00000000000011</v>
      </c>
      <c r="F1848" s="26"/>
      <c r="G1848" s="57"/>
      <c r="H1848" s="10"/>
      <c r="I1848" s="84"/>
      <c r="K1848" s="20"/>
      <c r="AC1848" s="298">
        <v>680</v>
      </c>
      <c r="AD1848" s="289">
        <v>680</v>
      </c>
      <c r="AE1848" s="289">
        <f>AD1848/AC1848-1</f>
        <v>0</v>
      </c>
      <c r="AF1848" s="289"/>
      <c r="AG1848" s="289"/>
      <c r="AH1848" s="289"/>
      <c r="AI1848" s="289"/>
      <c r="AJ1848" s="289"/>
      <c r="AK1848" s="289"/>
      <c r="AL1848" s="289"/>
    </row>
    <row r="1849" spans="1:42">
      <c r="B1849" s="532" t="str">
        <f>IF($C$1="ENG","glazing Triplex mat / black","скло Триплекс матовий / чорний")</f>
        <v>скло Триплекс матовий / чорний</v>
      </c>
      <c r="C1849" s="533"/>
      <c r="D1849" s="102">
        <f t="shared" si="263"/>
        <v>883.33333333333337</v>
      </c>
      <c r="E1849" s="93">
        <f t="shared" si="264"/>
        <v>1060</v>
      </c>
      <c r="F1849" s="26"/>
      <c r="G1849" s="26"/>
      <c r="I1849" s="11"/>
      <c r="J1849" s="11"/>
      <c r="K1849" s="19"/>
      <c r="AC1849" s="298">
        <v>1060</v>
      </c>
      <c r="AD1849" s="289">
        <v>1060</v>
      </c>
      <c r="AE1849" s="289">
        <f t="shared" ref="AE1849:AE1859" si="265">AD1849/AC1849-1</f>
        <v>0</v>
      </c>
      <c r="AF1849" s="289"/>
      <c r="AG1849" s="289"/>
      <c r="AH1849" s="289"/>
      <c r="AI1849" s="289"/>
      <c r="AJ1849" s="289"/>
      <c r="AK1849" s="289"/>
      <c r="AL1849" s="289"/>
    </row>
    <row r="1850" spans="1:42">
      <c r="B1850" s="532" t="str">
        <f>IF($C$1="ENG","glazing Graphite / Bronze","скло Графіт / Бронза")</f>
        <v>скло Графіт / Бронза</v>
      </c>
      <c r="C1850" s="533"/>
      <c r="D1850" s="102">
        <f t="shared" si="263"/>
        <v>650</v>
      </c>
      <c r="E1850" s="93">
        <f t="shared" si="264"/>
        <v>780</v>
      </c>
      <c r="F1850" s="26"/>
      <c r="G1850" s="141"/>
      <c r="I1850" s="11"/>
      <c r="AC1850" s="298">
        <v>780</v>
      </c>
      <c r="AD1850" s="289">
        <v>780</v>
      </c>
      <c r="AE1850" s="289">
        <f t="shared" si="265"/>
        <v>0</v>
      </c>
      <c r="AF1850" s="289"/>
      <c r="AG1850" s="289"/>
      <c r="AH1850" s="289"/>
      <c r="AI1850" s="289"/>
      <c r="AJ1850" s="289"/>
      <c r="AK1850" s="289"/>
      <c r="AL1850" s="289"/>
    </row>
    <row r="1851" spans="1:42">
      <c r="B1851" s="532" t="str">
        <f>IF($C$1="ENG","door lock Soft","замок Soft")</f>
        <v>замок Soft</v>
      </c>
      <c r="C1851" s="533"/>
      <c r="D1851" s="102">
        <f t="shared" si="263"/>
        <v>458.33333333333337</v>
      </c>
      <c r="E1851" s="93">
        <f t="shared" si="264"/>
        <v>550</v>
      </c>
      <c r="F1851" s="26"/>
      <c r="G1851" s="26"/>
      <c r="H1851" s="5"/>
      <c r="AC1851" s="298">
        <v>550</v>
      </c>
      <c r="AD1851" s="289">
        <v>550</v>
      </c>
      <c r="AE1851" s="289">
        <f t="shared" si="265"/>
        <v>0</v>
      </c>
      <c r="AF1851" s="289"/>
      <c r="AG1851" s="289"/>
      <c r="AH1851" s="289"/>
      <c r="AI1851" s="289"/>
      <c r="AJ1851" s="289"/>
      <c r="AK1851" s="289"/>
      <c r="AL1851" s="289"/>
    </row>
    <row r="1852" spans="1:42">
      <c r="B1852" s="532" t="str">
        <f>IF($C$1="ENG","door lock Soft black","замок Soft чорн.")</f>
        <v>замок Soft чорн.</v>
      </c>
      <c r="C1852" s="533"/>
      <c r="D1852" s="102">
        <f t="shared" ref="D1852" si="266">IF(AC1852="","",(1-$W$2)*(AC1852/1.2))</f>
        <v>566.66666666666674</v>
      </c>
      <c r="E1852" s="93">
        <f t="shared" ref="E1852" si="267">IF($W$5=0.2,D1852*1.2,D1852)/$W$4</f>
        <v>680.00000000000011</v>
      </c>
      <c r="F1852" s="26"/>
      <c r="G1852" s="26"/>
      <c r="H1852" s="5"/>
      <c r="AC1852" s="298">
        <v>680</v>
      </c>
      <c r="AD1852" s="289"/>
      <c r="AE1852" s="289"/>
      <c r="AF1852" s="289"/>
      <c r="AG1852" s="289"/>
      <c r="AH1852" s="289"/>
      <c r="AI1852" s="289"/>
      <c r="AJ1852" s="289"/>
      <c r="AK1852" s="289"/>
      <c r="AL1852" s="289"/>
    </row>
    <row r="1853" spans="1:42">
      <c r="B1853" s="532" t="str">
        <f>IF($C$1="ENG","door lock Magnet","замок Magnet")</f>
        <v>замок Magnet</v>
      </c>
      <c r="C1853" s="533"/>
      <c r="D1853" s="102">
        <f t="shared" si="263"/>
        <v>666.66666666666674</v>
      </c>
      <c r="E1853" s="93">
        <f t="shared" si="264"/>
        <v>800.00000000000011</v>
      </c>
      <c r="F1853" s="26"/>
      <c r="G1853" s="26"/>
      <c r="H1853" s="5"/>
      <c r="AC1853" s="298">
        <v>800</v>
      </c>
      <c r="AD1853" s="289">
        <v>800</v>
      </c>
      <c r="AE1853" s="289">
        <f t="shared" si="265"/>
        <v>0</v>
      </c>
      <c r="AF1853" s="289"/>
      <c r="AG1853" s="289"/>
      <c r="AH1853" s="289"/>
      <c r="AI1853" s="289"/>
      <c r="AJ1853" s="289"/>
      <c r="AK1853" s="289"/>
      <c r="AL1853" s="289"/>
    </row>
    <row r="1854" spans="1:42">
      <c r="B1854" s="532" t="s">
        <v>75</v>
      </c>
      <c r="C1854" s="533"/>
      <c r="D1854" s="102">
        <f t="shared" ref="D1854" si="268">IF(AC1854="","",(1-$W$2)*(AC1854/1.2))</f>
        <v>833.33333333333337</v>
      </c>
      <c r="E1854" s="93">
        <f t="shared" ref="E1854" si="269">IF($W$5=0.2,D1854*1.2,D1854)/$W$4</f>
        <v>1000</v>
      </c>
      <c r="F1854" s="26"/>
      <c r="G1854" s="26"/>
      <c r="H1854" s="5"/>
      <c r="AC1854" s="298">
        <v>1000</v>
      </c>
      <c r="AD1854" s="289"/>
      <c r="AE1854" s="289"/>
      <c r="AF1854" s="289"/>
      <c r="AG1854" s="289"/>
      <c r="AH1854" s="289"/>
      <c r="AI1854" s="289"/>
      <c r="AJ1854" s="289"/>
      <c r="AK1854" s="289"/>
      <c r="AL1854" s="289"/>
    </row>
    <row r="1855" spans="1:42">
      <c r="B1855" s="532" t="str">
        <f>IF($C$1="ENG","cylinder incert","циліндр несиметричний")</f>
        <v>циліндр несиметричний</v>
      </c>
      <c r="C1855" s="533"/>
      <c r="D1855" s="133">
        <f t="shared" si="263"/>
        <v>316.66666666666669</v>
      </c>
      <c r="E1855" s="66">
        <f t="shared" si="264"/>
        <v>380</v>
      </c>
      <c r="F1855" s="26"/>
      <c r="G1855" s="26"/>
      <c r="AC1855" s="298">
        <v>380</v>
      </c>
      <c r="AD1855" s="289">
        <v>380</v>
      </c>
      <c r="AE1855" s="289">
        <f t="shared" si="265"/>
        <v>0</v>
      </c>
      <c r="AF1855" s="289"/>
      <c r="AG1855" s="289"/>
      <c r="AH1855" s="289"/>
      <c r="AI1855" s="289"/>
      <c r="AJ1855" s="289"/>
      <c r="AK1855" s="289"/>
      <c r="AL1855" s="289"/>
    </row>
    <row r="1856" spans="1:42">
      <c r="B1856" s="532" t="str">
        <f>IF($C$1="ENG","door hindge Prestige (1 unit)","завіса Prestige (1 шт)")</f>
        <v>завіса Prestige (1 шт)</v>
      </c>
      <c r="C1856" s="533"/>
      <c r="D1856" s="135">
        <f t="shared" si="263"/>
        <v>216.66666666666669</v>
      </c>
      <c r="E1856" s="66">
        <f t="shared" si="264"/>
        <v>260</v>
      </c>
      <c r="F1856" s="26"/>
      <c r="G1856" s="26"/>
      <c r="AC1856" s="298">
        <v>260</v>
      </c>
      <c r="AD1856" s="289">
        <v>260</v>
      </c>
      <c r="AE1856" s="289">
        <f t="shared" si="265"/>
        <v>0</v>
      </c>
      <c r="AF1856" s="289"/>
      <c r="AG1856" s="289"/>
      <c r="AH1856" s="289"/>
      <c r="AI1856" s="289"/>
      <c r="AJ1856" s="289"/>
      <c r="AK1856" s="289"/>
      <c r="AL1856" s="289"/>
    </row>
    <row r="1857" spans="2:38">
      <c r="B1857" s="532" t="str">
        <f>IF($C$1="ENG","door hinge caps (1 set)","накладка на завіси (1 к-т)")</f>
        <v>накладка на завіси (1 к-т)</v>
      </c>
      <c r="C1857" s="533"/>
      <c r="D1857" s="135">
        <f t="shared" si="263"/>
        <v>66.666666666666671</v>
      </c>
      <c r="E1857" s="66">
        <f t="shared" si="264"/>
        <v>80</v>
      </c>
      <c r="F1857" s="26"/>
      <c r="G1857" s="26"/>
      <c r="AC1857" s="298">
        <v>80</v>
      </c>
      <c r="AD1857" s="289">
        <v>80</v>
      </c>
      <c r="AE1857" s="289">
        <f t="shared" si="265"/>
        <v>0</v>
      </c>
      <c r="AF1857" s="289"/>
      <c r="AG1857" s="289"/>
      <c r="AH1857" s="289"/>
      <c r="AI1857" s="289"/>
      <c r="AJ1857" s="289"/>
      <c r="AK1857" s="289"/>
      <c r="AL1857" s="289"/>
    </row>
    <row r="1858" spans="2:38">
      <c r="B1858" s="532" t="str">
        <f>IF($C$1="ENG","door handle","дверна ручка")</f>
        <v>дверна ручка</v>
      </c>
      <c r="C1858" s="533"/>
      <c r="D1858" s="133">
        <f t="shared" si="263"/>
        <v>0</v>
      </c>
      <c r="E1858" s="136" t="str">
        <f>IF($C$1="ENG","see Handles Price","див. Таблицю Ручки")</f>
        <v>див. Таблицю Ручки</v>
      </c>
      <c r="F1858" s="26"/>
      <c r="G1858" s="26"/>
      <c r="AC1858" s="298">
        <v>0</v>
      </c>
      <c r="AD1858" s="289">
        <f t="shared" ref="AD1858" si="270">AC1858/100*13+AC1858</f>
        <v>0</v>
      </c>
      <c r="AE1858" s="289" t="e">
        <f t="shared" si="265"/>
        <v>#DIV/0!</v>
      </c>
      <c r="AF1858" s="289"/>
      <c r="AG1858" s="289"/>
      <c r="AH1858" s="289"/>
      <c r="AI1858" s="289"/>
      <c r="AJ1858" s="289"/>
      <c r="AK1858" s="289"/>
      <c r="AL1858" s="289"/>
    </row>
    <row r="1859" spans="2:38">
      <c r="B1859" s="532" t="str">
        <f>IF($C$1="ENG","perforated chipboard","ДСП трубчасте")</f>
        <v>ДСП трубчасте</v>
      </c>
      <c r="C1859" s="533"/>
      <c r="D1859" s="134">
        <f t="shared" si="263"/>
        <v>775</v>
      </c>
      <c r="E1859" s="69">
        <f>IF($W$5=0.2,D1859*1.2,D1859)/$W$4</f>
        <v>930</v>
      </c>
      <c r="F1859" s="26"/>
      <c r="G1859" s="26"/>
      <c r="AC1859" s="298">
        <v>930</v>
      </c>
      <c r="AD1859" s="289">
        <v>930</v>
      </c>
      <c r="AE1859" s="289">
        <f t="shared" si="265"/>
        <v>0</v>
      </c>
      <c r="AF1859" s="289"/>
      <c r="AG1859" s="289"/>
      <c r="AH1859" s="289"/>
      <c r="AI1859" s="289"/>
      <c r="AJ1859" s="289"/>
      <c r="AK1859" s="289"/>
      <c r="AL1859" s="289"/>
    </row>
    <row r="1860" spans="2:38" ht="14.25" customHeight="1">
      <c r="C1860" s="245"/>
      <c r="D1860" s="26"/>
      <c r="E1860" s="26"/>
      <c r="F1860" s="26"/>
      <c r="G1860" s="26"/>
      <c r="H1860" s="5"/>
      <c r="T1860" s="525" t="str">
        <f>IF($C$1="ENG",CONCATENATE("down to: ",B1910),CONCATENATE("вниз до: ",B1910))</f>
        <v>вниз до: Полотна скляні: ЕЛЕГАНТ</v>
      </c>
      <c r="U1860" s="525"/>
      <c r="V1860" s="525"/>
      <c r="W1860" s="525"/>
    </row>
    <row r="1861" spans="2:38" ht="14.25" customHeight="1">
      <c r="C1861" s="245"/>
      <c r="D1861" s="26"/>
      <c r="E1861" s="26"/>
      <c r="F1861" s="26"/>
      <c r="G1861" s="26"/>
      <c r="H1861" s="5"/>
    </row>
    <row r="1862" spans="2:38" ht="14.25" customHeight="1">
      <c r="C1862" s="245"/>
      <c r="D1862" s="26"/>
      <c r="E1862" s="26"/>
      <c r="F1862" s="26"/>
      <c r="G1862" s="26"/>
      <c r="H1862" s="5"/>
    </row>
    <row r="1863" spans="2:38" ht="14.25" customHeight="1">
      <c r="C1863" s="245"/>
      <c r="D1863" s="26"/>
      <c r="E1863" s="26"/>
      <c r="F1863" s="26"/>
      <c r="G1863" s="26"/>
      <c r="H1863" s="5"/>
    </row>
    <row r="1864" spans="2:38" ht="14.25" customHeight="1">
      <c r="C1864" s="245"/>
      <c r="D1864" s="26"/>
      <c r="E1864" s="26"/>
      <c r="F1864" s="26"/>
      <c r="G1864" s="26"/>
      <c r="H1864" s="5"/>
    </row>
    <row r="1865" spans="2:38" ht="14.25" customHeight="1">
      <c r="C1865" s="245"/>
      <c r="D1865" s="26"/>
      <c r="E1865" s="26"/>
      <c r="F1865" s="26"/>
      <c r="G1865" s="26"/>
      <c r="H1865" s="5"/>
    </row>
    <row r="1866" spans="2:38" ht="14.25" customHeight="1">
      <c r="C1866" s="245"/>
      <c r="D1866" s="26"/>
      <c r="E1866" s="26"/>
      <c r="F1866" s="26"/>
      <c r="G1866" s="26"/>
      <c r="H1866" s="5"/>
    </row>
    <row r="1867" spans="2:38" ht="14.25" customHeight="1">
      <c r="C1867" s="245"/>
      <c r="D1867" s="26"/>
      <c r="E1867" s="26"/>
      <c r="F1867" s="26"/>
      <c r="G1867" s="26"/>
      <c r="H1867" s="5"/>
    </row>
    <row r="1868" spans="2:38" ht="14.25" customHeight="1">
      <c r="C1868" s="245"/>
      <c r="D1868" s="26"/>
      <c r="E1868" s="26"/>
      <c r="F1868" s="26"/>
      <c r="G1868" s="26"/>
      <c r="H1868" s="5"/>
    </row>
    <row r="1869" spans="2:38" ht="14.25" customHeight="1">
      <c r="C1869" s="245"/>
      <c r="D1869" s="26"/>
      <c r="E1869" s="26"/>
      <c r="F1869" s="26"/>
      <c r="G1869" s="26"/>
      <c r="H1869" s="5"/>
    </row>
    <row r="1870" spans="2:38" ht="14.25" customHeight="1">
      <c r="C1870" s="245"/>
      <c r="D1870" s="26"/>
      <c r="E1870" s="26"/>
      <c r="F1870" s="26"/>
      <c r="G1870" s="26"/>
      <c r="H1870" s="5"/>
    </row>
    <row r="1871" spans="2:38" ht="14.25" customHeight="1">
      <c r="C1871" s="245"/>
      <c r="D1871" s="26"/>
      <c r="E1871" s="26"/>
      <c r="F1871" s="26"/>
      <c r="G1871" s="26"/>
      <c r="H1871" s="5"/>
    </row>
    <row r="1872" spans="2:38" ht="14.25" customHeight="1">
      <c r="C1872" s="245"/>
      <c r="D1872" s="26"/>
      <c r="E1872" s="26"/>
      <c r="F1872" s="26"/>
      <c r="G1872" s="26"/>
      <c r="H1872" s="5"/>
    </row>
    <row r="1873" spans="3:8" ht="14.25" customHeight="1">
      <c r="C1873" s="245"/>
      <c r="D1873" s="26"/>
      <c r="E1873" s="26"/>
      <c r="F1873" s="26"/>
      <c r="G1873" s="26"/>
      <c r="H1873" s="5"/>
    </row>
    <row r="1874" spans="3:8" ht="14.25" customHeight="1">
      <c r="C1874" s="245"/>
      <c r="D1874" s="26"/>
      <c r="E1874" s="26"/>
      <c r="F1874" s="26"/>
      <c r="G1874" s="26"/>
      <c r="H1874" s="5"/>
    </row>
    <row r="1875" spans="3:8" ht="14.25" customHeight="1">
      <c r="C1875" s="245"/>
      <c r="D1875" s="26"/>
      <c r="E1875" s="26"/>
      <c r="F1875" s="26"/>
      <c r="G1875" s="26"/>
      <c r="H1875" s="5"/>
    </row>
    <row r="1876" spans="3:8" ht="14.25" customHeight="1">
      <c r="C1876" s="245"/>
      <c r="D1876" s="26"/>
      <c r="E1876" s="26"/>
      <c r="F1876" s="26"/>
      <c r="G1876" s="26"/>
      <c r="H1876" s="5"/>
    </row>
    <row r="1877" spans="3:8" ht="14.25" customHeight="1">
      <c r="C1877" s="245"/>
      <c r="D1877" s="26"/>
      <c r="E1877" s="26"/>
      <c r="F1877" s="26"/>
      <c r="G1877" s="26"/>
      <c r="H1877" s="5"/>
    </row>
    <row r="1878" spans="3:8" ht="14.25" customHeight="1">
      <c r="C1878" s="245"/>
      <c r="D1878" s="26"/>
      <c r="E1878" s="26"/>
      <c r="F1878" s="26"/>
      <c r="G1878" s="26"/>
      <c r="H1878" s="5"/>
    </row>
    <row r="1879" spans="3:8" ht="14.25" customHeight="1">
      <c r="C1879" s="245"/>
      <c r="D1879" s="26"/>
      <c r="E1879" s="26"/>
      <c r="F1879" s="26"/>
      <c r="G1879" s="26"/>
      <c r="H1879" s="5"/>
    </row>
    <row r="1880" spans="3:8" ht="14.25" customHeight="1">
      <c r="C1880" s="245"/>
      <c r="D1880" s="26"/>
      <c r="E1880" s="26"/>
      <c r="F1880" s="26"/>
      <c r="G1880" s="26"/>
      <c r="H1880" s="5"/>
    </row>
    <row r="1881" spans="3:8" ht="14.25" customHeight="1">
      <c r="C1881" s="245"/>
      <c r="D1881" s="26"/>
      <c r="E1881" s="26"/>
      <c r="F1881" s="26"/>
      <c r="G1881" s="26"/>
      <c r="H1881" s="5"/>
    </row>
    <row r="1882" spans="3:8" ht="14.25" customHeight="1">
      <c r="C1882" s="245"/>
      <c r="D1882" s="26"/>
      <c r="E1882" s="26"/>
      <c r="F1882" s="26"/>
      <c r="G1882" s="26"/>
      <c r="H1882" s="5"/>
    </row>
    <row r="1883" spans="3:8" ht="14.25" customHeight="1">
      <c r="C1883" s="245"/>
      <c r="D1883" s="26"/>
      <c r="E1883" s="26"/>
      <c r="F1883" s="26"/>
      <c r="G1883" s="26"/>
      <c r="H1883" s="5"/>
    </row>
    <row r="1884" spans="3:8" ht="14.25" customHeight="1">
      <c r="C1884" s="245"/>
      <c r="D1884" s="26"/>
      <c r="E1884" s="26"/>
      <c r="F1884" s="26"/>
      <c r="G1884" s="26"/>
      <c r="H1884" s="5"/>
    </row>
    <row r="1885" spans="3:8" ht="14.25" customHeight="1">
      <c r="C1885" s="245"/>
      <c r="D1885" s="26"/>
      <c r="E1885" s="26"/>
      <c r="F1885" s="26"/>
      <c r="G1885" s="26"/>
      <c r="H1885" s="5"/>
    </row>
    <row r="1886" spans="3:8" ht="14.25" customHeight="1">
      <c r="C1886" s="245"/>
      <c r="D1886" s="26"/>
      <c r="E1886" s="26"/>
      <c r="F1886" s="26"/>
      <c r="G1886" s="26"/>
      <c r="H1886" s="5"/>
    </row>
    <row r="1887" spans="3:8" ht="14.25" customHeight="1">
      <c r="C1887" s="245"/>
      <c r="D1887" s="26"/>
      <c r="E1887" s="26"/>
      <c r="F1887" s="26"/>
      <c r="G1887" s="26"/>
      <c r="H1887" s="5"/>
    </row>
    <row r="1888" spans="3:8" ht="14.25" customHeight="1">
      <c r="C1888" s="245"/>
      <c r="D1888" s="26"/>
      <c r="E1888" s="26"/>
      <c r="F1888" s="26"/>
      <c r="G1888" s="26"/>
      <c r="H1888" s="5"/>
    </row>
    <row r="1889" spans="3:8" ht="14.25" customHeight="1">
      <c r="C1889" s="245"/>
      <c r="D1889" s="26"/>
      <c r="E1889" s="26"/>
      <c r="F1889" s="26"/>
      <c r="G1889" s="26"/>
      <c r="H1889" s="5"/>
    </row>
    <row r="1890" spans="3:8" ht="14.25" customHeight="1">
      <c r="C1890" s="245"/>
      <c r="D1890" s="26"/>
      <c r="E1890" s="26"/>
      <c r="F1890" s="26"/>
      <c r="G1890" s="26"/>
      <c r="H1890" s="5"/>
    </row>
    <row r="1891" spans="3:8" ht="14.25" customHeight="1">
      <c r="C1891" s="245"/>
      <c r="D1891" s="26"/>
      <c r="E1891" s="26"/>
      <c r="F1891" s="26"/>
      <c r="G1891" s="26"/>
      <c r="H1891" s="5"/>
    </row>
    <row r="1892" spans="3:8" ht="14.25" customHeight="1">
      <c r="C1892" s="245"/>
      <c r="D1892" s="26"/>
      <c r="E1892" s="26"/>
      <c r="F1892" s="26"/>
      <c r="G1892" s="26"/>
      <c r="H1892" s="5"/>
    </row>
    <row r="1893" spans="3:8" ht="14.25" customHeight="1">
      <c r="C1893" s="245"/>
      <c r="D1893" s="26"/>
      <c r="E1893" s="26"/>
      <c r="F1893" s="26"/>
      <c r="G1893" s="26"/>
      <c r="H1893" s="5"/>
    </row>
    <row r="1894" spans="3:8" ht="14.25" customHeight="1">
      <c r="C1894" s="245"/>
      <c r="D1894" s="26"/>
      <c r="E1894" s="26"/>
      <c r="F1894" s="26"/>
      <c r="G1894" s="26"/>
      <c r="H1894" s="5"/>
    </row>
    <row r="1895" spans="3:8" ht="14.25" customHeight="1">
      <c r="C1895" s="245"/>
      <c r="D1895" s="26"/>
      <c r="E1895" s="26"/>
      <c r="F1895" s="26"/>
      <c r="G1895" s="26"/>
      <c r="H1895" s="5"/>
    </row>
    <row r="1896" spans="3:8" ht="14.25" customHeight="1">
      <c r="C1896" s="245"/>
      <c r="D1896" s="26"/>
      <c r="E1896" s="26"/>
      <c r="F1896" s="26"/>
      <c r="G1896" s="26"/>
      <c r="H1896" s="5"/>
    </row>
    <row r="1897" spans="3:8" ht="14.25" customHeight="1">
      <c r="C1897" s="245"/>
      <c r="D1897" s="26"/>
      <c r="E1897" s="26"/>
      <c r="F1897" s="26"/>
      <c r="G1897" s="26"/>
      <c r="H1897" s="5"/>
    </row>
    <row r="1898" spans="3:8" ht="14.25" customHeight="1">
      <c r="C1898" s="245"/>
      <c r="D1898" s="26"/>
      <c r="E1898" s="26"/>
      <c r="F1898" s="26"/>
      <c r="G1898" s="26"/>
      <c r="H1898" s="5"/>
    </row>
    <row r="1899" spans="3:8" ht="14.25" customHeight="1">
      <c r="C1899" s="245"/>
      <c r="D1899" s="26"/>
      <c r="E1899" s="26"/>
      <c r="F1899" s="26"/>
      <c r="G1899" s="26"/>
      <c r="H1899" s="5"/>
    </row>
    <row r="1900" spans="3:8" ht="14.25" customHeight="1">
      <c r="C1900" s="245"/>
      <c r="D1900" s="26"/>
      <c r="E1900" s="26"/>
      <c r="F1900" s="26"/>
      <c r="G1900" s="26"/>
      <c r="H1900" s="5"/>
    </row>
    <row r="1901" spans="3:8" ht="14.25" customHeight="1">
      <c r="C1901" s="245"/>
      <c r="D1901" s="26"/>
      <c r="E1901" s="26"/>
      <c r="F1901" s="26"/>
      <c r="G1901" s="26"/>
      <c r="H1901" s="5"/>
    </row>
    <row r="1902" spans="3:8" ht="14.25" customHeight="1">
      <c r="C1902" s="245"/>
      <c r="D1902" s="26"/>
      <c r="E1902" s="26"/>
      <c r="F1902" s="26"/>
      <c r="G1902" s="26"/>
      <c r="H1902" s="5"/>
    </row>
    <row r="1903" spans="3:8" ht="14.25" customHeight="1">
      <c r="C1903" s="245"/>
      <c r="D1903" s="26"/>
      <c r="E1903" s="26"/>
      <c r="F1903" s="26"/>
      <c r="G1903" s="26"/>
      <c r="H1903" s="5"/>
    </row>
    <row r="1904" spans="3:8" ht="14.25" customHeight="1">
      <c r="C1904" s="245"/>
      <c r="D1904" s="26"/>
      <c r="E1904" s="26"/>
      <c r="F1904" s="26"/>
      <c r="G1904" s="26"/>
      <c r="H1904" s="5"/>
    </row>
    <row r="1905" spans="1:46" ht="14.25" customHeight="1">
      <c r="C1905" s="245"/>
      <c r="D1905" s="26"/>
      <c r="E1905" s="26"/>
      <c r="F1905" s="26"/>
      <c r="G1905" s="26"/>
      <c r="H1905" s="5"/>
    </row>
    <row r="1906" spans="1:46" ht="14.25" customHeight="1">
      <c r="C1906" s="245"/>
      <c r="D1906" s="26"/>
      <c r="E1906" s="26"/>
      <c r="F1906" s="26"/>
      <c r="G1906" s="26"/>
      <c r="H1906" s="5"/>
    </row>
    <row r="1907" spans="1:46" ht="14.25" customHeight="1">
      <c r="C1907" s="245"/>
      <c r="D1907" s="26"/>
      <c r="E1907" s="26"/>
      <c r="F1907" s="26"/>
      <c r="G1907" s="26"/>
      <c r="H1907" s="5"/>
    </row>
    <row r="1908" spans="1:46" ht="14.25" customHeight="1">
      <c r="C1908" s="245"/>
      <c r="D1908" s="26"/>
      <c r="E1908" s="26"/>
      <c r="F1908" s="26"/>
      <c r="G1908" s="26"/>
      <c r="H1908" s="5"/>
    </row>
    <row r="1909" spans="1:46" s="8" customFormat="1">
      <c r="B1909" s="1"/>
      <c r="C1909" s="245"/>
      <c r="D1909" s="26"/>
      <c r="E1909" s="26"/>
      <c r="F1909" s="26"/>
      <c r="G1909" s="26"/>
      <c r="H1909" s="5"/>
      <c r="I1909" s="1"/>
      <c r="J1909" s="1"/>
      <c r="K1909" s="1"/>
      <c r="AN1909" s="280"/>
      <c r="AO1909" s="280"/>
      <c r="AP1909" s="280"/>
      <c r="AQ1909" s="280"/>
      <c r="AR1909" s="280"/>
      <c r="AS1909" s="280"/>
      <c r="AT1909" s="280"/>
    </row>
    <row r="1910" spans="1:46" s="8" customFormat="1" ht="12.75" customHeight="1">
      <c r="B1910" s="518" t="str">
        <f>TITLE!$C$34</f>
        <v>Полотна скляні: ЕЛЕГАНТ</v>
      </c>
      <c r="C1910" s="518"/>
      <c r="D1910" s="118"/>
      <c r="E1910" s="118"/>
      <c r="F1910" s="118"/>
      <c r="G1910" s="118"/>
      <c r="H1910" s="118"/>
      <c r="I1910" s="121"/>
      <c r="J1910" s="121"/>
      <c r="K1910" s="121"/>
      <c r="L1910" s="121"/>
      <c r="M1910" s="121"/>
      <c r="N1910" s="121"/>
      <c r="O1910" s="121"/>
      <c r="P1910" s="121"/>
      <c r="Q1910" s="121"/>
      <c r="R1910" s="121"/>
      <c r="S1910" s="121"/>
      <c r="T1910" s="529" t="str">
        <f>IF($C$1="ENG",CONCATENATE("up to: ",B1833),CONCATENATE("вгору до: ",B1833))</f>
        <v>вгору до: Полотна скляні: ЛАЙН</v>
      </c>
      <c r="U1910" s="529"/>
      <c r="V1910" s="529"/>
      <c r="W1910" s="529"/>
      <c r="AN1910" s="280"/>
      <c r="AO1910" s="280"/>
      <c r="AP1910" s="280"/>
      <c r="AQ1910" s="280"/>
      <c r="AR1910" s="280"/>
      <c r="AS1910" s="280"/>
      <c r="AT1910" s="280"/>
    </row>
    <row r="1911" spans="1:46" ht="4.5" customHeight="1">
      <c r="A1911" s="8"/>
      <c r="B1911" s="117"/>
      <c r="C1911" s="419"/>
      <c r="D1911" s="9"/>
      <c r="E1911" s="9"/>
      <c r="F1911" s="10"/>
      <c r="G1911" s="10"/>
      <c r="H1911" s="10"/>
      <c r="I1911" s="8"/>
      <c r="J1911" s="8"/>
      <c r="K1911" s="8"/>
      <c r="L1911" s="8"/>
      <c r="M1911" s="11"/>
      <c r="P1911" s="8"/>
      <c r="Q1911" s="11"/>
    </row>
    <row r="1912" spans="1:46" ht="12.75" customHeight="1">
      <c r="A1912" s="8"/>
      <c r="B1912" s="536" t="str">
        <f>IF($C$1="ENG","model","модель")</f>
        <v>модель</v>
      </c>
      <c r="C1912" s="122" t="str">
        <f>IF($C$1="ENG","cover:","покриття:")</f>
        <v>покриття:</v>
      </c>
      <c r="D1912" s="522" t="str">
        <f>IF($C$1="ENG","VERTO-CELL","VERTO-CELL")</f>
        <v>VERTO-CELL</v>
      </c>
      <c r="E1912" s="524"/>
      <c r="F1912" s="522" t="str">
        <f>IF($C$1="ENG","RESIST","RESIST")</f>
        <v>RESIST</v>
      </c>
      <c r="G1912" s="524"/>
      <c r="H1912" s="522" t="str">
        <f>IF($C$1="ENG","Verto LINE-3D","Verto LINE-3D")</f>
        <v>Verto LINE-3D</v>
      </c>
      <c r="I1912" s="524"/>
      <c r="J1912" s="522" t="str">
        <f>IF($C$1="ENG","ECO Shpon","ЕКО Шпон")</f>
        <v>ЕКО Шпон</v>
      </c>
      <c r="K1912" s="524"/>
      <c r="L1912" s="8"/>
      <c r="M1912" s="11"/>
      <c r="P1912" s="8"/>
      <c r="Q1912" s="11"/>
    </row>
    <row r="1913" spans="1:46" ht="24.75" customHeight="1">
      <c r="A1913" s="8"/>
      <c r="B1913" s="537"/>
      <c r="C1913" s="123" t="str">
        <f>IF($C$1="ENG","filling:","заповнення:")</f>
        <v>заповнення:</v>
      </c>
      <c r="D1913" s="527" t="str">
        <f>IF($C$1="ENG","softwood","клеєний сосновий брус")</f>
        <v>клеєний сосновий брус</v>
      </c>
      <c r="E1913" s="528"/>
      <c r="F1913" s="527" t="str">
        <f>IF($C$1="ENG","softwood","клеєний сосновий брус")</f>
        <v>клеєний сосновий брус</v>
      </c>
      <c r="G1913" s="528"/>
      <c r="H1913" s="527" t="str">
        <f>IF($C$1="ENG","softwood","клеєний сосновий брус")</f>
        <v>клеєний сосновий брус</v>
      </c>
      <c r="I1913" s="528"/>
      <c r="J1913" s="527" t="str">
        <f>IF($C$1="ENG","softwood","клеєний сосновий брус")</f>
        <v>клеєний сосновий брус</v>
      </c>
      <c r="K1913" s="528"/>
      <c r="L1913" s="8"/>
      <c r="M1913" s="11"/>
      <c r="P1913" s="8"/>
      <c r="Q1913" s="11"/>
    </row>
    <row r="1914" spans="1:46">
      <c r="A1914" s="8"/>
      <c r="B1914" s="538"/>
      <c r="C1914" s="124" t="str">
        <f>IF($C$1="ENG","glazing:","скління:")</f>
        <v>скління:</v>
      </c>
      <c r="D1914" s="513" t="str">
        <f>IF($C$1="ENG","Drawing / Satin (1)","Малюнок / Сатин (1)")</f>
        <v>Малюнок / Сатин (1)</v>
      </c>
      <c r="E1914" s="516"/>
      <c r="F1914" s="513" t="str">
        <f>IF($C$1="ENG","Drawing / Satin (1)","Малюнок / Сатин (1)")</f>
        <v>Малюнок / Сатин (1)</v>
      </c>
      <c r="G1914" s="516"/>
      <c r="H1914" s="513" t="str">
        <f>IF($C$1="ENG","Drawing / Satin (1)","Малюнок / Сатин (1)")</f>
        <v>Малюнок / Сатин (1)</v>
      </c>
      <c r="I1914" s="516"/>
      <c r="J1914" s="513" t="str">
        <f>IF($C$1="ENG","Drawing / Satin (1)","Малюнок / Сатин (1)")</f>
        <v>Малюнок / Сатин (1)</v>
      </c>
      <c r="K1914" s="516"/>
      <c r="L1914" s="104"/>
      <c r="M1914" s="20"/>
      <c r="N1914" s="104"/>
      <c r="O1914" s="20"/>
      <c r="P1914" s="104"/>
      <c r="Q1914" s="20"/>
      <c r="R1914" s="104"/>
      <c r="S1914" s="20"/>
      <c r="T1914" s="104"/>
      <c r="V1914" s="104"/>
      <c r="W1914" s="20"/>
      <c r="X1914" s="22"/>
      <c r="Y1914" s="22"/>
      <c r="Z1914" s="22"/>
      <c r="AA1914" s="22"/>
      <c r="AB1914" s="22"/>
    </row>
    <row r="1915" spans="1:46" ht="35.1" customHeight="1">
      <c r="A1915" s="8"/>
      <c r="B1915" s="13">
        <v>1</v>
      </c>
      <c r="C1915" s="14"/>
      <c r="D1915" s="15">
        <f t="shared" ref="D1915:D1921" si="271">IF(AC1915="","",(1-$W$2)*(AC1915/1.2))</f>
        <v>6500</v>
      </c>
      <c r="E1915" s="64">
        <f t="shared" ref="E1915:E1921" si="272">IF($W$5=0.2,D1915*1.2,D1915)/$W$4</f>
        <v>7800</v>
      </c>
      <c r="F1915" s="15">
        <f t="shared" ref="F1915:F1921" si="273">IF(AD1915="","",(1-$W$2)*(AD1915/1.2))</f>
        <v>7266.666666666667</v>
      </c>
      <c r="G1915" s="64">
        <f t="shared" ref="G1915:G1921" si="274">IF($W$5=0.2,F1915*1.2,F1915)/$W$4</f>
        <v>8720</v>
      </c>
      <c r="H1915" s="15">
        <f t="shared" ref="H1915:H1921" si="275">IF(AE1915="","",(1-$W$2)*(AE1915/1.2))</f>
        <v>7625</v>
      </c>
      <c r="I1915" s="64">
        <f t="shared" ref="I1915:I1921" si="276">IF($W$5=0.2,H1915*1.2,H1915)/$W$4</f>
        <v>9150</v>
      </c>
      <c r="J1915" s="15">
        <f>IF(AF1915="","",(1-$W$2)*(AF1915/1.2))</f>
        <v>7991.666666666667</v>
      </c>
      <c r="K1915" s="64">
        <f t="shared" ref="K1915:K1921" si="277">IF($W$5=0.2,J1915*1.2,J1915)/$W$4</f>
        <v>9590</v>
      </c>
      <c r="L1915" s="104"/>
      <c r="M1915" s="20"/>
      <c r="N1915" s="104"/>
      <c r="O1915" s="20"/>
      <c r="P1915" s="104"/>
      <c r="Q1915" s="20"/>
      <c r="R1915" s="104"/>
      <c r="S1915" s="20"/>
      <c r="T1915" s="104"/>
      <c r="V1915" s="104"/>
      <c r="W1915" s="20"/>
      <c r="AC1915" s="332">
        <v>7800</v>
      </c>
      <c r="AD1915" s="332">
        <v>8720</v>
      </c>
      <c r="AE1915" s="332">
        <v>9150</v>
      </c>
      <c r="AF1915" s="332">
        <v>9590</v>
      </c>
      <c r="AG1915" s="289">
        <v>7800</v>
      </c>
      <c r="AH1915" s="289">
        <f>AG1915/AC1915-1</f>
        <v>0</v>
      </c>
      <c r="AI1915" s="289">
        <v>8720</v>
      </c>
      <c r="AJ1915" s="289">
        <f>AI1915/AD1915-1</f>
        <v>0</v>
      </c>
      <c r="AK1915" s="289">
        <v>9150</v>
      </c>
      <c r="AL1915" s="289">
        <f>AK1915/AE1915-1</f>
        <v>0</v>
      </c>
      <c r="AM1915" s="289">
        <v>9590</v>
      </c>
      <c r="AN1915" s="289">
        <f>AM1915/AF1915-1</f>
        <v>0</v>
      </c>
      <c r="AO1915" s="1"/>
      <c r="AP1915" s="1"/>
    </row>
    <row r="1916" spans="1:46" ht="35.1" customHeight="1">
      <c r="A1916" s="8"/>
      <c r="B1916" s="16">
        <v>2</v>
      </c>
      <c r="C1916" s="17"/>
      <c r="D1916" s="18">
        <f t="shared" si="271"/>
        <v>7133.3333333333339</v>
      </c>
      <c r="E1916" s="66">
        <f t="shared" si="272"/>
        <v>8560</v>
      </c>
      <c r="F1916" s="18">
        <f t="shared" si="273"/>
        <v>7991.666666666667</v>
      </c>
      <c r="G1916" s="66">
        <f t="shared" si="274"/>
        <v>9590</v>
      </c>
      <c r="H1916" s="18">
        <f t="shared" si="275"/>
        <v>8333.3333333333339</v>
      </c>
      <c r="I1916" s="66">
        <f t="shared" si="276"/>
        <v>10000</v>
      </c>
      <c r="J1916" s="18">
        <f t="shared" ref="J1916:J1921" si="278">IF(AF1916="","",(1-$W$2)*(AF1916/1.2))</f>
        <v>8700</v>
      </c>
      <c r="K1916" s="66">
        <f t="shared" si="277"/>
        <v>10440</v>
      </c>
      <c r="L1916" s="104"/>
      <c r="M1916" s="20"/>
      <c r="N1916" s="104"/>
      <c r="O1916" s="20"/>
      <c r="P1916" s="104"/>
      <c r="Q1916" s="20"/>
      <c r="R1916" s="104"/>
      <c r="S1916" s="20"/>
      <c r="T1916" s="104"/>
      <c r="V1916" s="104"/>
      <c r="W1916" s="20"/>
      <c r="AC1916" s="332">
        <v>8560</v>
      </c>
      <c r="AD1916" s="332">
        <v>9590</v>
      </c>
      <c r="AE1916" s="332">
        <v>10000</v>
      </c>
      <c r="AF1916" s="332">
        <v>10440</v>
      </c>
      <c r="AG1916" s="289">
        <v>8560</v>
      </c>
      <c r="AH1916" s="289">
        <f t="shared" ref="AH1916:AH1921" si="279">AG1916/AC1916-1</f>
        <v>0</v>
      </c>
      <c r="AI1916" s="289">
        <v>9590</v>
      </c>
      <c r="AJ1916" s="289">
        <f t="shared" ref="AJ1916:AJ1921" si="280">AI1916/AD1916-1</f>
        <v>0</v>
      </c>
      <c r="AK1916" s="289">
        <v>10000</v>
      </c>
      <c r="AL1916" s="289">
        <f t="shared" ref="AL1916:AL1921" si="281">AK1916/AE1916-1</f>
        <v>0</v>
      </c>
      <c r="AM1916" s="289">
        <v>10440</v>
      </c>
      <c r="AN1916" s="289">
        <f t="shared" ref="AN1916:AN1921" si="282">AM1916/AF1916-1</f>
        <v>0</v>
      </c>
      <c r="AO1916" s="1"/>
      <c r="AP1916" s="1"/>
    </row>
    <row r="1917" spans="1:46" ht="35.1" customHeight="1">
      <c r="A1917" s="8"/>
      <c r="B1917" s="16">
        <v>3</v>
      </c>
      <c r="C1917" s="17"/>
      <c r="D1917" s="18">
        <f t="shared" si="271"/>
        <v>7133.3333333333339</v>
      </c>
      <c r="E1917" s="66">
        <f t="shared" si="272"/>
        <v>8560</v>
      </c>
      <c r="F1917" s="18">
        <f t="shared" si="273"/>
        <v>7991.666666666667</v>
      </c>
      <c r="G1917" s="66">
        <f t="shared" si="274"/>
        <v>9590</v>
      </c>
      <c r="H1917" s="18">
        <f t="shared" si="275"/>
        <v>8333.3333333333339</v>
      </c>
      <c r="I1917" s="66">
        <f t="shared" si="276"/>
        <v>10000</v>
      </c>
      <c r="J1917" s="18">
        <f t="shared" si="278"/>
        <v>8700</v>
      </c>
      <c r="K1917" s="66">
        <f t="shared" si="277"/>
        <v>10440</v>
      </c>
      <c r="L1917" s="104"/>
      <c r="M1917" s="20"/>
      <c r="N1917" s="104"/>
      <c r="O1917" s="20"/>
      <c r="P1917" s="104"/>
      <c r="Q1917" s="20"/>
      <c r="R1917" s="104"/>
      <c r="S1917" s="20"/>
      <c r="T1917" s="104"/>
      <c r="V1917" s="104"/>
      <c r="W1917" s="20"/>
      <c r="AC1917" s="332">
        <v>8560</v>
      </c>
      <c r="AD1917" s="332">
        <v>9590</v>
      </c>
      <c r="AE1917" s="332">
        <v>10000</v>
      </c>
      <c r="AF1917" s="332">
        <v>10440</v>
      </c>
      <c r="AG1917" s="289">
        <v>8560</v>
      </c>
      <c r="AH1917" s="289">
        <f t="shared" si="279"/>
        <v>0</v>
      </c>
      <c r="AI1917" s="289">
        <v>9590</v>
      </c>
      <c r="AJ1917" s="289">
        <f t="shared" si="280"/>
        <v>0</v>
      </c>
      <c r="AK1917" s="289">
        <v>10000</v>
      </c>
      <c r="AL1917" s="289">
        <f t="shared" si="281"/>
        <v>0</v>
      </c>
      <c r="AM1917" s="289">
        <v>10440</v>
      </c>
      <c r="AN1917" s="289">
        <f t="shared" si="282"/>
        <v>0</v>
      </c>
      <c r="AO1917" s="1"/>
      <c r="AP1917" s="1"/>
    </row>
    <row r="1918" spans="1:46" ht="35.1" customHeight="1">
      <c r="A1918" s="8"/>
      <c r="B1918" s="16">
        <v>4</v>
      </c>
      <c r="C1918" s="17"/>
      <c r="D1918" s="18">
        <f t="shared" si="271"/>
        <v>7133.3333333333339</v>
      </c>
      <c r="E1918" s="66">
        <f t="shared" si="272"/>
        <v>8560</v>
      </c>
      <c r="F1918" s="18">
        <f t="shared" si="273"/>
        <v>7991.666666666667</v>
      </c>
      <c r="G1918" s="66">
        <f t="shared" si="274"/>
        <v>9590</v>
      </c>
      <c r="H1918" s="18">
        <f t="shared" si="275"/>
        <v>8333.3333333333339</v>
      </c>
      <c r="I1918" s="66">
        <f t="shared" si="276"/>
        <v>10000</v>
      </c>
      <c r="J1918" s="18">
        <f t="shared" si="278"/>
        <v>8700</v>
      </c>
      <c r="K1918" s="66">
        <f t="shared" si="277"/>
        <v>10440</v>
      </c>
      <c r="L1918" s="104"/>
      <c r="M1918" s="20"/>
      <c r="N1918" s="104"/>
      <c r="O1918" s="20"/>
      <c r="P1918" s="104"/>
      <c r="Q1918" s="20"/>
      <c r="R1918" s="104"/>
      <c r="S1918" s="20"/>
      <c r="T1918" s="104"/>
      <c r="V1918" s="104"/>
      <c r="W1918" s="20"/>
      <c r="AC1918" s="332">
        <v>8560</v>
      </c>
      <c r="AD1918" s="332">
        <v>9590</v>
      </c>
      <c r="AE1918" s="332">
        <v>10000</v>
      </c>
      <c r="AF1918" s="332">
        <v>10440</v>
      </c>
      <c r="AG1918" s="289">
        <v>8560</v>
      </c>
      <c r="AH1918" s="289">
        <f t="shared" si="279"/>
        <v>0</v>
      </c>
      <c r="AI1918" s="289">
        <v>9590</v>
      </c>
      <c r="AJ1918" s="289">
        <f t="shared" si="280"/>
        <v>0</v>
      </c>
      <c r="AK1918" s="289">
        <v>10000</v>
      </c>
      <c r="AL1918" s="289">
        <f t="shared" si="281"/>
        <v>0</v>
      </c>
      <c r="AM1918" s="289">
        <v>10440</v>
      </c>
      <c r="AN1918" s="289">
        <f t="shared" si="282"/>
        <v>0</v>
      </c>
      <c r="AO1918" s="1"/>
      <c r="AP1918" s="1"/>
    </row>
    <row r="1919" spans="1:46" ht="35.1" customHeight="1">
      <c r="A1919" s="8"/>
      <c r="B1919" s="16">
        <v>5</v>
      </c>
      <c r="C1919" s="17"/>
      <c r="D1919" s="18">
        <f t="shared" si="271"/>
        <v>7133.3333333333339</v>
      </c>
      <c r="E1919" s="66">
        <f t="shared" si="272"/>
        <v>8560</v>
      </c>
      <c r="F1919" s="18">
        <f t="shared" si="273"/>
        <v>7991.666666666667</v>
      </c>
      <c r="G1919" s="66">
        <f t="shared" si="274"/>
        <v>9590</v>
      </c>
      <c r="H1919" s="18">
        <f t="shared" si="275"/>
        <v>8333.3333333333339</v>
      </c>
      <c r="I1919" s="66">
        <f t="shared" si="276"/>
        <v>10000</v>
      </c>
      <c r="J1919" s="18">
        <f t="shared" si="278"/>
        <v>8700</v>
      </c>
      <c r="K1919" s="66">
        <f t="shared" si="277"/>
        <v>10440</v>
      </c>
      <c r="L1919" s="104"/>
      <c r="M1919" s="20"/>
      <c r="N1919" s="104"/>
      <c r="O1919" s="20"/>
      <c r="P1919" s="104"/>
      <c r="Q1919" s="20"/>
      <c r="R1919" s="104"/>
      <c r="S1919" s="20"/>
      <c r="T1919" s="42"/>
      <c r="V1919" s="104"/>
      <c r="W1919" s="20"/>
      <c r="AC1919" s="332">
        <v>8560</v>
      </c>
      <c r="AD1919" s="332">
        <v>9590</v>
      </c>
      <c r="AE1919" s="332">
        <v>10000</v>
      </c>
      <c r="AF1919" s="332">
        <v>10440</v>
      </c>
      <c r="AG1919" s="289">
        <v>8560</v>
      </c>
      <c r="AH1919" s="289">
        <f t="shared" si="279"/>
        <v>0</v>
      </c>
      <c r="AI1919" s="289">
        <v>9590</v>
      </c>
      <c r="AJ1919" s="289">
        <f t="shared" si="280"/>
        <v>0</v>
      </c>
      <c r="AK1919" s="289">
        <v>10000</v>
      </c>
      <c r="AL1919" s="289">
        <f t="shared" si="281"/>
        <v>0</v>
      </c>
      <c r="AM1919" s="289">
        <v>10440</v>
      </c>
      <c r="AN1919" s="289">
        <f t="shared" si="282"/>
        <v>0</v>
      </c>
      <c r="AO1919" s="1"/>
      <c r="AP1919" s="1"/>
    </row>
    <row r="1920" spans="1:46" ht="35.1" customHeight="1">
      <c r="A1920" s="8"/>
      <c r="B1920" s="16">
        <v>6</v>
      </c>
      <c r="C1920" s="17"/>
      <c r="D1920" s="18">
        <f t="shared" si="271"/>
        <v>7133.3333333333339</v>
      </c>
      <c r="E1920" s="66">
        <f t="shared" si="272"/>
        <v>8560</v>
      </c>
      <c r="F1920" s="18">
        <f t="shared" si="273"/>
        <v>7991.666666666667</v>
      </c>
      <c r="G1920" s="66">
        <f t="shared" si="274"/>
        <v>9590</v>
      </c>
      <c r="H1920" s="18">
        <f t="shared" si="275"/>
        <v>8333.3333333333339</v>
      </c>
      <c r="I1920" s="66">
        <f t="shared" si="276"/>
        <v>10000</v>
      </c>
      <c r="J1920" s="18">
        <f t="shared" si="278"/>
        <v>8700</v>
      </c>
      <c r="K1920" s="66">
        <f t="shared" si="277"/>
        <v>10440</v>
      </c>
      <c r="L1920" s="104"/>
      <c r="M1920" s="20"/>
      <c r="N1920" s="104"/>
      <c r="O1920" s="20"/>
      <c r="P1920" s="104"/>
      <c r="Q1920" s="20"/>
      <c r="R1920" s="104"/>
      <c r="S1920" s="20"/>
      <c r="T1920" s="42"/>
      <c r="V1920" s="104"/>
      <c r="W1920" s="20"/>
      <c r="AC1920" s="332">
        <v>8560</v>
      </c>
      <c r="AD1920" s="332">
        <v>9590</v>
      </c>
      <c r="AE1920" s="332">
        <v>10000</v>
      </c>
      <c r="AF1920" s="332">
        <v>10440</v>
      </c>
      <c r="AG1920" s="289">
        <v>8560</v>
      </c>
      <c r="AH1920" s="289">
        <f t="shared" si="279"/>
        <v>0</v>
      </c>
      <c r="AI1920" s="289">
        <v>9590</v>
      </c>
      <c r="AJ1920" s="289">
        <f t="shared" si="280"/>
        <v>0</v>
      </c>
      <c r="AK1920" s="289">
        <v>10000</v>
      </c>
      <c r="AL1920" s="289">
        <f t="shared" si="281"/>
        <v>0</v>
      </c>
      <c r="AM1920" s="289">
        <v>10440</v>
      </c>
      <c r="AN1920" s="289">
        <f t="shared" si="282"/>
        <v>0</v>
      </c>
      <c r="AO1920" s="1"/>
      <c r="AP1920" s="1"/>
    </row>
    <row r="1921" spans="2:42" ht="34.5" customHeight="1">
      <c r="B1921" s="23">
        <v>7</v>
      </c>
      <c r="C1921" s="24"/>
      <c r="D1921" s="25">
        <f t="shared" si="271"/>
        <v>7133.3333333333339</v>
      </c>
      <c r="E1921" s="69">
        <f t="shared" si="272"/>
        <v>8560</v>
      </c>
      <c r="F1921" s="25">
        <f t="shared" si="273"/>
        <v>7991.666666666667</v>
      </c>
      <c r="G1921" s="69">
        <f t="shared" si="274"/>
        <v>9590</v>
      </c>
      <c r="H1921" s="25">
        <f t="shared" si="275"/>
        <v>8333.3333333333339</v>
      </c>
      <c r="I1921" s="69">
        <f t="shared" si="276"/>
        <v>10000</v>
      </c>
      <c r="J1921" s="25">
        <f t="shared" si="278"/>
        <v>8700</v>
      </c>
      <c r="K1921" s="69">
        <f t="shared" si="277"/>
        <v>10440</v>
      </c>
      <c r="L1921" s="8"/>
      <c r="P1921" s="8"/>
      <c r="AC1921" s="332">
        <v>8560</v>
      </c>
      <c r="AD1921" s="332">
        <v>9590</v>
      </c>
      <c r="AE1921" s="332">
        <v>10000</v>
      </c>
      <c r="AF1921" s="332">
        <v>10440</v>
      </c>
      <c r="AG1921" s="289">
        <v>8560</v>
      </c>
      <c r="AH1921" s="289">
        <f t="shared" si="279"/>
        <v>0</v>
      </c>
      <c r="AI1921" s="289">
        <v>9590</v>
      </c>
      <c r="AJ1921" s="289">
        <f t="shared" si="280"/>
        <v>0</v>
      </c>
      <c r="AK1921" s="289">
        <v>10000</v>
      </c>
      <c r="AL1921" s="289">
        <f t="shared" si="281"/>
        <v>0</v>
      </c>
      <c r="AM1921" s="289">
        <v>10440</v>
      </c>
      <c r="AN1921" s="289">
        <f t="shared" si="282"/>
        <v>0</v>
      </c>
      <c r="AO1921" s="1"/>
      <c r="AP1921" s="1"/>
    </row>
    <row r="1922" spans="2:42">
      <c r="C1922" s="245"/>
      <c r="D1922" s="26"/>
      <c r="E1922" s="57"/>
      <c r="F1922" s="10"/>
      <c r="G1922" s="10"/>
      <c r="H1922" s="10"/>
      <c r="I1922" s="8"/>
      <c r="J1922" s="8"/>
      <c r="K1922" s="8"/>
      <c r="L1922" s="8"/>
      <c r="P1922" s="8"/>
    </row>
    <row r="1923" spans="2:42" ht="12.75" customHeight="1">
      <c r="B1923" s="212" t="str">
        <f>IF($C$1="ENG","For additonal charge:","Послуги за додаткову плату:")</f>
        <v>Послуги за додаткову плату:</v>
      </c>
      <c r="C1923" s="420"/>
      <c r="D1923" s="213"/>
      <c r="E1923" s="214"/>
      <c r="F1923" s="26"/>
      <c r="G1923" s="57"/>
      <c r="H1923" s="10"/>
      <c r="I1923" s="8"/>
      <c r="J1923" s="8"/>
      <c r="K1923" s="8"/>
    </row>
    <row r="1924" spans="2:42" ht="4.5" customHeight="1">
      <c r="B1924" s="99"/>
      <c r="C1924" s="422"/>
      <c r="D1924" s="26"/>
      <c r="E1924" s="57"/>
      <c r="F1924" s="26"/>
      <c r="G1924" s="26"/>
      <c r="H1924" s="10"/>
      <c r="I1924" s="8"/>
      <c r="J1924" s="8"/>
      <c r="K1924" s="8"/>
    </row>
    <row r="1925" spans="2:42">
      <c r="B1925" s="539" t="str">
        <f>IF($C$1="ENG","glazing Triplex mat / black","скло Триплекс матовий / чорний")</f>
        <v>скло Триплекс матовий / чорний</v>
      </c>
      <c r="C1925" s="540"/>
      <c r="D1925" s="101">
        <f t="shared" ref="D1925:D1934" si="283">IF(AC1925="","",(1-$W$2)*(AC1925/1.2))</f>
        <v>1125</v>
      </c>
      <c r="E1925" s="92">
        <f t="shared" ref="E1925:E1933" si="284">IF($W$5=0.2,D1925*1.2,D1925)/$W$4</f>
        <v>1350</v>
      </c>
      <c r="F1925" s="26"/>
      <c r="G1925" s="26"/>
      <c r="I1925" s="11"/>
      <c r="J1925" s="11"/>
      <c r="K1925" s="19"/>
      <c r="AC1925" s="289">
        <v>1350</v>
      </c>
      <c r="AD1925" s="289">
        <v>1350</v>
      </c>
      <c r="AE1925" s="289">
        <f>AD1925/AC1925-1</f>
        <v>0</v>
      </c>
      <c r="AF1925" s="289"/>
      <c r="AG1925" s="289"/>
      <c r="AH1925" s="289"/>
      <c r="AI1925" s="289"/>
      <c r="AJ1925" s="289"/>
      <c r="AK1925" s="289"/>
      <c r="AL1925" s="289"/>
    </row>
    <row r="1926" spans="2:42">
      <c r="B1926" s="532" t="str">
        <f>IF($C$1="ENG","glazing Graphite / Bronze","скло Графіт / Бронза")</f>
        <v>скло Графіт / Бронза</v>
      </c>
      <c r="C1926" s="533"/>
      <c r="D1926" s="102">
        <f t="shared" si="283"/>
        <v>766.66666666666674</v>
      </c>
      <c r="E1926" s="93">
        <f t="shared" si="284"/>
        <v>920.00000000000011</v>
      </c>
      <c r="F1926" s="26"/>
      <c r="G1926" s="141"/>
      <c r="AC1926" s="289">
        <v>920</v>
      </c>
      <c r="AD1926" s="289">
        <v>920</v>
      </c>
      <c r="AE1926" s="289">
        <f t="shared" ref="AE1926:AE1933" si="285">AD1926/AC1926-1</f>
        <v>0</v>
      </c>
      <c r="AF1926" s="289"/>
      <c r="AG1926" s="289"/>
      <c r="AH1926" s="289"/>
      <c r="AI1926" s="289"/>
      <c r="AJ1926" s="289"/>
      <c r="AK1926" s="289"/>
      <c r="AL1926" s="289"/>
    </row>
    <row r="1927" spans="2:42">
      <c r="B1927" s="532" t="str">
        <f>IF($C$1="ENG","door lock Soft","замок Soft")</f>
        <v>замок Soft</v>
      </c>
      <c r="C1927" s="533"/>
      <c r="D1927" s="102">
        <f t="shared" si="283"/>
        <v>466.66666666666669</v>
      </c>
      <c r="E1927" s="93">
        <f t="shared" si="284"/>
        <v>560</v>
      </c>
      <c r="F1927" s="26"/>
      <c r="G1927" s="26"/>
      <c r="H1927" s="5"/>
      <c r="AC1927" s="289">
        <v>560</v>
      </c>
      <c r="AD1927" s="289">
        <v>560</v>
      </c>
      <c r="AE1927" s="289">
        <f t="shared" si="285"/>
        <v>0</v>
      </c>
      <c r="AF1927" s="289"/>
      <c r="AG1927" s="289"/>
      <c r="AH1927" s="289"/>
      <c r="AI1927" s="289"/>
      <c r="AJ1927" s="289"/>
      <c r="AK1927" s="289"/>
      <c r="AL1927" s="289"/>
    </row>
    <row r="1928" spans="2:42">
      <c r="B1928" s="532" t="str">
        <f>IF($C$1="ENG","door lock Soft black","замок Soft чорн.")</f>
        <v>замок Soft чорн.</v>
      </c>
      <c r="C1928" s="533"/>
      <c r="D1928" s="102">
        <f t="shared" ref="D1928" si="286">IF(AC1928="","",(1-$W$2)*(AC1928/1.2))</f>
        <v>566.66666666666674</v>
      </c>
      <c r="E1928" s="93">
        <f t="shared" ref="E1928" si="287">IF($W$5=0.2,D1928*1.2,D1928)/$W$4</f>
        <v>680.00000000000011</v>
      </c>
      <c r="F1928" s="26"/>
      <c r="G1928" s="26"/>
      <c r="H1928" s="5"/>
      <c r="AC1928" s="289">
        <v>680</v>
      </c>
      <c r="AD1928" s="289"/>
      <c r="AE1928" s="289"/>
      <c r="AF1928" s="289"/>
      <c r="AG1928" s="289"/>
      <c r="AH1928" s="289"/>
      <c r="AI1928" s="289"/>
      <c r="AJ1928" s="289"/>
      <c r="AK1928" s="289"/>
      <c r="AL1928" s="289"/>
    </row>
    <row r="1929" spans="2:42">
      <c r="B1929" s="532" t="str">
        <f>IF($C$1="ENG","door lock Magnet","замок Magnet")</f>
        <v>замок Magnet</v>
      </c>
      <c r="C1929" s="533"/>
      <c r="D1929" s="102">
        <f t="shared" si="283"/>
        <v>666.66666666666674</v>
      </c>
      <c r="E1929" s="93">
        <f t="shared" si="284"/>
        <v>800.00000000000011</v>
      </c>
      <c r="F1929" s="26"/>
      <c r="G1929" s="26"/>
      <c r="H1929" s="5"/>
      <c r="AC1929" s="289">
        <v>800</v>
      </c>
      <c r="AD1929" s="289">
        <v>800</v>
      </c>
      <c r="AE1929" s="289">
        <f t="shared" si="285"/>
        <v>0</v>
      </c>
      <c r="AF1929" s="289"/>
      <c r="AG1929" s="289"/>
      <c r="AH1929" s="289"/>
      <c r="AI1929" s="289"/>
      <c r="AJ1929" s="289"/>
      <c r="AK1929" s="289"/>
      <c r="AL1929" s="289"/>
    </row>
    <row r="1930" spans="2:42">
      <c r="B1930" s="532" t="s">
        <v>75</v>
      </c>
      <c r="C1930" s="533"/>
      <c r="D1930" s="102">
        <f t="shared" ref="D1930" si="288">IF(AC1930="","",(1-$W$2)*(AC1930/1.2))</f>
        <v>833.33333333333337</v>
      </c>
      <c r="E1930" s="93">
        <f t="shared" ref="E1930" si="289">IF($W$5=0.2,D1930*1.2,D1930)/$W$4</f>
        <v>1000</v>
      </c>
      <c r="F1930" s="26"/>
      <c r="G1930" s="26"/>
      <c r="H1930" s="5"/>
      <c r="AC1930" s="289">
        <v>1000</v>
      </c>
      <c r="AD1930" s="289"/>
      <c r="AE1930" s="289"/>
      <c r="AF1930" s="289"/>
      <c r="AG1930" s="289"/>
      <c r="AH1930" s="289"/>
      <c r="AI1930" s="289"/>
      <c r="AJ1930" s="289"/>
      <c r="AK1930" s="289"/>
      <c r="AL1930" s="289"/>
    </row>
    <row r="1931" spans="2:42">
      <c r="B1931" s="532" t="str">
        <f>IF($C$1="ENG","cylinder incert","циліндр несиметричний")</f>
        <v>циліндр несиметричний</v>
      </c>
      <c r="C1931" s="533"/>
      <c r="D1931" s="133">
        <f t="shared" si="283"/>
        <v>325</v>
      </c>
      <c r="E1931" s="66">
        <f t="shared" si="284"/>
        <v>390</v>
      </c>
      <c r="F1931" s="26"/>
      <c r="G1931" s="26"/>
      <c r="AC1931" s="289">
        <v>390</v>
      </c>
      <c r="AD1931" s="289">
        <v>390</v>
      </c>
      <c r="AE1931" s="289">
        <f t="shared" si="285"/>
        <v>0</v>
      </c>
      <c r="AF1931" s="289"/>
      <c r="AG1931" s="289"/>
      <c r="AH1931" s="289"/>
      <c r="AI1931" s="289"/>
      <c r="AJ1931" s="289"/>
      <c r="AK1931" s="289"/>
      <c r="AL1931" s="289"/>
    </row>
    <row r="1932" spans="2:42">
      <c r="B1932" s="532" t="str">
        <f>IF($C$1="ENG","door hindge Prestige (1 unit)","завіса Prestige (1 шт)")</f>
        <v>завіса Prestige (1 шт)</v>
      </c>
      <c r="C1932" s="533"/>
      <c r="D1932" s="135">
        <f t="shared" si="283"/>
        <v>216.66666666666669</v>
      </c>
      <c r="E1932" s="66">
        <f t="shared" si="284"/>
        <v>260</v>
      </c>
      <c r="F1932" s="26"/>
      <c r="G1932" s="26"/>
      <c r="AC1932" s="289">
        <v>260</v>
      </c>
      <c r="AD1932" s="289">
        <v>260</v>
      </c>
      <c r="AE1932" s="289">
        <f t="shared" si="285"/>
        <v>0</v>
      </c>
      <c r="AF1932" s="289"/>
      <c r="AG1932" s="289"/>
      <c r="AH1932" s="289"/>
      <c r="AI1932" s="289"/>
      <c r="AJ1932" s="289"/>
      <c r="AK1932" s="289"/>
      <c r="AL1932" s="289"/>
    </row>
    <row r="1933" spans="2:42">
      <c r="B1933" s="532" t="str">
        <f>IF($C$1="ENG","door hinge caps (1 set)","накладка на завіси (1 к-т)")</f>
        <v>накладка на завіси (1 к-т)</v>
      </c>
      <c r="C1933" s="533"/>
      <c r="D1933" s="135">
        <f t="shared" si="283"/>
        <v>66.666666666666671</v>
      </c>
      <c r="E1933" s="66">
        <f t="shared" si="284"/>
        <v>80</v>
      </c>
      <c r="F1933" s="26"/>
      <c r="G1933" s="26"/>
      <c r="AC1933" s="289">
        <v>80</v>
      </c>
      <c r="AD1933" s="289">
        <v>80</v>
      </c>
      <c r="AE1933" s="289">
        <f t="shared" si="285"/>
        <v>0</v>
      </c>
      <c r="AF1933" s="289"/>
      <c r="AG1933" s="289"/>
      <c r="AH1933" s="289"/>
      <c r="AI1933" s="289"/>
      <c r="AJ1933" s="289"/>
      <c r="AK1933" s="289"/>
      <c r="AL1933" s="289"/>
    </row>
    <row r="1934" spans="2:42">
      <c r="B1934" s="532" t="str">
        <f>IF($C$1="ENG","door handle","дверна ручка")</f>
        <v>дверна ручка</v>
      </c>
      <c r="C1934" s="533"/>
      <c r="D1934" s="134" t="str">
        <f t="shared" si="283"/>
        <v/>
      </c>
      <c r="E1934" s="247" t="str">
        <f>IF($C$1="ENG","see Handles Price","див. Таблицю Ручки")</f>
        <v>див. Таблицю Ручки</v>
      </c>
      <c r="F1934" s="26"/>
      <c r="G1934" s="26"/>
      <c r="AC1934" s="289"/>
      <c r="AD1934" s="289"/>
      <c r="AE1934" s="289"/>
      <c r="AF1934" s="289"/>
      <c r="AG1934" s="289"/>
      <c r="AH1934" s="289"/>
      <c r="AI1934" s="289"/>
      <c r="AJ1934" s="289"/>
      <c r="AK1934" s="289"/>
      <c r="AL1934" s="289"/>
    </row>
    <row r="1935" spans="2:42" ht="14.25" customHeight="1">
      <c r="C1935" s="245"/>
      <c r="D1935" s="26"/>
      <c r="E1935" s="26"/>
      <c r="F1935" s="26"/>
      <c r="G1935" s="26"/>
      <c r="H1935" s="5"/>
      <c r="T1935" s="525" t="str">
        <f>IF($C$1="ENG",CONCATENATE("down to: ",B1985),CONCATENATE("вниз до: ",B1985))</f>
        <v>вниз до: Полотна скляні: ГЛАСФОРД</v>
      </c>
      <c r="U1935" s="525"/>
      <c r="V1935" s="525"/>
      <c r="W1935" s="525"/>
    </row>
    <row r="1936" spans="2:42" ht="14.25" customHeight="1">
      <c r="C1936" s="245"/>
      <c r="D1936" s="26"/>
      <c r="E1936" s="26"/>
      <c r="F1936" s="26"/>
      <c r="G1936" s="26"/>
      <c r="H1936" s="5"/>
    </row>
    <row r="1937" spans="3:8" ht="14.25" customHeight="1">
      <c r="C1937" s="245"/>
      <c r="D1937" s="26"/>
      <c r="E1937" s="26"/>
      <c r="F1937" s="26"/>
      <c r="G1937" s="26"/>
      <c r="H1937" s="5"/>
    </row>
    <row r="1938" spans="3:8" ht="14.25" customHeight="1">
      <c r="C1938" s="245"/>
      <c r="D1938" s="26"/>
      <c r="E1938" s="26"/>
      <c r="F1938" s="26"/>
      <c r="G1938" s="26"/>
      <c r="H1938" s="5"/>
    </row>
    <row r="1939" spans="3:8" ht="14.25" customHeight="1">
      <c r="C1939" s="245"/>
      <c r="D1939" s="26"/>
      <c r="E1939" s="26"/>
      <c r="F1939" s="26"/>
      <c r="G1939" s="26"/>
      <c r="H1939" s="5"/>
    </row>
    <row r="1940" spans="3:8" ht="14.25" customHeight="1">
      <c r="C1940" s="245"/>
      <c r="D1940" s="26"/>
      <c r="E1940" s="26"/>
      <c r="F1940" s="26"/>
      <c r="G1940" s="26"/>
      <c r="H1940" s="5"/>
    </row>
    <row r="1941" spans="3:8" ht="14.25" customHeight="1">
      <c r="C1941" s="245"/>
      <c r="D1941" s="26"/>
      <c r="E1941" s="26"/>
      <c r="F1941" s="26"/>
      <c r="G1941" s="26"/>
      <c r="H1941" s="5"/>
    </row>
    <row r="1942" spans="3:8" ht="14.25" customHeight="1">
      <c r="C1942" s="245"/>
      <c r="D1942" s="26"/>
      <c r="E1942" s="26"/>
      <c r="F1942" s="26"/>
      <c r="G1942" s="26"/>
      <c r="H1942" s="5"/>
    </row>
    <row r="1943" spans="3:8" ht="14.25" customHeight="1">
      <c r="C1943" s="245"/>
      <c r="D1943" s="26"/>
      <c r="E1943" s="26"/>
      <c r="F1943" s="26"/>
      <c r="G1943" s="26"/>
      <c r="H1943" s="5"/>
    </row>
    <row r="1944" spans="3:8" ht="14.25" customHeight="1">
      <c r="C1944" s="245"/>
      <c r="D1944" s="26"/>
      <c r="E1944" s="26"/>
      <c r="F1944" s="26"/>
      <c r="G1944" s="26"/>
      <c r="H1944" s="5"/>
    </row>
    <row r="1945" spans="3:8" ht="14.25" customHeight="1">
      <c r="C1945" s="245"/>
      <c r="D1945" s="26"/>
      <c r="E1945" s="26"/>
      <c r="F1945" s="26"/>
      <c r="G1945" s="26"/>
      <c r="H1945" s="5"/>
    </row>
    <row r="1946" spans="3:8" ht="14.25" customHeight="1">
      <c r="C1946" s="245"/>
      <c r="D1946" s="26"/>
      <c r="E1946" s="26"/>
      <c r="F1946" s="26"/>
      <c r="G1946" s="26"/>
      <c r="H1946" s="5"/>
    </row>
    <row r="1947" spans="3:8" ht="14.25" customHeight="1">
      <c r="C1947" s="245"/>
      <c r="D1947" s="26"/>
      <c r="E1947" s="26"/>
      <c r="F1947" s="26"/>
      <c r="G1947" s="26"/>
      <c r="H1947" s="5"/>
    </row>
    <row r="1948" spans="3:8" ht="14.25" customHeight="1">
      <c r="C1948" s="245"/>
      <c r="D1948" s="26"/>
      <c r="E1948" s="26"/>
      <c r="F1948" s="26"/>
      <c r="G1948" s="26"/>
      <c r="H1948" s="5"/>
    </row>
    <row r="1949" spans="3:8" ht="14.25" customHeight="1">
      <c r="C1949" s="245"/>
      <c r="D1949" s="26"/>
      <c r="E1949" s="26"/>
      <c r="F1949" s="26"/>
      <c r="G1949" s="26"/>
      <c r="H1949" s="5"/>
    </row>
    <row r="1950" spans="3:8" ht="14.25" customHeight="1">
      <c r="C1950" s="245"/>
      <c r="D1950" s="26"/>
      <c r="E1950" s="26"/>
      <c r="F1950" s="26"/>
      <c r="G1950" s="26"/>
      <c r="H1950" s="5"/>
    </row>
    <row r="1951" spans="3:8" ht="14.25" customHeight="1">
      <c r="C1951" s="245"/>
      <c r="D1951" s="26"/>
      <c r="E1951" s="26"/>
      <c r="F1951" s="26"/>
      <c r="G1951" s="26"/>
      <c r="H1951" s="5"/>
    </row>
    <row r="1952" spans="3:8" ht="14.25" customHeight="1">
      <c r="C1952" s="245"/>
      <c r="D1952" s="26"/>
      <c r="E1952" s="26"/>
      <c r="F1952" s="26"/>
      <c r="G1952" s="26"/>
      <c r="H1952" s="5"/>
    </row>
    <row r="1953" spans="3:8" ht="14.25" customHeight="1">
      <c r="C1953" s="245"/>
      <c r="D1953" s="26"/>
      <c r="E1953" s="26"/>
      <c r="F1953" s="26"/>
      <c r="G1953" s="26"/>
      <c r="H1953" s="5"/>
    </row>
    <row r="1954" spans="3:8" ht="14.25" customHeight="1">
      <c r="C1954" s="245"/>
      <c r="D1954" s="26"/>
      <c r="E1954" s="26"/>
      <c r="F1954" s="26"/>
      <c r="G1954" s="26"/>
      <c r="H1954" s="5"/>
    </row>
    <row r="1955" spans="3:8" ht="14.25" customHeight="1">
      <c r="C1955" s="245"/>
      <c r="D1955" s="26"/>
      <c r="E1955" s="26"/>
      <c r="F1955" s="26"/>
      <c r="G1955" s="26"/>
      <c r="H1955" s="5"/>
    </row>
    <row r="1956" spans="3:8" ht="14.25" customHeight="1">
      <c r="C1956" s="245"/>
      <c r="D1956" s="26"/>
      <c r="E1956" s="26"/>
      <c r="F1956" s="26"/>
      <c r="G1956" s="26"/>
      <c r="H1956" s="5"/>
    </row>
    <row r="1957" spans="3:8" ht="14.25" customHeight="1">
      <c r="C1957" s="245"/>
      <c r="D1957" s="26"/>
      <c r="E1957" s="26"/>
      <c r="F1957" s="26"/>
      <c r="G1957" s="26"/>
      <c r="H1957" s="5"/>
    </row>
    <row r="1958" spans="3:8" ht="14.25" customHeight="1">
      <c r="C1958" s="245"/>
      <c r="D1958" s="26"/>
      <c r="E1958" s="26"/>
      <c r="F1958" s="26"/>
      <c r="G1958" s="26"/>
      <c r="H1958" s="5"/>
    </row>
    <row r="1959" spans="3:8" ht="14.25" customHeight="1">
      <c r="C1959" s="245"/>
      <c r="D1959" s="26"/>
      <c r="E1959" s="26"/>
      <c r="F1959" s="26"/>
      <c r="G1959" s="26"/>
      <c r="H1959" s="5"/>
    </row>
    <row r="1960" spans="3:8" ht="14.25" customHeight="1">
      <c r="C1960" s="245"/>
      <c r="D1960" s="26"/>
      <c r="E1960" s="26"/>
      <c r="F1960" s="26"/>
      <c r="G1960" s="26"/>
      <c r="H1960" s="5"/>
    </row>
    <row r="1961" spans="3:8" ht="14.25" customHeight="1">
      <c r="C1961" s="245"/>
      <c r="D1961" s="26"/>
      <c r="E1961" s="26"/>
      <c r="F1961" s="26"/>
      <c r="G1961" s="26"/>
      <c r="H1961" s="5"/>
    </row>
    <row r="1962" spans="3:8" ht="14.25" customHeight="1">
      <c r="C1962" s="245"/>
      <c r="D1962" s="26"/>
      <c r="E1962" s="26"/>
      <c r="F1962" s="26"/>
      <c r="G1962" s="26"/>
      <c r="H1962" s="5"/>
    </row>
    <row r="1963" spans="3:8" ht="14.25" customHeight="1">
      <c r="C1963" s="245"/>
      <c r="D1963" s="26"/>
      <c r="E1963" s="26"/>
      <c r="F1963" s="26"/>
      <c r="G1963" s="26"/>
      <c r="H1963" s="5"/>
    </row>
    <row r="1964" spans="3:8" ht="14.25" customHeight="1">
      <c r="C1964" s="245"/>
      <c r="D1964" s="26"/>
      <c r="E1964" s="26"/>
      <c r="F1964" s="26"/>
      <c r="G1964" s="26"/>
      <c r="H1964" s="5"/>
    </row>
    <row r="1965" spans="3:8" ht="14.25" customHeight="1">
      <c r="C1965" s="245"/>
      <c r="D1965" s="26"/>
      <c r="E1965" s="26"/>
      <c r="F1965" s="26"/>
      <c r="G1965" s="26"/>
      <c r="H1965" s="5"/>
    </row>
    <row r="1966" spans="3:8" ht="14.25" customHeight="1">
      <c r="C1966" s="245"/>
      <c r="D1966" s="26"/>
      <c r="E1966" s="26"/>
      <c r="F1966" s="26"/>
      <c r="G1966" s="26"/>
      <c r="H1966" s="5"/>
    </row>
    <row r="1967" spans="3:8" ht="14.25" customHeight="1">
      <c r="C1967" s="245"/>
      <c r="D1967" s="26"/>
      <c r="E1967" s="26"/>
      <c r="F1967" s="26"/>
      <c r="G1967" s="26"/>
      <c r="H1967" s="5"/>
    </row>
    <row r="1968" spans="3:8" ht="14.25" customHeight="1">
      <c r="C1968" s="245"/>
      <c r="D1968" s="26"/>
      <c r="E1968" s="26"/>
      <c r="F1968" s="26"/>
      <c r="G1968" s="26"/>
      <c r="H1968" s="5"/>
    </row>
    <row r="1969" spans="3:8" ht="14.25" customHeight="1">
      <c r="C1969" s="245"/>
      <c r="D1969" s="26"/>
      <c r="E1969" s="26"/>
      <c r="F1969" s="26"/>
      <c r="G1969" s="26"/>
      <c r="H1969" s="5"/>
    </row>
    <row r="1970" spans="3:8" ht="14.25" customHeight="1">
      <c r="C1970" s="245"/>
      <c r="D1970" s="26"/>
      <c r="E1970" s="26"/>
      <c r="F1970" s="26"/>
      <c r="G1970" s="26"/>
      <c r="H1970" s="5"/>
    </row>
    <row r="1971" spans="3:8" ht="14.25" customHeight="1">
      <c r="C1971" s="245"/>
      <c r="D1971" s="26"/>
      <c r="E1971" s="26"/>
      <c r="F1971" s="26"/>
      <c r="G1971" s="26"/>
      <c r="H1971" s="5"/>
    </row>
    <row r="1972" spans="3:8" ht="14.25" customHeight="1">
      <c r="C1972" s="245"/>
      <c r="D1972" s="26"/>
      <c r="E1972" s="26"/>
      <c r="F1972" s="26"/>
      <c r="G1972" s="26"/>
      <c r="H1972" s="5"/>
    </row>
    <row r="1973" spans="3:8" ht="14.25" customHeight="1">
      <c r="C1973" s="245"/>
      <c r="D1973" s="26"/>
      <c r="E1973" s="26"/>
      <c r="F1973" s="26"/>
      <c r="G1973" s="26"/>
      <c r="H1973" s="5"/>
    </row>
    <row r="1974" spans="3:8" ht="14.25" customHeight="1">
      <c r="C1974" s="245"/>
      <c r="D1974" s="26"/>
      <c r="E1974" s="26"/>
      <c r="F1974" s="26"/>
      <c r="G1974" s="26"/>
      <c r="H1974" s="5"/>
    </row>
    <row r="1975" spans="3:8" ht="14.25" customHeight="1">
      <c r="C1975" s="245"/>
      <c r="D1975" s="26"/>
      <c r="E1975" s="26"/>
      <c r="F1975" s="26"/>
      <c r="G1975" s="26"/>
      <c r="H1975" s="5"/>
    </row>
    <row r="1976" spans="3:8" ht="14.25" customHeight="1">
      <c r="C1976" s="245"/>
      <c r="D1976" s="26"/>
      <c r="E1976" s="26"/>
      <c r="F1976" s="26"/>
      <c r="G1976" s="26"/>
      <c r="H1976" s="5"/>
    </row>
    <row r="1977" spans="3:8" ht="14.25" customHeight="1">
      <c r="C1977" s="245"/>
      <c r="D1977" s="26"/>
      <c r="E1977" s="26"/>
      <c r="F1977" s="26"/>
      <c r="G1977" s="26"/>
      <c r="H1977" s="5"/>
    </row>
    <row r="1978" spans="3:8" ht="14.25" customHeight="1">
      <c r="C1978" s="245"/>
      <c r="D1978" s="26"/>
      <c r="E1978" s="26"/>
      <c r="F1978" s="26"/>
      <c r="G1978" s="26"/>
      <c r="H1978" s="5"/>
    </row>
    <row r="1979" spans="3:8" ht="14.25" customHeight="1">
      <c r="C1979" s="245"/>
      <c r="D1979" s="26"/>
      <c r="E1979" s="26"/>
      <c r="F1979" s="26"/>
      <c r="G1979" s="26"/>
      <c r="H1979" s="5"/>
    </row>
    <row r="1980" spans="3:8" ht="14.25" customHeight="1">
      <c r="C1980" s="245"/>
      <c r="D1980" s="26"/>
      <c r="E1980" s="26"/>
      <c r="F1980" s="26"/>
      <c r="G1980" s="26"/>
      <c r="H1980" s="5"/>
    </row>
    <row r="1981" spans="3:8" ht="14.25" customHeight="1">
      <c r="C1981" s="245"/>
      <c r="D1981" s="26"/>
      <c r="E1981" s="26"/>
      <c r="F1981" s="26"/>
      <c r="G1981" s="26"/>
      <c r="H1981" s="5"/>
    </row>
    <row r="1982" spans="3:8" ht="14.25" customHeight="1">
      <c r="C1982" s="245"/>
      <c r="D1982" s="26"/>
      <c r="E1982" s="26"/>
      <c r="F1982" s="26"/>
      <c r="G1982" s="26"/>
      <c r="H1982" s="5"/>
    </row>
    <row r="1983" spans="3:8" ht="14.25" customHeight="1">
      <c r="C1983" s="245"/>
      <c r="D1983" s="26"/>
      <c r="E1983" s="26"/>
      <c r="F1983" s="26"/>
      <c r="G1983" s="26"/>
      <c r="H1983" s="5"/>
    </row>
    <row r="1984" spans="3:8" ht="14.25" customHeight="1">
      <c r="C1984" s="245"/>
      <c r="D1984" s="26"/>
      <c r="E1984" s="26"/>
      <c r="F1984" s="26"/>
      <c r="G1984" s="26"/>
      <c r="H1984" s="5"/>
    </row>
    <row r="1985" spans="1:46" s="8" customFormat="1">
      <c r="B1985" s="518" t="str">
        <f>TITLE!$C$35</f>
        <v>Полотна скляні: ГЛАСФОРД</v>
      </c>
      <c r="C1985" s="518"/>
      <c r="D1985" s="118"/>
      <c r="E1985" s="118"/>
      <c r="F1985" s="118"/>
      <c r="G1985" s="118"/>
      <c r="H1985" s="118"/>
      <c r="I1985" s="121"/>
      <c r="J1985" s="121"/>
      <c r="K1985" s="121"/>
      <c r="L1985" s="121"/>
      <c r="M1985" s="121"/>
      <c r="N1985" s="121"/>
      <c r="O1985" s="121"/>
      <c r="P1985" s="121"/>
      <c r="Q1985" s="121"/>
      <c r="R1985" s="121"/>
      <c r="S1985" s="121"/>
      <c r="T1985" s="529" t="str">
        <f>IF($C$1="ENG",CONCATENATE("up to: ",B1910),CONCATENATE("вгору до: ",B1910))</f>
        <v>вгору до: Полотна скляні: ЕЛЕГАНТ</v>
      </c>
      <c r="U1985" s="529"/>
      <c r="V1985" s="529"/>
      <c r="W1985" s="529"/>
      <c r="AE1985" s="289">
        <f>AD1985/100*12+AD1985</f>
        <v>0</v>
      </c>
      <c r="AF1985" s="289" t="e">
        <f>AE1985/AD1985-1</f>
        <v>#DIV/0!</v>
      </c>
      <c r="AN1985" s="280"/>
      <c r="AO1985" s="280"/>
      <c r="AP1985" s="280"/>
      <c r="AQ1985" s="280"/>
      <c r="AR1985" s="280"/>
      <c r="AS1985" s="280"/>
      <c r="AT1985" s="280"/>
    </row>
    <row r="1986" spans="1:46" s="8" customFormat="1" ht="5.0999999999999996" customHeight="1">
      <c r="C1986" s="423"/>
      <c r="T1986" s="115"/>
      <c r="U1986" s="115"/>
      <c r="V1986" s="115"/>
      <c r="W1986" s="115"/>
      <c r="AN1986" s="280"/>
      <c r="AO1986" s="280"/>
      <c r="AP1986" s="280"/>
      <c r="AQ1986" s="280"/>
      <c r="AR1986" s="280"/>
      <c r="AS1986" s="280"/>
      <c r="AT1986" s="280"/>
    </row>
    <row r="1987" spans="1:46" ht="12.75" customHeight="1">
      <c r="A1987" s="8"/>
      <c r="B1987" s="536" t="str">
        <f>IF($C$1="ENG","model","модель")</f>
        <v>модель</v>
      </c>
      <c r="C1987" s="122" t="str">
        <f>IF($C$1="ENG","cover:","покриття:")</f>
        <v>покриття:</v>
      </c>
      <c r="D1987" s="522" t="str">
        <f>IF($C$1="ENG","GLASS","СКЛО")</f>
        <v>СКЛО</v>
      </c>
      <c r="E1987" s="524"/>
      <c r="F1987" s="10"/>
      <c r="G1987" s="10"/>
      <c r="H1987" s="10"/>
      <c r="I1987" s="8"/>
      <c r="J1987" s="8"/>
      <c r="K1987" s="8"/>
      <c r="L1987" s="8"/>
      <c r="M1987" s="11"/>
      <c r="P1987" s="8"/>
      <c r="Q1987" s="11"/>
    </row>
    <row r="1988" spans="1:46" ht="12.75" customHeight="1">
      <c r="A1988" s="8"/>
      <c r="B1988" s="537"/>
      <c r="C1988" s="123" t="str">
        <f>IF($C$1="ENG","filling:","заповнення:")</f>
        <v>заповнення:</v>
      </c>
      <c r="D1988" s="527" t="str">
        <f>IF($C$1="ENG","tempered glass","гартоване скло")</f>
        <v>гартоване скло</v>
      </c>
      <c r="E1988" s="528"/>
      <c r="F1988" s="10"/>
      <c r="G1988" s="10"/>
      <c r="H1988" s="10"/>
      <c r="I1988" s="8"/>
      <c r="J1988" s="8"/>
      <c r="K1988" s="8"/>
      <c r="L1988" s="8"/>
      <c r="M1988" s="11"/>
      <c r="P1988" s="8"/>
      <c r="Q1988" s="11"/>
    </row>
    <row r="1989" spans="1:46">
      <c r="A1989" s="8"/>
      <c r="B1989" s="538"/>
      <c r="C1989" s="124" t="str">
        <f>IF($C$1="ENG","glazing:","скління:")</f>
        <v>скління:</v>
      </c>
      <c r="D1989" s="513" t="str">
        <f>IF($C$1="ENG","Drawing / Satin (1)","Малюнок / Сатин (1)")</f>
        <v>Малюнок / Сатин (1)</v>
      </c>
      <c r="E1989" s="516"/>
      <c r="F1989" s="10"/>
      <c r="G1989" s="10"/>
      <c r="H1989" s="10"/>
      <c r="I1989" s="8"/>
      <c r="J1989" s="8"/>
      <c r="K1989" s="8"/>
      <c r="L1989" s="40"/>
      <c r="M1989" s="41"/>
      <c r="N1989" s="19"/>
      <c r="O1989" s="19"/>
      <c r="P1989" s="40"/>
      <c r="Q1989" s="41"/>
      <c r="R1989" s="19"/>
      <c r="S1989" s="19"/>
      <c r="T1989" s="42"/>
      <c r="U1989" s="30"/>
      <c r="W1989" s="20"/>
      <c r="X1989" s="22"/>
      <c r="Y1989" s="22"/>
      <c r="Z1989" s="22"/>
      <c r="AA1989" s="22"/>
      <c r="AB1989" s="22"/>
    </row>
    <row r="1990" spans="1:46" ht="35.1" customHeight="1">
      <c r="A1990" s="8"/>
      <c r="B1990" s="13">
        <v>1</v>
      </c>
      <c r="C1990" s="14"/>
      <c r="D1990" s="15">
        <f>IF(AC1990="","",(1-$W$2)*(AC1990/1.2))</f>
        <v>13750</v>
      </c>
      <c r="E1990" s="64">
        <f>IF($W$5=0.2,D1990*1.2,D1990)/$W$4</f>
        <v>16500</v>
      </c>
      <c r="F1990" s="10"/>
      <c r="G1990" s="10"/>
      <c r="H1990" s="10"/>
      <c r="I1990" s="45"/>
      <c r="J1990" s="8"/>
      <c r="K1990" s="43"/>
      <c r="L1990" s="8"/>
      <c r="M1990" s="44"/>
      <c r="N1990" s="19"/>
      <c r="O1990" s="11"/>
      <c r="P1990" s="8"/>
      <c r="Q1990" s="44"/>
      <c r="R1990" s="19"/>
      <c r="S1990" s="11"/>
      <c r="T1990" s="42"/>
      <c r="U1990" s="30"/>
      <c r="W1990" s="20"/>
      <c r="AC1990" s="332">
        <v>16500</v>
      </c>
      <c r="AD1990" s="289">
        <v>16500</v>
      </c>
      <c r="AE1990" s="289">
        <f>AD1990/AC1990-1</f>
        <v>0</v>
      </c>
      <c r="AF1990" s="289"/>
      <c r="AG1990" s="289"/>
      <c r="AH1990" s="289"/>
      <c r="AI1990" s="289"/>
      <c r="AJ1990" s="289"/>
      <c r="AK1990" s="289"/>
      <c r="AL1990" s="289"/>
    </row>
    <row r="1991" spans="1:46" ht="35.1" customHeight="1">
      <c r="A1991" s="8"/>
      <c r="B1991" s="16">
        <v>2</v>
      </c>
      <c r="C1991" s="17"/>
      <c r="D1991" s="18">
        <f>IF(AC1991="","",(1-$W$2)*(AC1991/1.2))</f>
        <v>14375</v>
      </c>
      <c r="E1991" s="66">
        <f>IF($W$5=0.2,D1991*1.2,D1991)/$W$4</f>
        <v>17250</v>
      </c>
      <c r="F1991" s="10"/>
      <c r="G1991" s="10"/>
      <c r="H1991" s="10"/>
      <c r="I1991" s="45"/>
      <c r="J1991" s="8"/>
      <c r="K1991" s="43"/>
      <c r="L1991" s="8"/>
      <c r="M1991" s="41"/>
      <c r="N1991" s="19"/>
      <c r="O1991" s="11"/>
      <c r="P1991" s="8"/>
      <c r="Q1991" s="41"/>
      <c r="R1991" s="19"/>
      <c r="S1991" s="11"/>
      <c r="T1991" s="42"/>
      <c r="U1991" s="30"/>
      <c r="W1991" s="20"/>
      <c r="AC1991" s="332">
        <v>17250</v>
      </c>
      <c r="AD1991" s="289">
        <v>17250</v>
      </c>
      <c r="AE1991" s="289">
        <f t="shared" ref="AE1991:AE1994" si="290">AD1991/AC1991-1</f>
        <v>0</v>
      </c>
      <c r="AF1991" s="289"/>
      <c r="AG1991" s="289"/>
      <c r="AH1991" s="289"/>
      <c r="AI1991" s="289"/>
      <c r="AJ1991" s="289"/>
      <c r="AK1991" s="289"/>
      <c r="AL1991" s="289"/>
    </row>
    <row r="1992" spans="1:46" ht="35.1" customHeight="1">
      <c r="A1992" s="8"/>
      <c r="B1992" s="16">
        <v>3</v>
      </c>
      <c r="C1992" s="17"/>
      <c r="D1992" s="18">
        <f>IF(AC1992="","",(1-$W$2)*(AC1992/1.2))</f>
        <v>14375</v>
      </c>
      <c r="E1992" s="66">
        <f>IF($W$5=0.2,D1992*1.2,D1992)/$W$4</f>
        <v>17250</v>
      </c>
      <c r="F1992" s="10"/>
      <c r="G1992" s="10"/>
      <c r="H1992" s="10"/>
      <c r="I1992" s="45"/>
      <c r="J1992" s="8"/>
      <c r="K1992" s="8"/>
      <c r="L1992" s="8"/>
      <c r="M1992" s="41"/>
      <c r="N1992" s="19"/>
      <c r="O1992" s="11"/>
      <c r="P1992" s="8"/>
      <c r="Q1992" s="41"/>
      <c r="R1992" s="19"/>
      <c r="S1992" s="11"/>
      <c r="T1992" s="42"/>
      <c r="U1992" s="30"/>
      <c r="W1992" s="20"/>
      <c r="AC1992" s="332">
        <v>17250</v>
      </c>
      <c r="AD1992" s="289">
        <v>17250</v>
      </c>
      <c r="AE1992" s="289">
        <f t="shared" si="290"/>
        <v>0</v>
      </c>
      <c r="AF1992" s="289"/>
      <c r="AG1992" s="289"/>
      <c r="AH1992" s="289"/>
      <c r="AI1992" s="289"/>
      <c r="AJ1992" s="289"/>
      <c r="AK1992" s="289"/>
      <c r="AL1992" s="289"/>
    </row>
    <row r="1993" spans="1:46" ht="35.1" customHeight="1">
      <c r="A1993" s="8"/>
      <c r="B1993" s="16">
        <v>4</v>
      </c>
      <c r="C1993" s="17"/>
      <c r="D1993" s="18">
        <f>IF(AC1993="","",(1-$W$2)*(AC1993/1.2))</f>
        <v>14375</v>
      </c>
      <c r="E1993" s="66">
        <f>IF($W$5=0.2,D1993*1.2,D1993)/$W$4</f>
        <v>17250</v>
      </c>
      <c r="F1993" s="10"/>
      <c r="G1993" s="10"/>
      <c r="H1993" s="10"/>
      <c r="I1993" s="45"/>
      <c r="J1993" s="8"/>
      <c r="K1993" s="8"/>
      <c r="L1993" s="8"/>
      <c r="M1993" s="41"/>
      <c r="N1993" s="19"/>
      <c r="O1993" s="11"/>
      <c r="P1993" s="8"/>
      <c r="Q1993" s="41"/>
      <c r="R1993" s="19"/>
      <c r="S1993" s="11"/>
      <c r="T1993" s="42"/>
      <c r="U1993" s="30"/>
      <c r="W1993" s="20"/>
      <c r="AC1993" s="332">
        <v>17250</v>
      </c>
      <c r="AD1993" s="289">
        <v>17250</v>
      </c>
      <c r="AE1993" s="289">
        <f t="shared" si="290"/>
        <v>0</v>
      </c>
      <c r="AF1993" s="289"/>
      <c r="AG1993" s="289"/>
      <c r="AH1993" s="289"/>
      <c r="AI1993" s="289"/>
      <c r="AJ1993" s="289"/>
      <c r="AK1993" s="289"/>
      <c r="AL1993" s="289"/>
    </row>
    <row r="1994" spans="1:46" ht="34.5" customHeight="1">
      <c r="B1994" s="23">
        <v>5</v>
      </c>
      <c r="C1994" s="24"/>
      <c r="D1994" s="25">
        <f>IF(AC1994="","",(1-$W$2)*(AC1994/1.2))</f>
        <v>14375</v>
      </c>
      <c r="E1994" s="69">
        <f>IF($W$5=0.2,D1994*1.2,D1994)/$W$4</f>
        <v>17250</v>
      </c>
      <c r="F1994" s="10"/>
      <c r="G1994" s="10"/>
      <c r="H1994" s="10"/>
      <c r="I1994" s="45"/>
      <c r="J1994" s="8"/>
      <c r="K1994" s="8"/>
      <c r="L1994" s="8"/>
      <c r="P1994" s="8"/>
      <c r="AC1994" s="332">
        <v>17250</v>
      </c>
      <c r="AD1994" s="289">
        <v>17250</v>
      </c>
      <c r="AE1994" s="289">
        <f t="shared" si="290"/>
        <v>0</v>
      </c>
      <c r="AF1994" s="289"/>
      <c r="AG1994" s="289"/>
      <c r="AH1994" s="289"/>
      <c r="AI1994" s="289"/>
      <c r="AJ1994" s="289"/>
      <c r="AK1994" s="289"/>
      <c r="AL1994" s="289"/>
    </row>
    <row r="1995" spans="1:46">
      <c r="C1995" s="245"/>
      <c r="D1995" s="26"/>
      <c r="E1995" s="57"/>
      <c r="F1995" s="10"/>
      <c r="G1995" s="10"/>
      <c r="H1995" s="10"/>
      <c r="I1995" s="8"/>
      <c r="J1995" s="8"/>
      <c r="K1995" s="8"/>
      <c r="L1995" s="8"/>
      <c r="P1995" s="8"/>
    </row>
    <row r="1996" spans="1:46" ht="12.75" customHeight="1">
      <c r="B1996" s="212" t="str">
        <f>IF($C$1="ENG","For additonal charge:","Послуги за додаткову плату:")</f>
        <v>Послуги за додаткову плату:</v>
      </c>
      <c r="C1996" s="420"/>
      <c r="D1996" s="213"/>
      <c r="E1996" s="214"/>
      <c r="F1996" s="39"/>
      <c r="G1996" s="39"/>
      <c r="H1996" s="10"/>
      <c r="I1996" s="8"/>
      <c r="J1996" s="8"/>
      <c r="K1996" s="8"/>
    </row>
    <row r="1997" spans="1:46" ht="4.5" customHeight="1">
      <c r="B1997" s="27"/>
      <c r="C1997" s="245"/>
      <c r="D1997" s="26"/>
      <c r="E1997" s="57"/>
      <c r="F1997" s="26"/>
      <c r="G1997" s="26"/>
      <c r="H1997" s="10"/>
      <c r="I1997" s="8"/>
      <c r="J1997" s="8"/>
      <c r="K1997" s="8"/>
    </row>
    <row r="1998" spans="1:46">
      <c r="B1998" s="539" t="str">
        <f>IF($C$1="ENG","door leaf with width 100","полотно розміром 100")</f>
        <v>полотно розміром 100</v>
      </c>
      <c r="C1998" s="540"/>
      <c r="D1998" s="101">
        <f t="shared" ref="D1998:D2003" si="291">IF(AC1998="","",(1-$W$2)*(AC1998/1.2))</f>
        <v>2750</v>
      </c>
      <c r="E1998" s="64">
        <f t="shared" ref="E1998:E2003" si="292">IF($W$5=0.2,D1998*1.2,D1998)/$W$4</f>
        <v>3300</v>
      </c>
      <c r="F1998" s="26"/>
      <c r="G1998" s="26"/>
      <c r="H1998" s="10"/>
      <c r="I1998" s="8"/>
      <c r="J1998" s="8"/>
      <c r="K1998" s="8"/>
      <c r="AC1998" s="298">
        <v>3300</v>
      </c>
      <c r="AD1998" s="289">
        <v>3300</v>
      </c>
      <c r="AE1998" s="289">
        <f>AD1998/AC1998-1</f>
        <v>0</v>
      </c>
      <c r="AF1998" s="289"/>
      <c r="AG1998" s="289"/>
      <c r="AH1998" s="289"/>
      <c r="AI1998" s="289"/>
      <c r="AJ1998" s="289"/>
      <c r="AK1998" s="289"/>
      <c r="AL1998" s="289"/>
    </row>
    <row r="1999" spans="1:46">
      <c r="B1999" s="532" t="str">
        <f>IF($C$1="ENG","glazing Triplex mat / black","скло Триплекс матовий / чорний")</f>
        <v>скло Триплекс матовий / чорний</v>
      </c>
      <c r="C1999" s="533"/>
      <c r="D1999" s="102">
        <f t="shared" si="291"/>
        <v>1725</v>
      </c>
      <c r="E1999" s="66">
        <f t="shared" si="292"/>
        <v>2070</v>
      </c>
      <c r="F1999" s="26"/>
      <c r="G1999" s="26"/>
      <c r="I1999" s="11"/>
      <c r="J1999" s="11"/>
      <c r="K1999" s="19"/>
      <c r="AC1999" s="298">
        <v>2070</v>
      </c>
      <c r="AD1999" s="289">
        <v>2070</v>
      </c>
      <c r="AE1999" s="289">
        <f>AD1999/AC1999-1</f>
        <v>0</v>
      </c>
      <c r="AF1999" s="289"/>
      <c r="AG1999" s="289"/>
      <c r="AH1999" s="289"/>
      <c r="AI1999" s="289"/>
      <c r="AJ1999" s="289"/>
      <c r="AK1999" s="289"/>
      <c r="AL1999" s="289"/>
    </row>
    <row r="2000" spans="1:46">
      <c r="B2000" s="532" t="str">
        <f>IF($C$1="ENG","glazing Graphite / Bronze","скло Графіт / Бронза")</f>
        <v>скло Графіт / Бронза</v>
      </c>
      <c r="C2000" s="533"/>
      <c r="D2000" s="102">
        <f t="shared" si="291"/>
        <v>1375</v>
      </c>
      <c r="E2000" s="66">
        <f t="shared" si="292"/>
        <v>1650</v>
      </c>
      <c r="F2000" s="26"/>
      <c r="G2000" s="26"/>
      <c r="AC2000" s="298">
        <v>1650</v>
      </c>
      <c r="AD2000" s="289">
        <v>1650</v>
      </c>
      <c r="AE2000" s="289">
        <f t="shared" ref="AE2000:AE2003" si="293">AD2000/AC2000-1</f>
        <v>0</v>
      </c>
      <c r="AF2000" s="289"/>
      <c r="AG2000" s="289"/>
      <c r="AH2000" s="289"/>
      <c r="AI2000" s="289"/>
      <c r="AJ2000" s="289"/>
      <c r="AK2000" s="289"/>
      <c r="AL2000" s="289"/>
    </row>
    <row r="2001" spans="2:38">
      <c r="B2001" s="532" t="str">
        <f>IF($C$1="ENG","glazing Mirror","скло Дзеркало")</f>
        <v>скло Дзеркало</v>
      </c>
      <c r="C2001" s="533"/>
      <c r="D2001" s="102">
        <f t="shared" si="291"/>
        <v>4500</v>
      </c>
      <c r="E2001" s="66">
        <f t="shared" si="292"/>
        <v>5400</v>
      </c>
      <c r="F2001" s="26"/>
      <c r="G2001" s="26"/>
      <c r="AC2001" s="298">
        <v>5400</v>
      </c>
      <c r="AD2001" s="289">
        <v>5400</v>
      </c>
      <c r="AE2001" s="289">
        <f t="shared" si="293"/>
        <v>0</v>
      </c>
      <c r="AF2001" s="289"/>
      <c r="AG2001" s="289"/>
      <c r="AH2001" s="289"/>
      <c r="AI2001" s="289"/>
      <c r="AJ2001" s="289"/>
      <c r="AK2001" s="289"/>
      <c r="AL2001" s="289"/>
    </row>
    <row r="2002" spans="2:38">
      <c r="B2002" s="532" t="str">
        <f>IF($C$1="ENG","door lock Glass regular key / cylinder","замок Glass під ключ / циліндр")</f>
        <v>замок Glass під ключ / циліндр</v>
      </c>
      <c r="C2002" s="533"/>
      <c r="D2002" s="18">
        <f t="shared" si="291"/>
        <v>1033.3333333333335</v>
      </c>
      <c r="E2002" s="66">
        <f t="shared" si="292"/>
        <v>1240.0000000000002</v>
      </c>
      <c r="F2002" s="26"/>
      <c r="G2002" s="26"/>
      <c r="AC2002" s="298">
        <v>1240</v>
      </c>
      <c r="AD2002" s="289">
        <v>1240</v>
      </c>
      <c r="AE2002" s="289">
        <f t="shared" si="293"/>
        <v>0</v>
      </c>
      <c r="AF2002" s="289"/>
      <c r="AG2002" s="289"/>
      <c r="AH2002" s="289"/>
      <c r="AI2002" s="289"/>
      <c r="AJ2002" s="289"/>
      <c r="AK2002" s="289"/>
      <c r="AL2002" s="289"/>
    </row>
    <row r="2003" spans="2:38" ht="14.25" customHeight="1">
      <c r="B2003" s="532" t="str">
        <f>IF($C$1="ENG","door lock Glass bathroom lock","замок Glass сантехнічний")</f>
        <v>замок Glass сантехнічний</v>
      </c>
      <c r="C2003" s="533"/>
      <c r="D2003" s="25">
        <f t="shared" si="291"/>
        <v>2450</v>
      </c>
      <c r="E2003" s="69">
        <f t="shared" si="292"/>
        <v>2940</v>
      </c>
      <c r="F2003" s="141"/>
      <c r="G2003" s="26"/>
      <c r="T2003" s="525" t="str">
        <f>IF($C$1="ENG",CONCATENATE("down to: ",B2053),CONCATENATE("вниз до: ",B2053))</f>
        <v>вниз до: Полотна: ДОБОР LADA</v>
      </c>
      <c r="U2003" s="525"/>
      <c r="V2003" s="525"/>
      <c r="W2003" s="525"/>
      <c r="AC2003" s="298">
        <v>2940</v>
      </c>
      <c r="AD2003" s="289">
        <v>2940</v>
      </c>
      <c r="AE2003" s="289">
        <f t="shared" si="293"/>
        <v>0</v>
      </c>
      <c r="AF2003" s="289"/>
      <c r="AG2003" s="289"/>
      <c r="AH2003" s="289"/>
      <c r="AI2003" s="289"/>
      <c r="AJ2003" s="289"/>
      <c r="AK2003" s="289"/>
      <c r="AL2003" s="289"/>
    </row>
    <row r="2004" spans="2:38" ht="14.25" customHeight="1">
      <c r="C2004" s="245"/>
      <c r="D2004" s="26"/>
      <c r="E2004" s="26"/>
      <c r="F2004" s="26"/>
      <c r="G2004" s="26"/>
      <c r="H2004" s="5"/>
    </row>
    <row r="2005" spans="2:38" ht="14.25" customHeight="1">
      <c r="C2005" s="245"/>
      <c r="D2005" s="26"/>
      <c r="E2005" s="26"/>
      <c r="F2005" s="26"/>
      <c r="G2005" s="26"/>
      <c r="H2005" s="5"/>
    </row>
    <row r="2006" spans="2:38" ht="14.25" customHeight="1">
      <c r="C2006" s="245"/>
      <c r="D2006" s="26"/>
      <c r="E2006" s="26"/>
      <c r="F2006" s="26"/>
      <c r="G2006" s="26"/>
      <c r="H2006" s="5"/>
    </row>
    <row r="2007" spans="2:38" ht="14.25" customHeight="1">
      <c r="C2007" s="245"/>
      <c r="D2007" s="26"/>
      <c r="E2007" s="26"/>
      <c r="F2007" s="26"/>
      <c r="G2007" s="26"/>
      <c r="H2007" s="5"/>
    </row>
    <row r="2008" spans="2:38" ht="14.25" customHeight="1">
      <c r="C2008" s="245"/>
      <c r="D2008" s="26"/>
      <c r="E2008" s="26"/>
      <c r="F2008" s="26"/>
      <c r="G2008" s="26"/>
      <c r="H2008" s="5"/>
    </row>
    <row r="2009" spans="2:38" ht="14.25" customHeight="1">
      <c r="C2009" s="245"/>
      <c r="D2009" s="26"/>
      <c r="E2009" s="26"/>
      <c r="F2009" s="26"/>
      <c r="G2009" s="26"/>
      <c r="H2009" s="5"/>
    </row>
    <row r="2010" spans="2:38" ht="14.25" customHeight="1">
      <c r="C2010" s="245"/>
      <c r="D2010" s="26"/>
      <c r="E2010" s="26"/>
      <c r="F2010" s="26"/>
      <c r="G2010" s="26"/>
      <c r="H2010" s="5"/>
    </row>
    <row r="2011" spans="2:38" ht="14.25" customHeight="1">
      <c r="C2011" s="245"/>
      <c r="D2011" s="26"/>
      <c r="E2011" s="26"/>
      <c r="F2011" s="26"/>
      <c r="G2011" s="26"/>
      <c r="H2011" s="5"/>
    </row>
    <row r="2012" spans="2:38" ht="14.25" customHeight="1">
      <c r="C2012" s="245"/>
      <c r="D2012" s="26"/>
      <c r="E2012" s="26"/>
      <c r="F2012" s="26"/>
      <c r="G2012" s="26"/>
      <c r="H2012" s="5"/>
    </row>
    <row r="2013" spans="2:38" ht="14.25" customHeight="1">
      <c r="C2013" s="245"/>
      <c r="D2013" s="26"/>
      <c r="E2013" s="26"/>
      <c r="F2013" s="26"/>
      <c r="G2013" s="26"/>
      <c r="H2013" s="5"/>
    </row>
    <row r="2014" spans="2:38" ht="14.25" customHeight="1">
      <c r="C2014" s="245"/>
      <c r="D2014" s="26"/>
      <c r="E2014" s="26"/>
      <c r="F2014" s="26"/>
      <c r="G2014" s="26"/>
      <c r="H2014" s="5"/>
    </row>
    <row r="2015" spans="2:38" ht="14.25" customHeight="1">
      <c r="C2015" s="245"/>
      <c r="D2015" s="26"/>
      <c r="E2015" s="26"/>
      <c r="F2015" s="26"/>
      <c r="G2015" s="26"/>
      <c r="H2015" s="5"/>
    </row>
    <row r="2016" spans="2:38" ht="14.25" customHeight="1">
      <c r="C2016" s="245"/>
      <c r="D2016" s="26"/>
      <c r="E2016" s="26"/>
      <c r="F2016" s="26"/>
      <c r="G2016" s="26"/>
      <c r="H2016" s="5"/>
    </row>
    <row r="2017" spans="3:8" ht="14.25" customHeight="1">
      <c r="C2017" s="245"/>
      <c r="D2017" s="26"/>
      <c r="E2017" s="26"/>
      <c r="F2017" s="26"/>
      <c r="G2017" s="26"/>
      <c r="H2017" s="5"/>
    </row>
    <row r="2018" spans="3:8" ht="14.25" customHeight="1">
      <c r="C2018" s="245"/>
      <c r="D2018" s="26"/>
      <c r="E2018" s="26"/>
      <c r="F2018" s="26"/>
      <c r="G2018" s="26"/>
      <c r="H2018" s="5"/>
    </row>
    <row r="2019" spans="3:8" ht="14.25" customHeight="1">
      <c r="C2019" s="245"/>
      <c r="D2019" s="26"/>
      <c r="E2019" s="26"/>
      <c r="F2019" s="26"/>
      <c r="G2019" s="26"/>
      <c r="H2019" s="5"/>
    </row>
    <row r="2020" spans="3:8" ht="14.25" customHeight="1">
      <c r="C2020" s="245"/>
      <c r="D2020" s="26"/>
      <c r="E2020" s="26"/>
      <c r="F2020" s="26"/>
      <c r="G2020" s="26"/>
      <c r="H2020" s="5"/>
    </row>
    <row r="2021" spans="3:8" ht="14.25" customHeight="1">
      <c r="C2021" s="245"/>
      <c r="D2021" s="26"/>
      <c r="E2021" s="26"/>
      <c r="F2021" s="26"/>
      <c r="G2021" s="26"/>
      <c r="H2021" s="5"/>
    </row>
    <row r="2022" spans="3:8" ht="14.25" customHeight="1">
      <c r="C2022" s="245"/>
      <c r="D2022" s="26"/>
      <c r="E2022" s="26"/>
      <c r="F2022" s="26"/>
      <c r="G2022" s="26"/>
      <c r="H2022" s="5"/>
    </row>
    <row r="2023" spans="3:8" ht="14.25" customHeight="1">
      <c r="C2023" s="245"/>
      <c r="D2023" s="26"/>
      <c r="E2023" s="26"/>
      <c r="F2023" s="26"/>
      <c r="G2023" s="26"/>
      <c r="H2023" s="5"/>
    </row>
    <row r="2024" spans="3:8" ht="14.25" customHeight="1">
      <c r="C2024" s="245"/>
      <c r="D2024" s="26"/>
      <c r="E2024" s="26"/>
      <c r="F2024" s="26"/>
      <c r="G2024" s="26"/>
      <c r="H2024" s="5"/>
    </row>
    <row r="2025" spans="3:8" ht="14.25" customHeight="1">
      <c r="C2025" s="245"/>
      <c r="D2025" s="26"/>
      <c r="E2025" s="26"/>
      <c r="F2025" s="26"/>
      <c r="G2025" s="26"/>
      <c r="H2025" s="5"/>
    </row>
    <row r="2026" spans="3:8" ht="14.25" customHeight="1">
      <c r="C2026" s="245"/>
      <c r="D2026" s="26"/>
      <c r="E2026" s="26"/>
      <c r="F2026" s="26"/>
      <c r="G2026" s="26"/>
      <c r="H2026" s="5"/>
    </row>
    <row r="2027" spans="3:8" ht="14.25" customHeight="1">
      <c r="C2027" s="245"/>
      <c r="D2027" s="26"/>
      <c r="E2027" s="26"/>
      <c r="F2027" s="26"/>
      <c r="G2027" s="26"/>
      <c r="H2027" s="5"/>
    </row>
    <row r="2028" spans="3:8" ht="14.25" customHeight="1">
      <c r="C2028" s="245"/>
      <c r="D2028" s="26"/>
      <c r="E2028" s="26"/>
      <c r="F2028" s="26"/>
      <c r="G2028" s="26"/>
      <c r="H2028" s="5"/>
    </row>
    <row r="2029" spans="3:8" ht="14.25" customHeight="1">
      <c r="C2029" s="245"/>
      <c r="D2029" s="26"/>
      <c r="E2029" s="26"/>
      <c r="F2029" s="26"/>
      <c r="G2029" s="26"/>
      <c r="H2029" s="5"/>
    </row>
    <row r="2030" spans="3:8" ht="14.25" customHeight="1">
      <c r="C2030" s="245"/>
      <c r="D2030" s="26"/>
      <c r="E2030" s="26"/>
      <c r="F2030" s="26"/>
      <c r="G2030" s="26"/>
      <c r="H2030" s="5"/>
    </row>
    <row r="2031" spans="3:8" ht="14.25" customHeight="1">
      <c r="C2031" s="245"/>
      <c r="D2031" s="26"/>
      <c r="E2031" s="26"/>
      <c r="F2031" s="26"/>
      <c r="G2031" s="26"/>
      <c r="H2031" s="5"/>
    </row>
    <row r="2032" spans="3:8" ht="14.25" customHeight="1">
      <c r="C2032" s="245"/>
      <c r="D2032" s="26"/>
      <c r="E2032" s="26"/>
      <c r="F2032" s="26"/>
      <c r="G2032" s="26"/>
      <c r="H2032" s="5"/>
    </row>
    <row r="2033" spans="3:8" ht="14.25" customHeight="1">
      <c r="C2033" s="245"/>
      <c r="D2033" s="26"/>
      <c r="E2033" s="26"/>
      <c r="F2033" s="26"/>
      <c r="G2033" s="26"/>
      <c r="H2033" s="5"/>
    </row>
    <row r="2034" spans="3:8" ht="14.25" customHeight="1">
      <c r="C2034" s="245"/>
      <c r="D2034" s="26"/>
      <c r="E2034" s="26"/>
      <c r="F2034" s="26"/>
      <c r="G2034" s="26"/>
      <c r="H2034" s="5"/>
    </row>
    <row r="2035" spans="3:8" ht="14.25" customHeight="1">
      <c r="C2035" s="245"/>
      <c r="D2035" s="26"/>
      <c r="E2035" s="26"/>
      <c r="F2035" s="26"/>
      <c r="G2035" s="26"/>
      <c r="H2035" s="5"/>
    </row>
    <row r="2036" spans="3:8" ht="14.25" customHeight="1">
      <c r="C2036" s="245"/>
      <c r="D2036" s="26"/>
      <c r="E2036" s="26"/>
      <c r="F2036" s="26"/>
      <c r="G2036" s="26"/>
      <c r="H2036" s="5"/>
    </row>
    <row r="2037" spans="3:8" ht="14.25" customHeight="1">
      <c r="C2037" s="245"/>
      <c r="D2037" s="26"/>
      <c r="E2037" s="26"/>
      <c r="F2037" s="26"/>
      <c r="G2037" s="26"/>
      <c r="H2037" s="5"/>
    </row>
    <row r="2038" spans="3:8" ht="14.25" customHeight="1">
      <c r="C2038" s="245"/>
      <c r="D2038" s="26"/>
      <c r="E2038" s="26"/>
      <c r="F2038" s="26"/>
      <c r="G2038" s="26"/>
      <c r="H2038" s="5"/>
    </row>
    <row r="2039" spans="3:8" ht="14.25" customHeight="1">
      <c r="C2039" s="245"/>
      <c r="D2039" s="26"/>
      <c r="E2039" s="26"/>
      <c r="F2039" s="26"/>
      <c r="G2039" s="26"/>
      <c r="H2039" s="5"/>
    </row>
    <row r="2040" spans="3:8" ht="14.25" customHeight="1">
      <c r="C2040" s="245"/>
      <c r="D2040" s="26"/>
      <c r="E2040" s="26"/>
      <c r="F2040" s="26"/>
      <c r="G2040" s="26"/>
      <c r="H2040" s="5"/>
    </row>
    <row r="2041" spans="3:8" ht="14.25" customHeight="1">
      <c r="C2041" s="245"/>
      <c r="D2041" s="26"/>
      <c r="E2041" s="26"/>
      <c r="F2041" s="26"/>
      <c r="G2041" s="26"/>
      <c r="H2041" s="5"/>
    </row>
    <row r="2042" spans="3:8" ht="14.25" customHeight="1">
      <c r="C2042" s="245"/>
      <c r="D2042" s="26"/>
      <c r="E2042" s="26"/>
      <c r="F2042" s="26"/>
      <c r="G2042" s="26"/>
      <c r="H2042" s="5"/>
    </row>
    <row r="2043" spans="3:8" ht="14.25" customHeight="1">
      <c r="C2043" s="245"/>
      <c r="D2043" s="26"/>
      <c r="E2043" s="26"/>
      <c r="F2043" s="26"/>
      <c r="G2043" s="26"/>
      <c r="H2043" s="5"/>
    </row>
    <row r="2044" spans="3:8" ht="14.25" customHeight="1">
      <c r="C2044" s="245"/>
      <c r="D2044" s="26"/>
      <c r="E2044" s="26"/>
      <c r="F2044" s="26"/>
      <c r="G2044" s="26"/>
      <c r="H2044" s="5"/>
    </row>
    <row r="2045" spans="3:8" ht="14.25" customHeight="1">
      <c r="C2045" s="245"/>
      <c r="D2045" s="26"/>
      <c r="E2045" s="26"/>
      <c r="F2045" s="26"/>
      <c r="G2045" s="26"/>
      <c r="H2045" s="5"/>
    </row>
    <row r="2046" spans="3:8" ht="14.25" customHeight="1">
      <c r="C2046" s="245"/>
      <c r="D2046" s="26"/>
      <c r="E2046" s="26"/>
      <c r="F2046" s="26"/>
      <c r="G2046" s="26"/>
      <c r="H2046" s="5"/>
    </row>
    <row r="2047" spans="3:8" ht="14.25" customHeight="1">
      <c r="C2047" s="245"/>
      <c r="D2047" s="26"/>
      <c r="E2047" s="26"/>
      <c r="F2047" s="26"/>
      <c r="G2047" s="26"/>
      <c r="H2047" s="5"/>
    </row>
    <row r="2048" spans="3:8" ht="14.25" customHeight="1">
      <c r="C2048" s="245"/>
      <c r="D2048" s="26"/>
      <c r="E2048" s="26"/>
      <c r="F2048" s="26"/>
      <c r="G2048" s="26"/>
      <c r="H2048" s="5"/>
    </row>
    <row r="2049" spans="2:44" ht="14.25" customHeight="1">
      <c r="C2049" s="245"/>
      <c r="D2049" s="26"/>
      <c r="E2049" s="26"/>
      <c r="F2049" s="26"/>
      <c r="G2049" s="26"/>
      <c r="H2049" s="5"/>
    </row>
    <row r="2050" spans="2:44" ht="14.25" customHeight="1">
      <c r="C2050" s="245"/>
      <c r="D2050" s="26"/>
      <c r="E2050" s="26"/>
      <c r="F2050" s="26"/>
      <c r="G2050" s="26"/>
      <c r="H2050" s="5"/>
    </row>
    <row r="2051" spans="2:44" ht="14.25" customHeight="1">
      <c r="C2051" s="245"/>
      <c r="D2051" s="26"/>
      <c r="E2051" s="26"/>
      <c r="F2051" s="26"/>
      <c r="G2051" s="26"/>
      <c r="H2051" s="5"/>
    </row>
    <row r="2052" spans="2:44" ht="14.25" customHeight="1">
      <c r="C2052" s="245"/>
      <c r="D2052" s="26"/>
      <c r="E2052" s="26"/>
      <c r="F2052" s="26"/>
      <c r="G2052" s="26"/>
      <c r="H2052" s="5"/>
    </row>
    <row r="2053" spans="2:44" ht="14.25" customHeight="1">
      <c r="B2053" s="530" t="str">
        <f>TITLE!$C$36</f>
        <v>Полотна: ДОБОР LADA</v>
      </c>
      <c r="C2053" s="531"/>
      <c r="D2053" s="118"/>
      <c r="E2053" s="118"/>
      <c r="F2053" s="118"/>
      <c r="G2053" s="118"/>
      <c r="H2053" s="118"/>
      <c r="I2053" s="121"/>
      <c r="J2053" s="121"/>
      <c r="K2053" s="121"/>
      <c r="L2053" s="121"/>
      <c r="M2053" s="121"/>
      <c r="N2053" s="121"/>
      <c r="O2053" s="121"/>
      <c r="P2053" s="121"/>
      <c r="Q2053" s="121"/>
      <c r="R2053" s="121"/>
      <c r="S2053" s="529" t="str">
        <f>IF($C$1="ENG",CONCATENATE("up to: ",B1985),CONCATENATE("вгору до: ",B1985))</f>
        <v>вгору до: Полотна скляні: ГЛАСФОРД</v>
      </c>
      <c r="T2053" s="529"/>
      <c r="U2053" s="529"/>
      <c r="V2053" s="529"/>
      <c r="W2053" s="529"/>
    </row>
    <row r="2054" spans="2:44" ht="14.25" customHeight="1">
      <c r="B2054" s="147"/>
      <c r="C2054" s="424"/>
      <c r="D2054" s="9"/>
      <c r="E2054" s="9"/>
      <c r="F2054" s="10"/>
      <c r="G2054" s="10"/>
      <c r="H2054" s="10"/>
      <c r="I2054" s="8"/>
      <c r="J2054" s="8"/>
      <c r="K2054" s="8"/>
      <c r="L2054" s="8"/>
      <c r="M2054" s="11"/>
      <c r="P2054" s="8"/>
      <c r="Q2054" s="11"/>
    </row>
    <row r="2055" spans="2:44" ht="14.25" customHeight="1">
      <c r="B2055" s="536" t="str">
        <f>IF($C$1="ENG","model","модель")</f>
        <v>модель</v>
      </c>
      <c r="C2055" s="122" t="str">
        <f>IF($C$1="ENG","cover:","покриття:")</f>
        <v>покриття:</v>
      </c>
      <c r="D2055" s="522" t="str">
        <f>IF($C$1="ENG","Verto-CELL","Verto-CELL")</f>
        <v>Verto-CELL</v>
      </c>
      <c r="E2055" s="524"/>
      <c r="F2055" s="522" t="str">
        <f>IF($C$1="ENG","UNI-MAT","UNI-MAT")</f>
        <v>UNI-MAT</v>
      </c>
      <c r="G2055" s="524"/>
      <c r="H2055" s="522" t="str">
        <f>IF($C$1="ENG","RESIST","RESIST")</f>
        <v>RESIST</v>
      </c>
      <c r="I2055" s="524"/>
      <c r="J2055" s="522" t="str">
        <f>IF($C$1="ENG","Verto LINE-3D","Verto LINE-3D")</f>
        <v>Verto LINE-3D</v>
      </c>
      <c r="K2055" s="524"/>
      <c r="L2055" s="522" t="str">
        <f>IF($C$1="ENG","ECO Shpon","ЕКО Шпон")</f>
        <v>ЕКО Шпон</v>
      </c>
      <c r="M2055" s="524"/>
      <c r="P2055" s="20"/>
      <c r="Q2055" s="20"/>
    </row>
    <row r="2056" spans="2:44" ht="27.75" customHeight="1">
      <c r="B2056" s="537"/>
      <c r="C2056" s="123" t="str">
        <f>IF($C$1="ENG","filling:","заповнення:")</f>
        <v>заповнення:</v>
      </c>
      <c r="D2056" s="527" t="str">
        <f>IF($C$1="ENG","softwood","клеєний сосновий брус")</f>
        <v>клеєний сосновий брус</v>
      </c>
      <c r="E2056" s="528"/>
      <c r="F2056" s="527" t="str">
        <f>IF($C$1="ENG","softwood","клеєний сосновий брус")</f>
        <v>клеєний сосновий брус</v>
      </c>
      <c r="G2056" s="528"/>
      <c r="H2056" s="527" t="str">
        <f>IF($C$1="ENG","softwood","клеєний сосновий брус")</f>
        <v>клеєний сосновий брус</v>
      </c>
      <c r="I2056" s="528"/>
      <c r="J2056" s="527" t="str">
        <f>IF($C$1="ENG","softwood","клеєний сосновий брус")</f>
        <v>клеєний сосновий брус</v>
      </c>
      <c r="K2056" s="528"/>
      <c r="L2056" s="527" t="str">
        <f>IF($C$1="ENG","softwood","клеєний сосновий брус")</f>
        <v>клеєний сосновий брус</v>
      </c>
      <c r="M2056" s="528"/>
      <c r="P2056" s="20"/>
      <c r="Q2056" s="20"/>
      <c r="X2056" s="384"/>
    </row>
    <row r="2057" spans="2:44" ht="14.25" customHeight="1">
      <c r="B2057" s="538"/>
      <c r="C2057" s="124" t="str">
        <f>IF($C$1="ENG","glazing:","скління:")</f>
        <v>скління:</v>
      </c>
      <c r="D2057" s="513" t="str">
        <f>IF($C$1="ENG","Satin","Сатин")</f>
        <v>Сатин</v>
      </c>
      <c r="E2057" s="516"/>
      <c r="F2057" s="513" t="str">
        <f>IF($C$1="ENG","Satin","Сатин")</f>
        <v>Сатин</v>
      </c>
      <c r="G2057" s="516"/>
      <c r="H2057" s="513" t="str">
        <f>IF($C$1="ENG","Satin","Сатин")</f>
        <v>Сатин</v>
      </c>
      <c r="I2057" s="516"/>
      <c r="J2057" s="513" t="str">
        <f>IF($C$1="ENG","Satin","Сатин")</f>
        <v>Сатин</v>
      </c>
      <c r="K2057" s="516"/>
      <c r="L2057" s="513" t="str">
        <f>IF($C$1="ENG","Satin","Сатин")</f>
        <v>Сатин</v>
      </c>
      <c r="M2057" s="516"/>
      <c r="N2057" s="104"/>
      <c r="O2057" s="20"/>
      <c r="P2057" s="20"/>
      <c r="Q2057" s="20"/>
      <c r="R2057" s="104"/>
      <c r="S2057" s="20"/>
      <c r="T2057" s="104"/>
      <c r="V2057" s="104"/>
      <c r="W2057" s="20"/>
    </row>
    <row r="2058" spans="2:44" ht="34.5" customHeight="1">
      <c r="B2058" s="13" t="s">
        <v>52</v>
      </c>
      <c r="C2058" s="14"/>
      <c r="D2058" s="15">
        <f>IF(AC2058="","",(1-$W$2)*(AC2058/1.2))</f>
        <v>4933.3333333333339</v>
      </c>
      <c r="E2058" s="64">
        <f>IF($W$5=0.2,D2058*1.2,D2058)/$W$4</f>
        <v>5920.0000000000009</v>
      </c>
      <c r="F2058" s="15">
        <f>IF(AD2058="","",(1-$W$2)*(AD2058/1.2))</f>
        <v>5658.3333333333339</v>
      </c>
      <c r="G2058" s="64">
        <f>IF($W$5=0.2,F2058*1.2,F2058)/$W$4</f>
        <v>6790.0000000000009</v>
      </c>
      <c r="H2058" s="15">
        <f>IF(AE2058="","",(1-$W$2)*(AE2058/1.2))</f>
        <v>5841.666666666667</v>
      </c>
      <c r="I2058" s="64">
        <f>IF($W$5=0.2,H2058*1.2,H2058)/$W$4</f>
        <v>7010</v>
      </c>
      <c r="J2058" s="15">
        <f>IF(AF2058="","",(1-$W$2)*(AF2058/1.2))</f>
        <v>6200</v>
      </c>
      <c r="K2058" s="64">
        <f>IF($W$5=0.2,J2058*1.2,J2058)/$W$4</f>
        <v>7440</v>
      </c>
      <c r="L2058" s="15">
        <f>IF(AG2058="","",(1-$W$2)*(AG2058/1.2))</f>
        <v>6433.3333333333339</v>
      </c>
      <c r="M2058" s="64">
        <f>IF($W$5=0.2,L2058*1.2,L2058)/$W$4</f>
        <v>7720</v>
      </c>
      <c r="N2058" s="104"/>
      <c r="O2058" s="20"/>
      <c r="P2058" s="20"/>
      <c r="Q2058" s="20"/>
      <c r="R2058" s="104"/>
      <c r="S2058" s="20"/>
      <c r="T2058" s="104"/>
      <c r="V2058" s="104"/>
      <c r="W2058" s="20"/>
      <c r="AC2058" s="332">
        <v>5920</v>
      </c>
      <c r="AD2058" s="332">
        <v>6790</v>
      </c>
      <c r="AE2058" s="332">
        <v>7010</v>
      </c>
      <c r="AF2058" s="332">
        <v>7440</v>
      </c>
      <c r="AG2058" s="332">
        <v>7720</v>
      </c>
      <c r="AH2058" s="289">
        <v>5920</v>
      </c>
      <c r="AI2058" s="289">
        <f>AH2058/AC2058-1</f>
        <v>0</v>
      </c>
      <c r="AJ2058" s="289">
        <v>6790</v>
      </c>
      <c r="AK2058" s="289">
        <f>AJ2058/AD2058-1</f>
        <v>0</v>
      </c>
      <c r="AL2058" s="289">
        <v>7010</v>
      </c>
      <c r="AM2058" s="289">
        <f>AL2058/AE2058-1</f>
        <v>0</v>
      </c>
      <c r="AN2058" s="289">
        <v>7440</v>
      </c>
      <c r="AO2058" s="289">
        <f>AN2058/AF2058-1</f>
        <v>0</v>
      </c>
      <c r="AP2058" s="289">
        <v>7720</v>
      </c>
      <c r="AQ2058" s="289">
        <f>AP2058/AG2058-1</f>
        <v>0</v>
      </c>
      <c r="AR2058" s="333"/>
    </row>
    <row r="2059" spans="2:44" ht="34.5" customHeight="1">
      <c r="B2059" s="16" t="s">
        <v>53</v>
      </c>
      <c r="C2059" s="17"/>
      <c r="D2059" s="18">
        <f>IF(AC2059="","",(1-$W$2)*(AC2059/1.2))</f>
        <v>5033.3333333333339</v>
      </c>
      <c r="E2059" s="66">
        <f>IF($W$5=0.2,D2059*1.2,D2059)/$W$4</f>
        <v>6040.0000000000009</v>
      </c>
      <c r="F2059" s="18">
        <f>IF(AD2059="","",(1-$W$2)*(AD2059/1.2))</f>
        <v>5766.666666666667</v>
      </c>
      <c r="G2059" s="66">
        <f>IF($W$5=0.2,F2059*1.2,F2059)/$W$4</f>
        <v>6920</v>
      </c>
      <c r="H2059" s="18">
        <f>IF(AE2059="","",(1-$W$2)*(AE2059/1.2))</f>
        <v>5966.666666666667</v>
      </c>
      <c r="I2059" s="66">
        <f>IF($W$5=0.2,H2059*1.2,H2059)/$W$4</f>
        <v>7160</v>
      </c>
      <c r="J2059" s="18">
        <f>IF(AF2059="","",(1-$W$2)*(AF2059/1.2))</f>
        <v>6325</v>
      </c>
      <c r="K2059" s="66">
        <f>IF($W$5=0.2,J2059*1.2,J2059)/$W$4</f>
        <v>7590</v>
      </c>
      <c r="L2059" s="18">
        <f>IF(AG2059="","",(1-$W$2)*(AG2059/1.2))</f>
        <v>6958.3333333333339</v>
      </c>
      <c r="M2059" s="66">
        <f>IF($W$5=0.2,L2059*1.2,L2059)/$W$4</f>
        <v>8350</v>
      </c>
      <c r="N2059" s="104"/>
      <c r="O2059" s="20"/>
      <c r="P2059" s="20"/>
      <c r="Q2059" s="20"/>
      <c r="R2059" s="104"/>
      <c r="S2059" s="20"/>
      <c r="T2059" s="104"/>
      <c r="V2059" s="104"/>
      <c r="W2059" s="20"/>
      <c r="AC2059" s="332">
        <v>6040</v>
      </c>
      <c r="AD2059" s="332">
        <v>6920</v>
      </c>
      <c r="AE2059" s="332">
        <v>7160</v>
      </c>
      <c r="AF2059" s="332">
        <v>7590</v>
      </c>
      <c r="AG2059" s="332">
        <v>8350</v>
      </c>
      <c r="AH2059" s="289">
        <v>6040</v>
      </c>
      <c r="AI2059" s="289">
        <f t="shared" ref="AI2059:AI2062" si="294">AH2059/AC2059-1</f>
        <v>0</v>
      </c>
      <c r="AJ2059" s="289">
        <v>6920</v>
      </c>
      <c r="AK2059" s="289">
        <f t="shared" ref="AK2059:AK2062" si="295">AJ2059/AD2059-1</f>
        <v>0</v>
      </c>
      <c r="AL2059" s="289">
        <v>7160</v>
      </c>
      <c r="AM2059" s="289">
        <f t="shared" ref="AM2059:AM2062" si="296">AL2059/AE2059-1</f>
        <v>0</v>
      </c>
      <c r="AN2059" s="289">
        <v>7590</v>
      </c>
      <c r="AO2059" s="289">
        <f t="shared" ref="AO2059:AO2062" si="297">AN2059/AF2059-1</f>
        <v>0</v>
      </c>
      <c r="AP2059" s="289">
        <v>8350</v>
      </c>
      <c r="AQ2059" s="289">
        <f t="shared" ref="AQ2059:AQ2062" si="298">AP2059/AG2059-1</f>
        <v>0</v>
      </c>
      <c r="AR2059" s="333"/>
    </row>
    <row r="2060" spans="2:44" ht="34.5" customHeight="1">
      <c r="B2060" s="16" t="s">
        <v>54</v>
      </c>
      <c r="C2060" s="17"/>
      <c r="D2060" s="18">
        <f>IF(AC2060="","",(1-$W$2)*(AC2060/1.2))</f>
        <v>4933.3333333333339</v>
      </c>
      <c r="E2060" s="66">
        <f>IF($W$5=0.2,D2060*1.2,D2060)/$W$4</f>
        <v>5920.0000000000009</v>
      </c>
      <c r="F2060" s="18">
        <f>IF(AD2060="","",(1-$W$2)*(AD2060/1.2))</f>
        <v>5650</v>
      </c>
      <c r="G2060" s="66">
        <f>IF($W$5=0.2,F2060*1.2,F2060)/$W$4</f>
        <v>6780</v>
      </c>
      <c r="H2060" s="18">
        <f>IF(AE2060="","",(1-$W$2)*(AE2060/1.2))</f>
        <v>5841.666666666667</v>
      </c>
      <c r="I2060" s="66">
        <f>IF($W$5=0.2,H2060*1.2,H2060)/$W$4</f>
        <v>7010</v>
      </c>
      <c r="J2060" s="18">
        <f>IF(AF2060="","",(1-$W$2)*(AF2060/1.2))</f>
        <v>6200</v>
      </c>
      <c r="K2060" s="66">
        <f>IF($W$5=0.2,J2060*1.2,J2060)/$W$4</f>
        <v>7440</v>
      </c>
      <c r="L2060" s="18">
        <f>IF(AG2060="","",(1-$W$2)*(AG2060/1.2))</f>
        <v>6433.3333333333339</v>
      </c>
      <c r="M2060" s="66">
        <f>IF($W$5=0.2,L2060*1.2,L2060)/$W$4</f>
        <v>7720</v>
      </c>
      <c r="N2060" s="104"/>
      <c r="O2060" s="20"/>
      <c r="P2060" s="20"/>
      <c r="Q2060" s="20"/>
      <c r="R2060" s="104"/>
      <c r="S2060" s="20"/>
      <c r="T2060" s="104"/>
      <c r="V2060" s="104"/>
      <c r="W2060" s="20"/>
      <c r="AC2060" s="332">
        <v>5920</v>
      </c>
      <c r="AD2060" s="332">
        <v>6780</v>
      </c>
      <c r="AE2060" s="332">
        <v>7010</v>
      </c>
      <c r="AF2060" s="332">
        <v>7440</v>
      </c>
      <c r="AG2060" s="332">
        <v>7720</v>
      </c>
      <c r="AH2060" s="289">
        <v>5920</v>
      </c>
      <c r="AI2060" s="289">
        <f t="shared" si="294"/>
        <v>0</v>
      </c>
      <c r="AJ2060" s="289">
        <v>6780</v>
      </c>
      <c r="AK2060" s="289">
        <f t="shared" si="295"/>
        <v>0</v>
      </c>
      <c r="AL2060" s="289">
        <v>7010</v>
      </c>
      <c r="AM2060" s="289">
        <f t="shared" si="296"/>
        <v>0</v>
      </c>
      <c r="AN2060" s="289">
        <v>7440</v>
      </c>
      <c r="AO2060" s="289">
        <f t="shared" si="297"/>
        <v>0</v>
      </c>
      <c r="AP2060" s="289">
        <v>7720</v>
      </c>
      <c r="AQ2060" s="289">
        <f t="shared" si="298"/>
        <v>0</v>
      </c>
      <c r="AR2060" s="333"/>
    </row>
    <row r="2061" spans="2:44" ht="34.5" customHeight="1">
      <c r="B2061" s="16" t="s">
        <v>55</v>
      </c>
      <c r="C2061" s="17"/>
      <c r="D2061" s="18">
        <f>IF(AC2061="","",(1-$W$2)*(AC2061/1.2))</f>
        <v>5108.3333333333339</v>
      </c>
      <c r="E2061" s="66">
        <f>IF($W$5=0.2,D2061*1.2,D2061)/$W$4</f>
        <v>6130.0000000000009</v>
      </c>
      <c r="F2061" s="18">
        <f>IF(AD2061="","",(1-$W$2)*(AD2061/1.2))</f>
        <v>5875</v>
      </c>
      <c r="G2061" s="66">
        <f>IF($W$5=0.2,F2061*1.2,F2061)/$W$4</f>
        <v>7050</v>
      </c>
      <c r="H2061" s="18">
        <f>IF(AE2061="","",(1-$W$2)*(AE2061/1.2))</f>
        <v>6033.3333333333339</v>
      </c>
      <c r="I2061" s="66">
        <f>IF($W$5=0.2,H2061*1.2,H2061)/$W$4</f>
        <v>7240.0000000000009</v>
      </c>
      <c r="J2061" s="18">
        <f>IF(AF2061="","",(1-$W$2)*(AF2061/1.2))</f>
        <v>6383.3333333333339</v>
      </c>
      <c r="K2061" s="66">
        <f>IF($W$5=0.2,J2061*1.2,J2061)/$W$4</f>
        <v>7660</v>
      </c>
      <c r="L2061" s="18">
        <f>IF(AG2061="","",(1-$W$2)*(AG2061/1.2))</f>
        <v>6591.666666666667</v>
      </c>
      <c r="M2061" s="66">
        <f>IF($W$5=0.2,L2061*1.2,L2061)/$W$4</f>
        <v>7910</v>
      </c>
      <c r="N2061" s="104"/>
      <c r="O2061" s="20"/>
      <c r="P2061" s="20"/>
      <c r="Q2061" s="20"/>
      <c r="R2061" s="104"/>
      <c r="S2061" s="20"/>
      <c r="T2061" s="104"/>
      <c r="V2061" s="104"/>
      <c r="W2061" s="20"/>
      <c r="AC2061" s="332">
        <v>6130</v>
      </c>
      <c r="AD2061" s="332">
        <v>7050</v>
      </c>
      <c r="AE2061" s="332">
        <v>7240</v>
      </c>
      <c r="AF2061" s="332">
        <v>7660</v>
      </c>
      <c r="AG2061" s="332">
        <v>7910</v>
      </c>
      <c r="AH2061" s="289">
        <v>6130</v>
      </c>
      <c r="AI2061" s="289">
        <f t="shared" si="294"/>
        <v>0</v>
      </c>
      <c r="AJ2061" s="289">
        <v>7050</v>
      </c>
      <c r="AK2061" s="289">
        <f t="shared" si="295"/>
        <v>0</v>
      </c>
      <c r="AL2061" s="289">
        <v>7240</v>
      </c>
      <c r="AM2061" s="289">
        <f t="shared" si="296"/>
        <v>0</v>
      </c>
      <c r="AN2061" s="289">
        <v>7660</v>
      </c>
      <c r="AO2061" s="289">
        <f t="shared" si="297"/>
        <v>0</v>
      </c>
      <c r="AP2061" s="289">
        <v>7910</v>
      </c>
      <c r="AQ2061" s="289">
        <f t="shared" si="298"/>
        <v>0</v>
      </c>
      <c r="AR2061" s="333"/>
    </row>
    <row r="2062" spans="2:44" ht="34.5" customHeight="1">
      <c r="B2062" s="23" t="s">
        <v>56</v>
      </c>
      <c r="C2062" s="24"/>
      <c r="D2062" s="25">
        <f>IF(AC2062="","",(1-$W$2)*(AC2062/1.2))</f>
        <v>5291.666666666667</v>
      </c>
      <c r="E2062" s="69">
        <f>IF($W$5=0.2,D2062*1.2,D2062)/$W$4</f>
        <v>6350</v>
      </c>
      <c r="F2062" s="25">
        <f>IF(AD2062="","",(1-$W$2)*(AD2062/1.2))</f>
        <v>6066.666666666667</v>
      </c>
      <c r="G2062" s="69">
        <f>IF($W$5=0.2,F2062*1.2,F2062)/$W$4</f>
        <v>7280</v>
      </c>
      <c r="H2062" s="25">
        <f>IF(AE2062="","",(1-$W$2)*(AE2062/1.2))</f>
        <v>6216.666666666667</v>
      </c>
      <c r="I2062" s="69">
        <f>IF($W$5=0.2,H2062*1.2,H2062)/$W$4</f>
        <v>7460</v>
      </c>
      <c r="J2062" s="25">
        <f>IF(AF2062="","",(1-$W$2)*(AF2062/1.2))</f>
        <v>6591.666666666667</v>
      </c>
      <c r="K2062" s="69">
        <f>IF($W$5=0.2,J2062*1.2,J2062)/$W$4</f>
        <v>7910</v>
      </c>
      <c r="L2062" s="25">
        <f>IF(AG2062="","",(1-$W$2)*(AG2062/1.2))</f>
        <v>6791.666666666667</v>
      </c>
      <c r="M2062" s="69">
        <f>IF($W$5=0.2,L2062*1.2,L2062)/$W$4</f>
        <v>8150</v>
      </c>
      <c r="P2062" s="20"/>
      <c r="Q2062" s="20"/>
      <c r="AC2062" s="332">
        <v>6350</v>
      </c>
      <c r="AD2062" s="332">
        <v>7280</v>
      </c>
      <c r="AE2062" s="332">
        <v>7460</v>
      </c>
      <c r="AF2062" s="332">
        <v>7910</v>
      </c>
      <c r="AG2062" s="332">
        <v>8150</v>
      </c>
      <c r="AH2062" s="289">
        <v>6350</v>
      </c>
      <c r="AI2062" s="289">
        <f t="shared" si="294"/>
        <v>0</v>
      </c>
      <c r="AJ2062" s="289">
        <v>7280</v>
      </c>
      <c r="AK2062" s="289">
        <f t="shared" si="295"/>
        <v>0</v>
      </c>
      <c r="AL2062" s="289">
        <v>7460</v>
      </c>
      <c r="AM2062" s="289">
        <f t="shared" si="296"/>
        <v>0</v>
      </c>
      <c r="AN2062" s="289">
        <v>7910</v>
      </c>
      <c r="AO2062" s="289">
        <f t="shared" si="297"/>
        <v>0</v>
      </c>
      <c r="AP2062" s="289">
        <v>8150</v>
      </c>
      <c r="AQ2062" s="289">
        <f t="shared" si="298"/>
        <v>0</v>
      </c>
      <c r="AR2062" s="333"/>
    </row>
    <row r="2063" spans="2:44" ht="14.25" customHeight="1">
      <c r="C2063" s="245"/>
      <c r="D2063" s="26"/>
      <c r="E2063" s="57"/>
      <c r="F2063" s="10"/>
      <c r="G2063" s="10"/>
      <c r="H2063" s="10"/>
      <c r="I2063" s="143"/>
      <c r="J2063" s="48"/>
      <c r="K2063" s="48"/>
      <c r="L2063" s="8"/>
      <c r="P2063" s="20"/>
      <c r="Q2063" s="20"/>
    </row>
    <row r="2064" spans="2:44">
      <c r="B2064" s="212" t="str">
        <f>IF($C$1="ENG","For additonal charge:","Послуги за додаткову плату:")</f>
        <v>Послуги за додаткову плату:</v>
      </c>
      <c r="C2064" s="420"/>
      <c r="D2064" s="213"/>
      <c r="E2064" s="214"/>
      <c r="F2064" s="26"/>
      <c r="G2064" s="57"/>
      <c r="H2064" s="10"/>
      <c r="I2064" s="8"/>
      <c r="J2064" s="8"/>
      <c r="K2064" s="8"/>
    </row>
    <row r="2065" spans="2:38" ht="5.0999999999999996" customHeight="1">
      <c r="B2065" s="27"/>
      <c r="C2065" s="245"/>
      <c r="D2065" s="26"/>
      <c r="E2065" s="57"/>
      <c r="F2065" s="26"/>
      <c r="G2065" s="26"/>
      <c r="H2065" s="10"/>
      <c r="I2065" s="8"/>
      <c r="J2065" s="8"/>
      <c r="K2065" s="8"/>
    </row>
    <row r="2066" spans="2:38">
      <c r="B2066" s="532" t="str">
        <f>IF($C$1="ENG","glazing Graphite / Bronze","скло Графіт / Бронза")</f>
        <v>скло Графіт / Бронза</v>
      </c>
      <c r="C2066" s="533"/>
      <c r="D2066" s="102">
        <f>IF(AC2066="","",(1-$W$2)*(AC2066/1.2))</f>
        <v>425</v>
      </c>
      <c r="E2066" s="92">
        <f>IF($W$5=0.2,D2066*1.2,D2066)/$W$4</f>
        <v>510</v>
      </c>
      <c r="F2066" s="26"/>
      <c r="G2066" s="26"/>
      <c r="H2066" s="5"/>
      <c r="AC2066" s="298">
        <v>510</v>
      </c>
      <c r="AD2066" s="289">
        <v>510</v>
      </c>
      <c r="AE2066" s="289">
        <f>AD2066/AC2066-1</f>
        <v>0</v>
      </c>
      <c r="AF2066" s="289"/>
      <c r="AG2066" s="289"/>
      <c r="AH2066" s="289"/>
      <c r="AI2066" s="289"/>
      <c r="AJ2066" s="289"/>
      <c r="AK2066" s="289"/>
      <c r="AL2066" s="289"/>
    </row>
    <row r="2067" spans="2:38">
      <c r="B2067" s="532" t="str">
        <f>IF($C$1="ENG","glazing Lacobel black ","скло Lacobel чорне")</f>
        <v>скло Lacobel чорне</v>
      </c>
      <c r="C2067" s="533"/>
      <c r="D2067" s="406">
        <f t="shared" ref="D2067" si="299">IF(AC2067="","",(1-$W$2)*(AC2067/1.2))</f>
        <v>458.33333333333337</v>
      </c>
      <c r="E2067" s="93">
        <f>IF($W$5=0.2,D2067*1.2,D2067)/$W$4</f>
        <v>550</v>
      </c>
      <c r="F2067" s="26"/>
      <c r="G2067" s="26"/>
      <c r="H2067" s="5"/>
      <c r="AC2067" s="298">
        <v>550</v>
      </c>
      <c r="AD2067" s="298">
        <v>550</v>
      </c>
      <c r="AE2067" s="289"/>
      <c r="AF2067" s="289"/>
      <c r="AG2067" s="289"/>
      <c r="AH2067" s="289"/>
      <c r="AI2067" s="289"/>
      <c r="AJ2067" s="289"/>
      <c r="AK2067" s="289"/>
      <c r="AL2067" s="289"/>
    </row>
    <row r="2068" spans="2:38">
      <c r="B2068" s="532" t="str">
        <f>IF($C$1="ENG","door hindge Prestige (1 unit)","завіса Prestige (1 шт)")</f>
        <v>завіса Prestige (1 шт)</v>
      </c>
      <c r="C2068" s="533"/>
      <c r="D2068" s="135">
        <f>IF(AC2068="","",(1-$W$2)*(AC2068/1.2))</f>
        <v>216.66666666666669</v>
      </c>
      <c r="E2068" s="93">
        <f>IF($W$5=0.2,D2068*1.2,D2068)/$W$4</f>
        <v>260</v>
      </c>
      <c r="F2068" s="26"/>
      <c r="G2068" s="26"/>
      <c r="AC2068" s="298">
        <v>260</v>
      </c>
      <c r="AD2068" s="289">
        <v>260</v>
      </c>
      <c r="AE2068" s="289">
        <f t="shared" ref="AE2068:AE2069" si="300">AD2068/AC2068-1</f>
        <v>0</v>
      </c>
      <c r="AF2068" s="289"/>
      <c r="AG2068" s="289"/>
      <c r="AH2068" s="289"/>
      <c r="AI2068" s="289"/>
      <c r="AJ2068" s="289"/>
      <c r="AK2068" s="289"/>
      <c r="AL2068" s="289"/>
    </row>
    <row r="2069" spans="2:38">
      <c r="B2069" s="532" t="str">
        <f>IF($C$1="ENG","door hinge caps (1 set)","накладка на завіси (1 к-т)")</f>
        <v>накладка на завіси (1 к-т)</v>
      </c>
      <c r="C2069" s="533"/>
      <c r="D2069" s="135">
        <f>IF(AC2069="","",(1-$W$2)*(AC2069/1.2))</f>
        <v>66.666666666666671</v>
      </c>
      <c r="E2069" s="324">
        <f>IF($W$5=0.2,D2069*1.2,D2069)/$W$4</f>
        <v>80</v>
      </c>
      <c r="F2069" s="26"/>
      <c r="G2069" s="26"/>
      <c r="AC2069" s="298">
        <v>80</v>
      </c>
      <c r="AD2069" s="289">
        <v>80</v>
      </c>
      <c r="AE2069" s="289">
        <f t="shared" si="300"/>
        <v>0</v>
      </c>
      <c r="AF2069" s="289"/>
      <c r="AG2069" s="289"/>
      <c r="AH2069" s="289"/>
      <c r="AI2069" s="289"/>
      <c r="AJ2069" s="289"/>
      <c r="AK2069" s="289"/>
      <c r="AL2069" s="289"/>
    </row>
    <row r="2070" spans="2:38" ht="14.25" customHeight="1">
      <c r="C2070" s="245"/>
      <c r="D2070" s="26"/>
      <c r="E2070" s="26"/>
      <c r="F2070" s="26"/>
      <c r="G2070" s="26"/>
      <c r="H2070" s="5"/>
      <c r="T2070" s="525" t="str">
        <f>IF($C$1="ENG",CONCATENATE("down to: ",B2120),CONCATENATE("вниз до: ",B2120))</f>
        <v>вниз до: Полотна: ДОБОРИ</v>
      </c>
      <c r="U2070" s="525"/>
      <c r="V2070" s="525"/>
      <c r="W2070" s="525"/>
    </row>
    <row r="2071" spans="2:38" ht="14.25" customHeight="1">
      <c r="C2071" s="245"/>
      <c r="D2071" s="26"/>
      <c r="E2071" s="26"/>
      <c r="F2071" s="26"/>
      <c r="G2071" s="26"/>
      <c r="H2071" s="5"/>
    </row>
    <row r="2072" spans="2:38" ht="14.25" customHeight="1">
      <c r="C2072" s="245"/>
      <c r="D2072" s="26"/>
      <c r="E2072" s="26"/>
      <c r="F2072" s="26"/>
      <c r="G2072" s="26"/>
      <c r="H2072" s="5"/>
    </row>
    <row r="2073" spans="2:38" ht="14.25" customHeight="1">
      <c r="C2073" s="245"/>
      <c r="D2073" s="26"/>
      <c r="E2073" s="26"/>
      <c r="F2073" s="26"/>
      <c r="G2073" s="26"/>
      <c r="H2073" s="5"/>
    </row>
    <row r="2074" spans="2:38" ht="14.25" customHeight="1">
      <c r="C2074" s="245"/>
      <c r="D2074" s="26"/>
      <c r="E2074" s="26"/>
      <c r="F2074" s="26"/>
      <c r="G2074" s="26"/>
      <c r="H2074" s="5"/>
    </row>
    <row r="2075" spans="2:38" ht="14.25" customHeight="1">
      <c r="C2075" s="245"/>
      <c r="D2075" s="26"/>
      <c r="E2075" s="26"/>
      <c r="F2075" s="26"/>
      <c r="G2075" s="26"/>
      <c r="H2075" s="5"/>
    </row>
    <row r="2076" spans="2:38" ht="14.25" customHeight="1">
      <c r="C2076" s="245"/>
      <c r="D2076" s="26"/>
      <c r="E2076" s="26"/>
      <c r="F2076" s="26"/>
      <c r="G2076" s="26"/>
      <c r="H2076" s="5"/>
    </row>
    <row r="2077" spans="2:38" ht="14.25" customHeight="1">
      <c r="C2077" s="245"/>
      <c r="D2077" s="26"/>
      <c r="E2077" s="26"/>
      <c r="F2077" s="26"/>
      <c r="G2077" s="26"/>
      <c r="H2077" s="5"/>
    </row>
    <row r="2078" spans="2:38" ht="14.25" customHeight="1">
      <c r="C2078" s="245"/>
      <c r="D2078" s="26"/>
      <c r="E2078" s="26"/>
      <c r="F2078" s="26"/>
      <c r="G2078" s="26"/>
      <c r="H2078" s="5"/>
    </row>
    <row r="2079" spans="2:38" ht="14.25" customHeight="1">
      <c r="C2079" s="245"/>
      <c r="D2079" s="26"/>
      <c r="E2079" s="26"/>
      <c r="F2079" s="26"/>
      <c r="G2079" s="26"/>
      <c r="H2079" s="5"/>
    </row>
    <row r="2080" spans="2:38" ht="14.25" customHeight="1">
      <c r="C2080" s="245"/>
      <c r="D2080" s="26"/>
      <c r="E2080" s="26"/>
      <c r="F2080" s="26"/>
      <c r="G2080" s="26"/>
      <c r="H2080" s="5"/>
    </row>
    <row r="2081" spans="3:8" ht="14.25" customHeight="1">
      <c r="C2081" s="245"/>
      <c r="D2081" s="26"/>
      <c r="E2081" s="26"/>
      <c r="F2081" s="26"/>
      <c r="G2081" s="26"/>
      <c r="H2081" s="5"/>
    </row>
    <row r="2082" spans="3:8" ht="14.25" customHeight="1">
      <c r="C2082" s="245"/>
      <c r="D2082" s="26"/>
      <c r="E2082" s="26"/>
      <c r="F2082" s="26"/>
      <c r="G2082" s="26"/>
      <c r="H2082" s="5"/>
    </row>
    <row r="2083" spans="3:8" ht="14.25" customHeight="1">
      <c r="C2083" s="245"/>
      <c r="D2083" s="26"/>
      <c r="E2083" s="26"/>
      <c r="F2083" s="26"/>
      <c r="G2083" s="26"/>
      <c r="H2083" s="5"/>
    </row>
    <row r="2084" spans="3:8" ht="14.25" customHeight="1">
      <c r="C2084" s="245"/>
      <c r="D2084" s="26"/>
      <c r="E2084" s="26"/>
      <c r="F2084" s="26"/>
      <c r="G2084" s="26"/>
      <c r="H2084" s="5"/>
    </row>
    <row r="2085" spans="3:8" ht="14.25" customHeight="1">
      <c r="C2085" s="245"/>
      <c r="D2085" s="26"/>
      <c r="E2085" s="26"/>
      <c r="F2085" s="26"/>
      <c r="G2085" s="26"/>
      <c r="H2085" s="5"/>
    </row>
    <row r="2086" spans="3:8" ht="14.25" customHeight="1">
      <c r="C2086" s="245"/>
      <c r="D2086" s="26"/>
      <c r="E2086" s="26"/>
      <c r="F2086" s="26"/>
      <c r="G2086" s="26"/>
      <c r="H2086" s="5"/>
    </row>
    <row r="2087" spans="3:8" ht="14.25" customHeight="1">
      <c r="C2087" s="245"/>
      <c r="D2087" s="26"/>
      <c r="E2087" s="26"/>
      <c r="F2087" s="26"/>
      <c r="G2087" s="26"/>
      <c r="H2087" s="5"/>
    </row>
    <row r="2088" spans="3:8" ht="14.25" customHeight="1">
      <c r="C2088" s="245"/>
      <c r="D2088" s="26"/>
      <c r="E2088" s="26"/>
      <c r="F2088" s="26"/>
      <c r="G2088" s="26"/>
      <c r="H2088" s="5"/>
    </row>
    <row r="2089" spans="3:8" ht="14.25" customHeight="1">
      <c r="C2089" s="245"/>
      <c r="D2089" s="26"/>
      <c r="E2089" s="26"/>
      <c r="F2089" s="26"/>
      <c r="G2089" s="26"/>
      <c r="H2089" s="5"/>
    </row>
    <row r="2090" spans="3:8" ht="14.25" customHeight="1">
      <c r="C2090" s="245"/>
      <c r="D2090" s="26"/>
      <c r="E2090" s="26"/>
      <c r="F2090" s="26"/>
      <c r="G2090" s="26"/>
      <c r="H2090" s="5"/>
    </row>
    <row r="2091" spans="3:8" ht="14.25" customHeight="1">
      <c r="C2091" s="245"/>
      <c r="D2091" s="26"/>
      <c r="E2091" s="26"/>
      <c r="F2091" s="26"/>
      <c r="G2091" s="26"/>
      <c r="H2091" s="5"/>
    </row>
    <row r="2092" spans="3:8" ht="14.25" customHeight="1">
      <c r="C2092" s="245"/>
      <c r="D2092" s="26"/>
      <c r="E2092" s="26"/>
      <c r="F2092" s="26"/>
      <c r="G2092" s="26"/>
      <c r="H2092" s="5"/>
    </row>
    <row r="2093" spans="3:8" ht="14.25" customHeight="1">
      <c r="C2093" s="245"/>
      <c r="D2093" s="26"/>
      <c r="E2093" s="26"/>
      <c r="F2093" s="26"/>
      <c r="G2093" s="26"/>
      <c r="H2093" s="5"/>
    </row>
    <row r="2094" spans="3:8" ht="14.25" customHeight="1">
      <c r="C2094" s="245"/>
      <c r="D2094" s="26"/>
      <c r="E2094" s="26"/>
      <c r="F2094" s="26"/>
      <c r="G2094" s="26"/>
      <c r="H2094" s="5"/>
    </row>
    <row r="2095" spans="3:8" ht="14.25" customHeight="1">
      <c r="C2095" s="245"/>
      <c r="D2095" s="26"/>
      <c r="E2095" s="26"/>
      <c r="F2095" s="26"/>
      <c r="G2095" s="26"/>
      <c r="H2095" s="5"/>
    </row>
    <row r="2096" spans="3:8" ht="14.25" customHeight="1">
      <c r="C2096" s="245"/>
      <c r="D2096" s="26"/>
      <c r="E2096" s="26"/>
      <c r="F2096" s="26"/>
      <c r="G2096" s="26"/>
      <c r="H2096" s="5"/>
    </row>
    <row r="2097" spans="3:8" ht="14.25" customHeight="1">
      <c r="C2097" s="245"/>
      <c r="D2097" s="26"/>
      <c r="E2097" s="26"/>
      <c r="F2097" s="26"/>
      <c r="G2097" s="26"/>
      <c r="H2097" s="5"/>
    </row>
    <row r="2098" spans="3:8" ht="14.25" customHeight="1">
      <c r="C2098" s="245"/>
      <c r="D2098" s="26"/>
      <c r="E2098" s="26"/>
      <c r="F2098" s="26"/>
      <c r="G2098" s="26"/>
      <c r="H2098" s="5"/>
    </row>
    <row r="2099" spans="3:8" ht="14.25" customHeight="1">
      <c r="C2099" s="245"/>
      <c r="D2099" s="26"/>
      <c r="E2099" s="26"/>
      <c r="F2099" s="26"/>
      <c r="G2099" s="26"/>
      <c r="H2099" s="5"/>
    </row>
    <row r="2100" spans="3:8" ht="14.25" customHeight="1">
      <c r="C2100" s="245"/>
      <c r="D2100" s="26"/>
      <c r="E2100" s="26"/>
      <c r="F2100" s="26"/>
      <c r="G2100" s="26"/>
      <c r="H2100" s="5"/>
    </row>
    <row r="2101" spans="3:8" ht="14.25" customHeight="1">
      <c r="C2101" s="245"/>
      <c r="D2101" s="26"/>
      <c r="E2101" s="26"/>
      <c r="F2101" s="26"/>
      <c r="G2101" s="26"/>
      <c r="H2101" s="5"/>
    </row>
    <row r="2102" spans="3:8" ht="14.25" customHeight="1">
      <c r="C2102" s="245"/>
      <c r="D2102" s="26"/>
      <c r="E2102" s="26"/>
      <c r="F2102" s="26"/>
      <c r="G2102" s="26"/>
      <c r="H2102" s="5"/>
    </row>
    <row r="2103" spans="3:8" ht="14.25" customHeight="1">
      <c r="C2103" s="245"/>
      <c r="D2103" s="26"/>
      <c r="E2103" s="26"/>
      <c r="F2103" s="26"/>
      <c r="G2103" s="26"/>
      <c r="H2103" s="5"/>
    </row>
    <row r="2104" spans="3:8" ht="14.25" customHeight="1">
      <c r="C2104" s="245"/>
      <c r="D2104" s="26"/>
      <c r="E2104" s="26"/>
      <c r="F2104" s="26"/>
      <c r="G2104" s="26"/>
      <c r="H2104" s="5"/>
    </row>
    <row r="2105" spans="3:8" ht="14.25" customHeight="1">
      <c r="C2105" s="245"/>
      <c r="D2105" s="26"/>
      <c r="E2105" s="26"/>
      <c r="F2105" s="26"/>
      <c r="G2105" s="26"/>
      <c r="H2105" s="5"/>
    </row>
    <row r="2106" spans="3:8" ht="14.25" customHeight="1">
      <c r="C2106" s="245"/>
      <c r="D2106" s="26"/>
      <c r="E2106" s="26"/>
      <c r="F2106" s="26"/>
      <c r="G2106" s="26"/>
      <c r="H2106" s="5"/>
    </row>
    <row r="2107" spans="3:8" ht="14.25" customHeight="1">
      <c r="C2107" s="245"/>
      <c r="D2107" s="26"/>
      <c r="E2107" s="26"/>
      <c r="F2107" s="26"/>
      <c r="G2107" s="26"/>
      <c r="H2107" s="5"/>
    </row>
    <row r="2108" spans="3:8" ht="14.25" customHeight="1">
      <c r="C2108" s="245"/>
      <c r="D2108" s="26"/>
      <c r="E2108" s="26"/>
      <c r="F2108" s="26"/>
      <c r="G2108" s="26"/>
      <c r="H2108" s="5"/>
    </row>
    <row r="2109" spans="3:8" ht="14.25" customHeight="1">
      <c r="C2109" s="245"/>
      <c r="D2109" s="26"/>
      <c r="E2109" s="26"/>
      <c r="F2109" s="26"/>
      <c r="G2109" s="26"/>
      <c r="H2109" s="5"/>
    </row>
    <row r="2110" spans="3:8" ht="14.25" customHeight="1">
      <c r="C2110" s="245"/>
      <c r="D2110" s="26"/>
      <c r="E2110" s="26"/>
      <c r="F2110" s="26"/>
      <c r="G2110" s="26"/>
      <c r="H2110" s="5"/>
    </row>
    <row r="2111" spans="3:8" ht="14.25" customHeight="1">
      <c r="C2111" s="245"/>
      <c r="D2111" s="26"/>
      <c r="E2111" s="26"/>
      <c r="F2111" s="26"/>
      <c r="G2111" s="26"/>
      <c r="H2111" s="5"/>
    </row>
    <row r="2112" spans="3:8" ht="14.25" customHeight="1">
      <c r="C2112" s="245"/>
      <c r="D2112" s="26"/>
      <c r="E2112" s="26"/>
      <c r="F2112" s="26"/>
      <c r="G2112" s="26"/>
      <c r="H2112" s="5"/>
    </row>
    <row r="2113" spans="1:46" ht="14.25" customHeight="1">
      <c r="C2113" s="245"/>
      <c r="D2113" s="26"/>
      <c r="E2113" s="26"/>
      <c r="F2113" s="26"/>
      <c r="G2113" s="26"/>
      <c r="H2113" s="5"/>
    </row>
    <row r="2114" spans="1:46" ht="14.25" customHeight="1">
      <c r="C2114" s="245"/>
      <c r="D2114" s="26"/>
      <c r="E2114" s="26"/>
      <c r="F2114" s="26"/>
      <c r="G2114" s="26"/>
      <c r="H2114" s="5"/>
    </row>
    <row r="2115" spans="1:46" ht="14.25" customHeight="1">
      <c r="C2115" s="245"/>
      <c r="D2115" s="26"/>
      <c r="E2115" s="26"/>
      <c r="F2115" s="26"/>
      <c r="G2115" s="26"/>
      <c r="H2115" s="5"/>
    </row>
    <row r="2116" spans="1:46" ht="14.25" customHeight="1">
      <c r="C2116" s="245"/>
      <c r="D2116" s="26"/>
      <c r="E2116" s="26"/>
      <c r="F2116" s="26"/>
      <c r="G2116" s="26"/>
      <c r="H2116" s="5"/>
    </row>
    <row r="2117" spans="1:46" ht="14.25" customHeight="1">
      <c r="C2117" s="245"/>
      <c r="D2117" s="26"/>
      <c r="E2117" s="26"/>
      <c r="F2117" s="26"/>
      <c r="G2117" s="26"/>
      <c r="H2117" s="5"/>
    </row>
    <row r="2118" spans="1:46" ht="14.25" customHeight="1">
      <c r="C2118" s="245"/>
      <c r="D2118" s="26"/>
      <c r="E2118" s="26"/>
      <c r="F2118" s="26"/>
      <c r="G2118" s="26"/>
      <c r="H2118" s="5"/>
      <c r="AE2118" s="289">
        <f>AD2118/100*12+AD2118</f>
        <v>0</v>
      </c>
      <c r="AF2118" s="289" t="e">
        <f>AE2118/AD2118-1</f>
        <v>#DIV/0!</v>
      </c>
    </row>
    <row r="2119" spans="1:46" s="8" customFormat="1">
      <c r="B2119" s="1"/>
      <c r="C2119" s="245"/>
      <c r="D2119" s="26"/>
      <c r="E2119" s="26"/>
      <c r="F2119" s="26"/>
      <c r="G2119" s="26"/>
      <c r="H2119" s="5"/>
      <c r="I2119" s="1"/>
      <c r="J2119" s="1"/>
      <c r="K2119" s="1"/>
      <c r="AN2119" s="280"/>
      <c r="AO2119" s="280"/>
      <c r="AP2119" s="280"/>
      <c r="AQ2119" s="280"/>
      <c r="AR2119" s="280"/>
      <c r="AS2119" s="280"/>
      <c r="AT2119" s="280"/>
    </row>
    <row r="2120" spans="1:46" s="8" customFormat="1" ht="12.75" customHeight="1">
      <c r="B2120" s="530" t="str">
        <f>TITLE!C37</f>
        <v>Полотна: ДОБОРИ</v>
      </c>
      <c r="C2120" s="531"/>
      <c r="D2120" s="118"/>
      <c r="E2120" s="118"/>
      <c r="F2120" s="118"/>
      <c r="G2120" s="118"/>
      <c r="H2120" s="118"/>
      <c r="I2120" s="121"/>
      <c r="J2120" s="121"/>
      <c r="K2120" s="121"/>
      <c r="L2120" s="121"/>
      <c r="M2120" s="121"/>
      <c r="N2120" s="121"/>
      <c r="O2120" s="121"/>
      <c r="P2120" s="121"/>
      <c r="Q2120" s="121"/>
      <c r="R2120" s="121"/>
      <c r="S2120" s="529" t="str">
        <f>IF($C$1="ENG",CONCATENATE("up to: ",B2053),CONCATENATE("вгору до: ",B2053))</f>
        <v>вгору до: Полотна: ДОБОР LADA</v>
      </c>
      <c r="T2120" s="529"/>
      <c r="U2120" s="529"/>
      <c r="V2120" s="529"/>
      <c r="W2120" s="529"/>
      <c r="AN2120" s="280"/>
      <c r="AO2120" s="280"/>
      <c r="AP2120" s="280"/>
      <c r="AQ2120" s="280"/>
      <c r="AR2120" s="280"/>
      <c r="AS2120" s="280"/>
      <c r="AT2120" s="280"/>
    </row>
    <row r="2121" spans="1:46" ht="4.5" customHeight="1">
      <c r="A2121" s="8"/>
      <c r="B2121" s="147"/>
      <c r="C2121" s="424"/>
      <c r="D2121" s="9"/>
      <c r="E2121" s="9"/>
      <c r="F2121" s="10"/>
      <c r="G2121" s="10"/>
      <c r="H2121" s="10"/>
      <c r="I2121" s="8"/>
      <c r="J2121" s="8"/>
      <c r="K2121" s="8"/>
      <c r="L2121" s="8"/>
      <c r="M2121" s="11"/>
      <c r="P2121" s="8"/>
      <c r="Q2121" s="11"/>
    </row>
    <row r="2122" spans="1:46" ht="12.75" customHeight="1">
      <c r="A2122" s="8"/>
      <c r="B2122" s="536" t="str">
        <f>IF($C$1="ENG","model","модель")</f>
        <v>модель</v>
      </c>
      <c r="C2122" s="122" t="str">
        <f>IF($C$1="ENG","cover:","покриття:")</f>
        <v>покриття:</v>
      </c>
      <c r="D2122" s="522" t="str">
        <f>IF($C$1="ENG","SIMPL / V-CELL","SIMPL / V-CELL")</f>
        <v>SIMPL / V-CELL</v>
      </c>
      <c r="E2122" s="524"/>
      <c r="F2122" s="522" t="str">
        <f>IF($C$1="ENG","UNI-MAT","UNI-MAT")</f>
        <v>UNI-MAT</v>
      </c>
      <c r="G2122" s="524"/>
      <c r="H2122" s="522" t="str">
        <f>IF($C$1="ENG","RESIST","RESIST")</f>
        <v>RESIST</v>
      </c>
      <c r="I2122" s="524"/>
      <c r="J2122" s="46"/>
      <c r="K2122" s="46"/>
      <c r="L2122" s="8"/>
      <c r="M2122" s="11"/>
      <c r="P2122" s="8"/>
      <c r="Q2122" s="11"/>
    </row>
    <row r="2123" spans="1:46" ht="12.75" customHeight="1">
      <c r="A2123" s="8"/>
      <c r="B2123" s="537"/>
      <c r="C2123" s="123" t="str">
        <f>IF($C$1="ENG","filling:","заповнення:")</f>
        <v>заповнення:</v>
      </c>
      <c r="D2123" s="527" t="str">
        <f>IF($C$1="ENG","honeycomb core ","сотове заповнення")</f>
        <v>сотове заповнення</v>
      </c>
      <c r="E2123" s="528"/>
      <c r="F2123" s="527" t="str">
        <f>IF($C$1="ENG","honeycomb core ","сотове заповнення")</f>
        <v>сотове заповнення</v>
      </c>
      <c r="G2123" s="528"/>
      <c r="H2123" s="527" t="str">
        <f>IF($C$1="ENG","honeycomb core ","сотове заповнення")</f>
        <v>сотове заповнення</v>
      </c>
      <c r="I2123" s="528"/>
      <c r="J2123" s="146"/>
      <c r="K2123" s="146"/>
      <c r="L2123" s="8"/>
      <c r="M2123" s="11"/>
      <c r="P2123" s="8"/>
      <c r="Q2123" s="11"/>
      <c r="Z2123" s="384"/>
    </row>
    <row r="2124" spans="1:46" ht="12.75" customHeight="1">
      <c r="A2124" s="8"/>
      <c r="B2124" s="538"/>
      <c r="C2124" s="124" t="str">
        <f>IF($C$1="ENG","glazing:","скління:")</f>
        <v>скління:</v>
      </c>
      <c r="D2124" s="513" t="str">
        <f>IF($C$1="ENG","Satin (Б)","Сатин (Б)")</f>
        <v>Сатин (Б)</v>
      </c>
      <c r="E2124" s="516"/>
      <c r="F2124" s="513" t="str">
        <f>IF($C$1="ENG","Satin (Б)","Сатин (Б)")</f>
        <v>Сатин (Б)</v>
      </c>
      <c r="G2124" s="516"/>
      <c r="H2124" s="513" t="str">
        <f>IF($C$1="ENG","Satin (Б)","Сатин (Б)")</f>
        <v>Сатин (Б)</v>
      </c>
      <c r="I2124" s="516"/>
      <c r="J2124" s="47"/>
      <c r="K2124" s="131"/>
      <c r="L2124" s="104"/>
      <c r="M2124" s="20"/>
      <c r="N2124" s="104"/>
      <c r="O2124" s="20"/>
      <c r="P2124" s="104"/>
      <c r="Q2124" s="20"/>
      <c r="R2124" s="104"/>
      <c r="S2124" s="20"/>
      <c r="T2124" s="104"/>
      <c r="V2124" s="104"/>
      <c r="W2124" s="20"/>
      <c r="X2124" s="22"/>
      <c r="Y2124" s="22"/>
      <c r="Z2124" s="22"/>
      <c r="AA2124" s="22"/>
      <c r="AB2124" s="22"/>
      <c r="AD2124" s="297">
        <f>AD2125/AC2125-1</f>
        <v>0.1515151515151516</v>
      </c>
      <c r="AE2124" s="297">
        <f>AE2125/AD2125-1</f>
        <v>0.10902255639097747</v>
      </c>
    </row>
    <row r="2125" spans="1:46" ht="35.1" customHeight="1">
      <c r="A2125" s="8"/>
      <c r="B2125" s="13" t="s">
        <v>4</v>
      </c>
      <c r="C2125" s="14"/>
      <c r="D2125" s="53">
        <f>IF(AC2125="","",(1-$W$2)*(AC2125/1.2))</f>
        <v>1925</v>
      </c>
      <c r="E2125" s="86">
        <f>IF($W$5=0.2,D2125*1.2,D2125)/$W$4</f>
        <v>2310</v>
      </c>
      <c r="F2125" s="15">
        <f>IF(AD2125="","",(1-$W$2)*(AD2125/1.2))</f>
        <v>2216.666666666667</v>
      </c>
      <c r="G2125" s="64">
        <f>IF($W$5=0.2,F2125*1.2,F2125)/$W$4</f>
        <v>2660.0000000000005</v>
      </c>
      <c r="H2125" s="15">
        <f>IF(AE2125="","",(1-$W$2)*(AE2125/1.2))</f>
        <v>2458.3333333333335</v>
      </c>
      <c r="I2125" s="64">
        <f>IF($W$5=0.2,H2125*1.2,H2125)/$W$4</f>
        <v>2950</v>
      </c>
      <c r="J2125" s="28"/>
      <c r="K2125" s="59"/>
      <c r="L2125" s="104"/>
      <c r="M2125" s="20"/>
      <c r="N2125" s="104"/>
      <c r="O2125" s="20"/>
      <c r="P2125" s="104"/>
      <c r="Q2125" s="20"/>
      <c r="R2125" s="104"/>
      <c r="S2125" s="20"/>
      <c r="T2125" s="104"/>
      <c r="V2125" s="104"/>
      <c r="W2125" s="20"/>
      <c r="AC2125" s="332">
        <v>2310</v>
      </c>
      <c r="AD2125" s="332">
        <v>2660</v>
      </c>
      <c r="AE2125" s="332">
        <v>2950</v>
      </c>
      <c r="AF2125" s="289">
        <v>2310</v>
      </c>
      <c r="AG2125" s="289">
        <f>AF2125/AC2125-1</f>
        <v>0</v>
      </c>
      <c r="AH2125" s="289">
        <v>2660</v>
      </c>
      <c r="AI2125" s="289">
        <f>AH2125/AD2125-1</f>
        <v>0</v>
      </c>
      <c r="AJ2125" s="289">
        <v>2950</v>
      </c>
      <c r="AK2125" s="289">
        <f>AJ2125/AE2125-1</f>
        <v>0</v>
      </c>
      <c r="AL2125" s="289"/>
      <c r="AO2125" s="1"/>
    </row>
    <row r="2126" spans="1:46" ht="34.5" customHeight="1">
      <c r="B2126" s="23" t="s">
        <v>5</v>
      </c>
      <c r="C2126" s="24"/>
      <c r="D2126" s="25">
        <f>IF(AC2126="","",(1-$W$2)*(AC2126/1.2))</f>
        <v>3858.3333333333335</v>
      </c>
      <c r="E2126" s="69">
        <f>IF($W$5=0.2,D2126*1.2,D2126)/$W$4</f>
        <v>4630</v>
      </c>
      <c r="F2126" s="25">
        <f>IF(AD2126="","",(1-$W$2)*(AD2126/1.2))</f>
        <v>4291.666666666667</v>
      </c>
      <c r="G2126" s="69">
        <f>IF($W$5=0.2,F2126*1.2,F2126)/$W$4</f>
        <v>5150</v>
      </c>
      <c r="H2126" s="25">
        <f>IF(AE2126="","",(1-$W$2)*(AE2126/1.2))</f>
        <v>4433.3333333333339</v>
      </c>
      <c r="I2126" s="69">
        <f>IF($W$5=0.2,H2126*1.2,H2126)/$W$4</f>
        <v>5320.0000000000009</v>
      </c>
      <c r="J2126" s="28"/>
      <c r="K2126" s="143"/>
      <c r="L2126" s="8"/>
      <c r="P2126" s="8"/>
      <c r="AC2126" s="332">
        <v>4630</v>
      </c>
      <c r="AD2126" s="332">
        <v>5150</v>
      </c>
      <c r="AE2126" s="332">
        <v>5320</v>
      </c>
      <c r="AF2126" s="289">
        <v>4630</v>
      </c>
      <c r="AG2126" s="289">
        <f>AF2126/AC2126-1</f>
        <v>0</v>
      </c>
      <c r="AH2126" s="289">
        <v>5150</v>
      </c>
      <c r="AI2126" s="289">
        <f>AH2126/AD2126-1</f>
        <v>0</v>
      </c>
      <c r="AJ2126" s="289">
        <v>5320</v>
      </c>
      <c r="AK2126" s="289">
        <f>AJ2126/AE2126-1</f>
        <v>0</v>
      </c>
      <c r="AL2126" s="289"/>
      <c r="AN2126" s="1"/>
      <c r="AO2126" s="1"/>
    </row>
    <row r="2127" spans="1:46">
      <c r="C2127" s="245"/>
      <c r="D2127" s="26"/>
      <c r="E2127" s="57"/>
      <c r="F2127" s="10"/>
      <c r="G2127" s="10"/>
      <c r="H2127" s="10"/>
      <c r="I2127" s="143"/>
      <c r="J2127" s="48"/>
      <c r="K2127" s="48"/>
      <c r="L2127" s="8"/>
      <c r="P2127" s="8"/>
    </row>
    <row r="2128" spans="1:46" ht="12.75" customHeight="1">
      <c r="B2128" s="212" t="str">
        <f>IF($C$1="ENG","For additonal charge:","Послуги за додаткову плату:")</f>
        <v>Послуги за додаткову плату:</v>
      </c>
      <c r="C2128" s="420"/>
      <c r="D2128" s="213"/>
      <c r="E2128" s="214"/>
      <c r="F2128" s="39"/>
      <c r="G2128" s="39"/>
      <c r="H2128" s="10"/>
      <c r="I2128" s="84"/>
      <c r="J2128" s="8"/>
      <c r="K2128" s="8"/>
    </row>
    <row r="2129" spans="2:38" ht="4.5" customHeight="1">
      <c r="B2129" s="27"/>
      <c r="C2129" s="245"/>
      <c r="D2129" s="26"/>
      <c r="E2129" s="57"/>
      <c r="F2129" s="39"/>
      <c r="G2129" s="26"/>
      <c r="H2129" s="10"/>
      <c r="I2129" s="8"/>
      <c r="J2129" s="8"/>
      <c r="K2129" s="8"/>
    </row>
    <row r="2130" spans="2:38">
      <c r="B2130" s="539" t="str">
        <f>IF($C$1="ENG","third door hindge","третя завіса")</f>
        <v>третя завіса</v>
      </c>
      <c r="C2130" s="540"/>
      <c r="D2130" s="132">
        <f t="shared" ref="D2130:D2135" si="301">IF(AC2130="","",(1-$W$2)*(AC2130/1.2))</f>
        <v>66.666666666666671</v>
      </c>
      <c r="E2130" s="92">
        <f t="shared" ref="E2130:E2135" si="302">IF($W$5=0.2,D2130*1.2,D2130)/$W$4</f>
        <v>80</v>
      </c>
      <c r="F2130" s="39"/>
      <c r="G2130" s="26"/>
      <c r="H2130" s="10"/>
      <c r="I2130" s="8"/>
      <c r="J2130" s="8"/>
      <c r="K2130" s="8"/>
      <c r="AC2130" s="298">
        <v>80</v>
      </c>
      <c r="AD2130" s="289">
        <v>80</v>
      </c>
      <c r="AE2130" s="289">
        <f>AD2130/AC2130-1</f>
        <v>0</v>
      </c>
      <c r="AF2130" s="289"/>
      <c r="AG2130" s="289"/>
      <c r="AH2130" s="289"/>
      <c r="AI2130" s="289"/>
      <c r="AJ2130" s="289"/>
      <c r="AK2130" s="289"/>
      <c r="AL2130" s="289"/>
    </row>
    <row r="2131" spans="2:38">
      <c r="B2131" s="438" t="str">
        <f>IF($C$1="ENG","glazing Triplex mat / black","скло Триплекс матовий / чорний")</f>
        <v>скло Триплекс матовий / чорний</v>
      </c>
      <c r="C2131" s="439" t="str">
        <f>IF($C$1="ENG","mod.Б","мод.Б")</f>
        <v>мод.Б</v>
      </c>
      <c r="D2131" s="274">
        <f t="shared" si="301"/>
        <v>941.66666666666674</v>
      </c>
      <c r="E2131" s="93">
        <f t="shared" si="302"/>
        <v>1130</v>
      </c>
      <c r="F2131" s="39"/>
      <c r="G2131" s="26"/>
      <c r="I2131" s="19"/>
      <c r="J2131" s="11"/>
      <c r="K2131" s="19"/>
      <c r="AC2131" s="332">
        <v>1130</v>
      </c>
      <c r="AD2131" s="289">
        <v>1130</v>
      </c>
      <c r="AE2131" s="289">
        <f t="shared" ref="AE2131:AE2135" si="303">AD2131/AC2131-1</f>
        <v>0</v>
      </c>
      <c r="AF2131" s="289"/>
      <c r="AG2131" s="289"/>
      <c r="AH2131" s="289"/>
      <c r="AI2131" s="289"/>
      <c r="AJ2131" s="289"/>
      <c r="AK2131" s="289"/>
      <c r="AL2131" s="289"/>
    </row>
    <row r="2132" spans="2:38">
      <c r="B2132" s="438" t="str">
        <f>IF($C$1="ENG","glazing Graphite / Bronze","скло Графіт / Бронза")</f>
        <v>скло Графіт / Бронза</v>
      </c>
      <c r="C2132" s="439" t="str">
        <f>IF($C$1="ENG","mod.Б","мод.Б")</f>
        <v>мод.Б</v>
      </c>
      <c r="D2132" s="274">
        <f t="shared" si="301"/>
        <v>616.66666666666674</v>
      </c>
      <c r="E2132" s="93">
        <f t="shared" si="302"/>
        <v>740.00000000000011</v>
      </c>
      <c r="F2132" s="39"/>
      <c r="G2132" s="26"/>
      <c r="I2132" s="19"/>
      <c r="J2132" s="11"/>
      <c r="K2132" s="19"/>
      <c r="AC2132" s="332">
        <v>740</v>
      </c>
      <c r="AD2132" s="289">
        <v>740</v>
      </c>
      <c r="AE2132" s="289">
        <f t="shared" si="303"/>
        <v>0</v>
      </c>
      <c r="AF2132" s="289"/>
      <c r="AG2132" s="289"/>
      <c r="AH2132" s="289"/>
      <c r="AI2132" s="289"/>
      <c r="AJ2132" s="289"/>
      <c r="AK2132" s="289"/>
      <c r="AL2132" s="289"/>
    </row>
    <row r="2133" spans="2:38">
      <c r="B2133" s="532" t="str">
        <f>IF($C$1="ENG","door hindge Prestige (1 unit)","завіса Prestige (1 шт)")</f>
        <v>завіса Prestige (1 шт)</v>
      </c>
      <c r="C2133" s="533"/>
      <c r="D2133" s="135">
        <f t="shared" si="301"/>
        <v>216.66666666666669</v>
      </c>
      <c r="E2133" s="93">
        <f t="shared" si="302"/>
        <v>260</v>
      </c>
      <c r="F2133" s="39"/>
      <c r="G2133" s="26"/>
      <c r="AC2133" s="298">
        <v>260</v>
      </c>
      <c r="AD2133" s="289">
        <v>260</v>
      </c>
      <c r="AE2133" s="289">
        <f t="shared" si="303"/>
        <v>0</v>
      </c>
      <c r="AF2133" s="289"/>
      <c r="AG2133" s="289"/>
      <c r="AH2133" s="289"/>
      <c r="AI2133" s="289"/>
      <c r="AJ2133" s="289"/>
      <c r="AK2133" s="289"/>
      <c r="AL2133" s="289"/>
    </row>
    <row r="2134" spans="2:38">
      <c r="B2134" s="532" t="str">
        <f>IF($C$1="ENG","door hinge caps (1 set)","накладка на завіси (1 к-т)")</f>
        <v>накладка на завіси (1 к-т)</v>
      </c>
      <c r="C2134" s="533"/>
      <c r="D2134" s="135">
        <f t="shared" si="301"/>
        <v>66.666666666666671</v>
      </c>
      <c r="E2134" s="93">
        <f t="shared" si="302"/>
        <v>80</v>
      </c>
      <c r="F2134" s="26"/>
      <c r="G2134" s="26"/>
      <c r="AC2134" s="298">
        <v>80</v>
      </c>
      <c r="AD2134" s="289">
        <v>80</v>
      </c>
      <c r="AE2134" s="289">
        <f t="shared" si="303"/>
        <v>0</v>
      </c>
      <c r="AF2134" s="289"/>
      <c r="AG2134" s="289"/>
      <c r="AH2134" s="289"/>
      <c r="AI2134" s="289"/>
      <c r="AJ2134" s="289"/>
      <c r="AK2134" s="289"/>
      <c r="AL2134" s="289"/>
    </row>
    <row r="2135" spans="2:38" ht="12" customHeight="1">
      <c r="B2135" s="438" t="str">
        <f>IF($C$1="ENG","perforated chipboard","ДСП трубчасте")</f>
        <v>ДСП трубчасте</v>
      </c>
      <c r="C2135" s="439" t="str">
        <f>IF($C$1="ENG","mod.A","мод.A")</f>
        <v>мод.A</v>
      </c>
      <c r="D2135" s="134">
        <f t="shared" si="301"/>
        <v>775</v>
      </c>
      <c r="E2135" s="94">
        <f t="shared" si="302"/>
        <v>930</v>
      </c>
      <c r="F2135" s="26"/>
      <c r="G2135" s="26"/>
      <c r="AC2135" s="298">
        <v>930</v>
      </c>
      <c r="AD2135" s="289">
        <v>930</v>
      </c>
      <c r="AE2135" s="289">
        <f t="shared" si="303"/>
        <v>0</v>
      </c>
      <c r="AF2135" s="289"/>
      <c r="AG2135" s="289"/>
      <c r="AH2135" s="289"/>
      <c r="AI2135" s="289"/>
      <c r="AJ2135" s="289"/>
      <c r="AK2135" s="289"/>
      <c r="AL2135" s="289"/>
    </row>
    <row r="2136" spans="2:38" ht="14.25" customHeight="1">
      <c r="C2136" s="245"/>
      <c r="D2136" s="26"/>
      <c r="E2136" s="26"/>
      <c r="F2136" s="26"/>
      <c r="G2136" s="26"/>
      <c r="H2136" s="5"/>
      <c r="T2136" s="525" t="str">
        <f>IF($C$1="ENG",CONCATENATE("down to: ",B2186),CONCATENATE("вниз до: ",B2186))</f>
        <v>вниз до: Розсувна система Verto-SLIDE</v>
      </c>
      <c r="U2136" s="525"/>
      <c r="V2136" s="525"/>
      <c r="W2136" s="525"/>
    </row>
    <row r="2137" spans="2:38" ht="14.25" customHeight="1">
      <c r="C2137" s="245"/>
      <c r="D2137" s="26"/>
      <c r="E2137" s="26"/>
      <c r="F2137" s="26"/>
      <c r="G2137" s="26"/>
      <c r="H2137" s="5"/>
    </row>
    <row r="2138" spans="2:38" ht="14.25" customHeight="1">
      <c r="C2138" s="245"/>
      <c r="D2138" s="26"/>
      <c r="E2138" s="26"/>
      <c r="F2138" s="26"/>
      <c r="G2138" s="26"/>
      <c r="H2138" s="5"/>
    </row>
    <row r="2139" spans="2:38" ht="14.25" customHeight="1">
      <c r="C2139" s="245"/>
      <c r="D2139" s="26"/>
      <c r="E2139" s="26"/>
      <c r="F2139" s="26"/>
      <c r="G2139" s="26"/>
      <c r="H2139" s="5"/>
    </row>
    <row r="2140" spans="2:38" ht="14.25" customHeight="1">
      <c r="C2140" s="245"/>
      <c r="D2140" s="26"/>
      <c r="E2140" s="26"/>
      <c r="F2140" s="26"/>
      <c r="G2140" s="26"/>
      <c r="H2140" s="5"/>
    </row>
    <row r="2141" spans="2:38" ht="14.25" customHeight="1">
      <c r="C2141" s="245"/>
      <c r="D2141" s="26"/>
      <c r="E2141" s="26"/>
      <c r="F2141" s="26"/>
      <c r="G2141" s="26"/>
      <c r="H2141" s="5"/>
    </row>
    <row r="2142" spans="2:38" ht="14.25" customHeight="1">
      <c r="C2142" s="245"/>
      <c r="D2142" s="26"/>
      <c r="E2142" s="26"/>
      <c r="F2142" s="26"/>
      <c r="G2142" s="26"/>
      <c r="H2142" s="5"/>
    </row>
    <row r="2143" spans="2:38" ht="14.25" customHeight="1">
      <c r="C2143" s="245"/>
      <c r="D2143" s="26"/>
      <c r="E2143" s="26"/>
      <c r="F2143" s="26"/>
      <c r="G2143" s="26"/>
      <c r="H2143" s="5"/>
    </row>
    <row r="2144" spans="2:38" ht="14.25" customHeight="1">
      <c r="C2144" s="245"/>
      <c r="D2144" s="26"/>
      <c r="E2144" s="26"/>
      <c r="F2144" s="26"/>
      <c r="G2144" s="26"/>
      <c r="H2144" s="5"/>
    </row>
    <row r="2145" spans="3:8" ht="14.25" customHeight="1">
      <c r="C2145" s="245"/>
      <c r="D2145" s="26"/>
      <c r="E2145" s="26"/>
      <c r="F2145" s="26"/>
      <c r="G2145" s="26"/>
      <c r="H2145" s="5"/>
    </row>
    <row r="2146" spans="3:8" ht="14.25" customHeight="1">
      <c r="C2146" s="245"/>
      <c r="D2146" s="26"/>
      <c r="E2146" s="26"/>
      <c r="F2146" s="26"/>
      <c r="G2146" s="26"/>
      <c r="H2146" s="5"/>
    </row>
    <row r="2147" spans="3:8" ht="14.25" customHeight="1">
      <c r="C2147" s="245"/>
      <c r="D2147" s="26"/>
      <c r="E2147" s="26"/>
      <c r="F2147" s="26"/>
      <c r="G2147" s="26"/>
      <c r="H2147" s="5"/>
    </row>
    <row r="2148" spans="3:8" ht="14.25" customHeight="1">
      <c r="C2148" s="245"/>
      <c r="D2148" s="26"/>
      <c r="E2148" s="26"/>
      <c r="F2148" s="26"/>
      <c r="G2148" s="26"/>
      <c r="H2148" s="5"/>
    </row>
    <row r="2149" spans="3:8" ht="14.25" customHeight="1">
      <c r="C2149" s="245"/>
      <c r="D2149" s="26"/>
      <c r="E2149" s="26"/>
      <c r="F2149" s="26"/>
      <c r="G2149" s="26"/>
      <c r="H2149" s="5"/>
    </row>
    <row r="2150" spans="3:8" ht="14.25" customHeight="1">
      <c r="C2150" s="245"/>
      <c r="D2150" s="26"/>
      <c r="E2150" s="26"/>
      <c r="F2150" s="26"/>
      <c r="G2150" s="26"/>
      <c r="H2150" s="5"/>
    </row>
    <row r="2151" spans="3:8" ht="14.25" customHeight="1">
      <c r="C2151" s="245"/>
      <c r="D2151" s="26"/>
      <c r="E2151" s="26"/>
      <c r="F2151" s="26"/>
      <c r="G2151" s="26"/>
      <c r="H2151" s="5"/>
    </row>
    <row r="2152" spans="3:8" ht="14.25" customHeight="1">
      <c r="C2152" s="245"/>
      <c r="D2152" s="26"/>
      <c r="E2152" s="26"/>
      <c r="F2152" s="26"/>
      <c r="G2152" s="26"/>
      <c r="H2152" s="5"/>
    </row>
    <row r="2153" spans="3:8" ht="14.25" customHeight="1">
      <c r="C2153" s="245"/>
      <c r="D2153" s="26"/>
      <c r="E2153" s="26"/>
      <c r="F2153" s="26"/>
      <c r="G2153" s="26"/>
      <c r="H2153" s="5"/>
    </row>
    <row r="2154" spans="3:8" ht="14.25" customHeight="1">
      <c r="C2154" s="245"/>
      <c r="D2154" s="26"/>
      <c r="E2154" s="26"/>
      <c r="F2154" s="26"/>
      <c r="G2154" s="26"/>
      <c r="H2154" s="5"/>
    </row>
    <row r="2155" spans="3:8" ht="14.25" customHeight="1">
      <c r="C2155" s="245"/>
      <c r="D2155" s="26"/>
      <c r="E2155" s="26"/>
      <c r="F2155" s="26"/>
      <c r="G2155" s="26"/>
      <c r="H2155" s="5"/>
    </row>
    <row r="2156" spans="3:8" ht="14.25" customHeight="1">
      <c r="C2156" s="245"/>
      <c r="D2156" s="26"/>
      <c r="E2156" s="26"/>
      <c r="F2156" s="26"/>
      <c r="G2156" s="26"/>
      <c r="H2156" s="5"/>
    </row>
    <row r="2157" spans="3:8" ht="14.25" customHeight="1">
      <c r="C2157" s="245"/>
      <c r="D2157" s="26"/>
      <c r="E2157" s="26"/>
      <c r="F2157" s="26"/>
      <c r="G2157" s="26"/>
      <c r="H2157" s="5"/>
    </row>
    <row r="2158" spans="3:8" ht="14.25" customHeight="1">
      <c r="C2158" s="245"/>
      <c r="D2158" s="26"/>
      <c r="E2158" s="26"/>
      <c r="F2158" s="26"/>
      <c r="G2158" s="26"/>
      <c r="H2158" s="5"/>
    </row>
    <row r="2159" spans="3:8" ht="14.25" customHeight="1">
      <c r="C2159" s="245"/>
      <c r="D2159" s="26"/>
      <c r="E2159" s="26"/>
      <c r="F2159" s="26"/>
      <c r="G2159" s="26"/>
      <c r="H2159" s="5"/>
    </row>
    <row r="2160" spans="3:8" ht="14.25" customHeight="1">
      <c r="C2160" s="245"/>
      <c r="D2160" s="26"/>
      <c r="E2160" s="26"/>
      <c r="F2160" s="26"/>
      <c r="G2160" s="26"/>
      <c r="H2160" s="5"/>
    </row>
    <row r="2161" spans="3:8" ht="14.25" customHeight="1">
      <c r="C2161" s="245"/>
      <c r="D2161" s="26"/>
      <c r="E2161" s="26"/>
      <c r="F2161" s="26"/>
      <c r="G2161" s="26"/>
      <c r="H2161" s="5"/>
    </row>
    <row r="2162" spans="3:8" ht="14.25" customHeight="1">
      <c r="C2162" s="245"/>
      <c r="D2162" s="26"/>
      <c r="E2162" s="26"/>
      <c r="F2162" s="26"/>
      <c r="G2162" s="26"/>
      <c r="H2162" s="5"/>
    </row>
    <row r="2163" spans="3:8" ht="14.25" customHeight="1">
      <c r="C2163" s="245"/>
      <c r="D2163" s="26"/>
      <c r="E2163" s="26"/>
      <c r="F2163" s="26"/>
      <c r="G2163" s="26"/>
      <c r="H2163" s="5"/>
    </row>
    <row r="2164" spans="3:8" ht="14.25" customHeight="1">
      <c r="C2164" s="245"/>
      <c r="D2164" s="26"/>
      <c r="E2164" s="26"/>
      <c r="F2164" s="26"/>
      <c r="G2164" s="26"/>
      <c r="H2164" s="5"/>
    </row>
    <row r="2165" spans="3:8" ht="14.25" customHeight="1">
      <c r="C2165" s="245"/>
      <c r="D2165" s="26"/>
      <c r="E2165" s="26"/>
      <c r="F2165" s="26"/>
      <c r="G2165" s="26"/>
      <c r="H2165" s="5"/>
    </row>
    <row r="2166" spans="3:8" ht="14.25" customHeight="1">
      <c r="C2166" s="245"/>
      <c r="D2166" s="26"/>
      <c r="E2166" s="26"/>
      <c r="F2166" s="26"/>
      <c r="G2166" s="26"/>
      <c r="H2166" s="5"/>
    </row>
    <row r="2167" spans="3:8" ht="14.25" customHeight="1">
      <c r="C2167" s="245"/>
      <c r="D2167" s="26"/>
      <c r="E2167" s="26"/>
      <c r="F2167" s="26"/>
      <c r="G2167" s="26"/>
      <c r="H2167" s="5"/>
    </row>
    <row r="2168" spans="3:8" ht="14.25" customHeight="1">
      <c r="C2168" s="245"/>
      <c r="D2168" s="26"/>
      <c r="E2168" s="26"/>
      <c r="F2168" s="26"/>
      <c r="G2168" s="26"/>
      <c r="H2168" s="5"/>
    </row>
    <row r="2169" spans="3:8" ht="14.25" customHeight="1">
      <c r="C2169" s="245"/>
      <c r="D2169" s="26"/>
      <c r="E2169" s="26"/>
      <c r="F2169" s="26"/>
      <c r="G2169" s="26"/>
      <c r="H2169" s="5"/>
    </row>
    <row r="2170" spans="3:8" ht="14.25" customHeight="1">
      <c r="C2170" s="245"/>
      <c r="D2170" s="26"/>
      <c r="E2170" s="26"/>
      <c r="F2170" s="26"/>
      <c r="G2170" s="26"/>
      <c r="H2170" s="5"/>
    </row>
    <row r="2171" spans="3:8" ht="14.25" customHeight="1">
      <c r="C2171" s="245"/>
      <c r="D2171" s="26"/>
      <c r="E2171" s="26"/>
      <c r="F2171" s="26"/>
      <c r="G2171" s="26"/>
      <c r="H2171" s="5"/>
    </row>
    <row r="2172" spans="3:8" ht="14.25" customHeight="1">
      <c r="C2172" s="245"/>
      <c r="D2172" s="26"/>
      <c r="E2172" s="26"/>
      <c r="F2172" s="26"/>
      <c r="G2172" s="26"/>
      <c r="H2172" s="5"/>
    </row>
    <row r="2173" spans="3:8" ht="14.25" customHeight="1">
      <c r="C2173" s="245"/>
      <c r="D2173" s="26"/>
      <c r="E2173" s="26"/>
      <c r="F2173" s="26"/>
      <c r="G2173" s="26"/>
      <c r="H2173" s="5"/>
    </row>
    <row r="2174" spans="3:8" ht="14.25" customHeight="1">
      <c r="C2174" s="245"/>
      <c r="D2174" s="26"/>
      <c r="E2174" s="26"/>
      <c r="F2174" s="26"/>
      <c r="G2174" s="26"/>
      <c r="H2174" s="5"/>
    </row>
    <row r="2175" spans="3:8" ht="14.25" customHeight="1">
      <c r="C2175" s="245"/>
      <c r="D2175" s="26"/>
      <c r="E2175" s="26"/>
      <c r="F2175" s="26"/>
      <c r="G2175" s="26"/>
      <c r="H2175" s="5"/>
    </row>
    <row r="2176" spans="3:8" ht="14.25" customHeight="1">
      <c r="C2176" s="245"/>
      <c r="D2176" s="26"/>
      <c r="E2176" s="26"/>
      <c r="F2176" s="26"/>
      <c r="G2176" s="26"/>
      <c r="H2176" s="5"/>
    </row>
    <row r="2177" spans="1:46" ht="14.25" customHeight="1">
      <c r="C2177" s="245"/>
      <c r="D2177" s="26"/>
      <c r="E2177" s="26"/>
      <c r="F2177" s="26"/>
      <c r="G2177" s="26"/>
      <c r="H2177" s="5"/>
    </row>
    <row r="2178" spans="1:46" ht="14.25" customHeight="1">
      <c r="C2178" s="245"/>
      <c r="D2178" s="26"/>
      <c r="E2178" s="26"/>
      <c r="F2178" s="26"/>
      <c r="G2178" s="26"/>
      <c r="H2178" s="5"/>
    </row>
    <row r="2179" spans="1:46" ht="14.25" customHeight="1">
      <c r="C2179" s="245"/>
      <c r="D2179" s="26"/>
      <c r="E2179" s="26"/>
      <c r="F2179" s="26"/>
      <c r="G2179" s="26"/>
      <c r="H2179" s="5"/>
      <c r="O2179" s="38"/>
      <c r="S2179" s="38"/>
      <c r="T2179" s="38"/>
      <c r="U2179" s="38"/>
      <c r="V2179" s="38"/>
      <c r="W2179" s="38"/>
    </row>
    <row r="2180" spans="1:46" ht="14.25" customHeight="1">
      <c r="C2180" s="245"/>
      <c r="D2180" s="26"/>
      <c r="E2180" s="26"/>
      <c r="F2180" s="26"/>
      <c r="G2180" s="26"/>
      <c r="H2180" s="5"/>
      <c r="O2180" s="48"/>
      <c r="S2180" s="48"/>
      <c r="T2180" s="48"/>
      <c r="U2180" s="48"/>
      <c r="V2180" s="48"/>
      <c r="W2180" s="48"/>
    </row>
    <row r="2181" spans="1:46" ht="14.25" customHeight="1">
      <c r="C2181" s="245"/>
      <c r="D2181" s="26"/>
      <c r="E2181" s="26"/>
      <c r="F2181" s="26"/>
      <c r="G2181" s="26"/>
      <c r="H2181" s="5"/>
      <c r="O2181" s="149"/>
      <c r="S2181" s="149"/>
      <c r="T2181" s="149"/>
      <c r="U2181" s="149"/>
      <c r="V2181" s="149"/>
      <c r="W2181" s="149"/>
    </row>
    <row r="2182" spans="1:46" ht="14.25" customHeight="1">
      <c r="C2182" s="245"/>
      <c r="D2182" s="26"/>
      <c r="E2182" s="26"/>
      <c r="F2182" s="26"/>
      <c r="G2182" s="26"/>
      <c r="H2182" s="5"/>
      <c r="O2182" s="38"/>
      <c r="S2182" s="38"/>
      <c r="T2182" s="38"/>
      <c r="U2182" s="38"/>
      <c r="V2182" s="38"/>
      <c r="W2182" s="38"/>
    </row>
    <row r="2183" spans="1:46" ht="14.25" customHeight="1">
      <c r="C2183" s="245"/>
      <c r="D2183" s="26"/>
      <c r="E2183" s="26"/>
      <c r="F2183" s="26"/>
      <c r="G2183" s="26"/>
      <c r="H2183" s="26"/>
      <c r="J2183" s="26"/>
    </row>
    <row r="2184" spans="1:46" ht="14.25" customHeight="1">
      <c r="C2184" s="245"/>
      <c r="D2184" s="26"/>
      <c r="E2184" s="26"/>
      <c r="F2184" s="26"/>
      <c r="G2184" s="26"/>
      <c r="H2184" s="5"/>
    </row>
    <row r="2185" spans="1:46" s="8" customFormat="1">
      <c r="B2185" s="1"/>
      <c r="C2185" s="245"/>
      <c r="D2185" s="26"/>
      <c r="E2185" s="26"/>
      <c r="F2185" s="26"/>
      <c r="G2185" s="26"/>
      <c r="H2185" s="5"/>
      <c r="I2185" s="1"/>
      <c r="J2185" s="1"/>
      <c r="K2185" s="1"/>
      <c r="AN2185" s="280"/>
      <c r="AO2185" s="280"/>
      <c r="AP2185" s="280"/>
      <c r="AQ2185" s="280"/>
      <c r="AR2185" s="280"/>
      <c r="AS2185" s="280"/>
      <c r="AT2185" s="280"/>
    </row>
    <row r="2186" spans="1:46" s="8" customFormat="1" ht="12.75" customHeight="1">
      <c r="B2186" s="517" t="str">
        <f>TITLE!$C$40</f>
        <v>Розсувна система Verto-SLIDE</v>
      </c>
      <c r="C2186" s="518"/>
      <c r="D2186" s="118"/>
      <c r="E2186" s="118"/>
      <c r="F2186" s="118"/>
      <c r="G2186" s="118"/>
      <c r="H2186" s="520"/>
      <c r="I2186" s="520"/>
      <c r="J2186" s="121"/>
      <c r="K2186" s="121"/>
      <c r="L2186" s="121"/>
      <c r="M2186" s="121"/>
      <c r="N2186" s="121"/>
      <c r="O2186" s="121"/>
      <c r="P2186" s="121"/>
      <c r="Q2186" s="121"/>
      <c r="R2186" s="121"/>
      <c r="S2186" s="121"/>
      <c r="T2186" s="529" t="str">
        <f>IF($C$1="ENG",CONCATENATE("up to: ",B2120),CONCATENATE("вгору до: ",B2120))</f>
        <v>вгору до: Полотна: ДОБОРИ</v>
      </c>
      <c r="U2186" s="529"/>
      <c r="V2186" s="529"/>
      <c r="W2186" s="529"/>
      <c r="AN2186" s="280"/>
      <c r="AO2186" s="280"/>
      <c r="AP2186" s="280"/>
      <c r="AQ2186" s="280"/>
      <c r="AR2186" s="280"/>
      <c r="AS2186" s="280"/>
      <c r="AT2186" s="280"/>
    </row>
    <row r="2187" spans="1:46" ht="4.5" customHeight="1">
      <c r="A2187" s="8"/>
      <c r="B2187" s="148"/>
      <c r="C2187" s="419"/>
      <c r="D2187" s="9"/>
      <c r="E2187" s="9"/>
      <c r="F2187" s="10"/>
      <c r="G2187" s="10"/>
      <c r="H2187" s="120"/>
      <c r="I2187" s="120"/>
      <c r="J2187" s="8"/>
      <c r="K2187" s="8"/>
      <c r="L2187" s="47"/>
      <c r="M2187" s="47"/>
      <c r="N2187" s="46"/>
      <c r="O2187" s="46"/>
      <c r="P2187" s="47"/>
      <c r="Q2187" s="47"/>
      <c r="R2187" s="46"/>
      <c r="S2187" s="46"/>
      <c r="T2187" s="48"/>
    </row>
    <row r="2188" spans="1:46" ht="12.75" customHeight="1">
      <c r="A2188" s="8"/>
      <c r="B2188" s="536" t="str">
        <f>IF($C$1="ENG","(without door)","(без полотна)")</f>
        <v>(без полотна)</v>
      </c>
      <c r="C2188" s="122" t="str">
        <f>IF($C$1="ENG","cover:","покриття:")</f>
        <v>покриття:</v>
      </c>
      <c r="D2188" s="522" t="str">
        <f>IF($C$1="ENG","SIMPL / V-CELL","SIMPL / V-CELL")</f>
        <v>SIMPL / V-CELL</v>
      </c>
      <c r="E2188" s="524"/>
      <c r="F2188" s="522" t="str">
        <f>IF($C$1="ENG","UNI-MAT","UNI-MAT")</f>
        <v>UNI-MAT</v>
      </c>
      <c r="G2188" s="524"/>
      <c r="H2188" s="522" t="str">
        <f>IF($C$1="ENG","RESIST","RESIST")</f>
        <v>RESIST</v>
      </c>
      <c r="I2188" s="524"/>
      <c r="J2188" s="522" t="str">
        <f>IF($C$1="ENG","Verto LINE-3D","Verto LINE-3D")</f>
        <v>Verto LINE-3D</v>
      </c>
      <c r="K2188" s="524"/>
      <c r="L2188" s="522" t="str">
        <f>IF($C$1="ENG","ECO Shpon / LOFT ","ЕКО Шпон / ЛОФТ")</f>
        <v>ЕКО Шпон / ЛОФТ</v>
      </c>
      <c r="M2188" s="524"/>
      <c r="N2188" s="46"/>
      <c r="O2188" s="46"/>
      <c r="R2188" s="46"/>
      <c r="S2188" s="46"/>
      <c r="T2188" s="48"/>
      <c r="AD2188" s="383">
        <f>AD2190/AC2190-1</f>
        <v>3.7037037037036979E-2</v>
      </c>
      <c r="AE2188" s="383">
        <f>AE2190/AD2190-1</f>
        <v>2.8061224489795977E-2</v>
      </c>
      <c r="AF2188" s="383">
        <f>AF2190/AE2190-1</f>
        <v>8.4367245657568146E-2</v>
      </c>
      <c r="AG2188" s="383">
        <f>AG2190/AF2190-1</f>
        <v>5.720823798626995E-2</v>
      </c>
    </row>
    <row r="2189" spans="1:46" ht="12.75" customHeight="1">
      <c r="A2189" s="8"/>
      <c r="B2189" s="538"/>
      <c r="C2189" s="124" t="str">
        <f>IF($C$1="ENG","type:","виконання:")</f>
        <v>виконання:</v>
      </c>
      <c r="D2189" s="513" t="str">
        <f>IF($C$1="ENG","single leaf","одностулкове")</f>
        <v>одностулкове</v>
      </c>
      <c r="E2189" s="516"/>
      <c r="F2189" s="513" t="str">
        <f>IF($C$1="ENG","single leaf","одностулкове")</f>
        <v>одностулкове</v>
      </c>
      <c r="G2189" s="516"/>
      <c r="H2189" s="513" t="str">
        <f>IF($C$1="ENG","single leaf","одностулкове")</f>
        <v>одностулкове</v>
      </c>
      <c r="I2189" s="516"/>
      <c r="J2189" s="513" t="str">
        <f>IF($C$1="ENG","single leaf","одностулкове")</f>
        <v>одностулкове</v>
      </c>
      <c r="K2189" s="516"/>
      <c r="L2189" s="513" t="str">
        <f>IF($C$1="ENG","single leaf","одностулкове")</f>
        <v>одностулкове</v>
      </c>
      <c r="M2189" s="516"/>
      <c r="N2189" s="28"/>
      <c r="O2189" s="29"/>
      <c r="R2189" s="28"/>
      <c r="S2189" s="29"/>
      <c r="T2189" s="52"/>
      <c r="U2189" s="29"/>
      <c r="W2189" s="29"/>
      <c r="X2189" s="22"/>
      <c r="Y2189" s="22"/>
      <c r="Z2189" s="22"/>
      <c r="AA2189" s="22"/>
      <c r="AB2189" s="22"/>
    </row>
    <row r="2190" spans="1:46" ht="34.5" customHeight="1">
      <c r="B2190" s="150" t="str">
        <f>IF($C$1="ENG","Sliding system","Розсувна система")</f>
        <v>Розсувна система</v>
      </c>
      <c r="C2190" s="329"/>
      <c r="D2190" s="51">
        <f>IF(AC2190="","",(1-$W$2)*(AC2190/1.2))</f>
        <v>3150</v>
      </c>
      <c r="E2190" s="85">
        <f>IF($W$5=0.2,D2190*1.2,D2190)/$W$4</f>
        <v>3780</v>
      </c>
      <c r="F2190" s="51">
        <f>IF(AD2190="","",(1-$W$2)*(AD2190/1.2))</f>
        <v>3266.666666666667</v>
      </c>
      <c r="G2190" s="85">
        <f>IF($W$5=0.2,F2190*1.2,F2190)/$W$4</f>
        <v>3920</v>
      </c>
      <c r="H2190" s="51">
        <f>IF(AE2190="","",(1-$W$2)*(AE2190/1.2))</f>
        <v>3358.3333333333335</v>
      </c>
      <c r="I2190" s="85">
        <f>IF($W$5=0.2,H2190*1.2,H2190)/$W$4</f>
        <v>4030</v>
      </c>
      <c r="J2190" s="51">
        <f>IF(AF2190="","",(1-$W$2)*(AF2190/1.2))</f>
        <v>3641.666666666667</v>
      </c>
      <c r="K2190" s="85">
        <f>IF($W$5=0.2,J2190*1.2,J2190)/$W$4</f>
        <v>4370</v>
      </c>
      <c r="L2190" s="51">
        <f>IF(AG2190="","",(1-$W$2)*(AG2190/1.2))</f>
        <v>3850</v>
      </c>
      <c r="M2190" s="85">
        <f>IF($W$5=0.2,L2190*1.2,L2190)/$W$4</f>
        <v>4620</v>
      </c>
      <c r="AC2190" s="332">
        <v>3780</v>
      </c>
      <c r="AD2190" s="332">
        <v>3920</v>
      </c>
      <c r="AE2190" s="332">
        <v>4030</v>
      </c>
      <c r="AF2190" s="332">
        <v>4370</v>
      </c>
      <c r="AG2190" s="332">
        <v>4620</v>
      </c>
      <c r="AH2190" s="289">
        <v>3780</v>
      </c>
      <c r="AI2190" s="289">
        <f>AH2190/AC2190-1</f>
        <v>0</v>
      </c>
      <c r="AJ2190" s="289">
        <v>3920</v>
      </c>
      <c r="AK2190" s="289">
        <f>AJ2190/AD2190-1</f>
        <v>0</v>
      </c>
      <c r="AL2190" s="289">
        <v>4030</v>
      </c>
      <c r="AM2190" s="289">
        <f>AL2190/AE2190-1</f>
        <v>0</v>
      </c>
      <c r="AN2190" s="289">
        <v>4370</v>
      </c>
      <c r="AO2190" s="289">
        <f>AN2190/AF2190-1</f>
        <v>0</v>
      </c>
      <c r="AP2190" s="289">
        <v>4620</v>
      </c>
      <c r="AQ2190" s="289">
        <f>AP2190/AG2190-1</f>
        <v>0</v>
      </c>
    </row>
    <row r="2191" spans="1:46">
      <c r="C2191" s="245"/>
      <c r="D2191" s="26"/>
      <c r="E2191" s="26"/>
      <c r="F2191" s="26"/>
      <c r="G2191" s="26"/>
      <c r="H2191" s="5"/>
      <c r="L2191" s="8"/>
    </row>
    <row r="2192" spans="1:46" ht="12.75" customHeight="1">
      <c r="B2192" s="212" t="str">
        <f>IF($C$1="ENG","For additonal charge:","Послуги за додаткову плату:")</f>
        <v>Послуги за додаткову плату:</v>
      </c>
      <c r="C2192" s="420"/>
      <c r="D2192" s="213"/>
      <c r="E2192" s="214"/>
      <c r="F2192" s="39"/>
      <c r="G2192" s="39"/>
      <c r="H2192" s="10"/>
      <c r="I2192" s="8"/>
      <c r="J2192" s="8"/>
      <c r="K2192" s="8"/>
    </row>
    <row r="2193" spans="2:38" ht="4.5" customHeight="1">
      <c r="B2193" s="27"/>
      <c r="C2193" s="245"/>
      <c r="D2193" s="26"/>
      <c r="E2193" s="57"/>
      <c r="F2193" s="26"/>
      <c r="G2193" s="26"/>
      <c r="H2193" s="10"/>
      <c r="I2193" s="8"/>
      <c r="J2193" s="8"/>
      <c r="K2193" s="8"/>
    </row>
    <row r="2194" spans="2:38" ht="14.25" customHeight="1">
      <c r="B2194" s="551" t="str">
        <f>IF($C$1="ENG","Door lock hatch","відповідна планка замка")</f>
        <v>відповідна планка замка</v>
      </c>
      <c r="C2194" s="552"/>
      <c r="D2194" s="51">
        <f>IF(AC2194="","",(1-$W$2)*(AC2194/1.2))</f>
        <v>91.666666666666671</v>
      </c>
      <c r="E2194" s="85">
        <f>IF($W$5=0.2,D2194*1.2,D2194)/$W$4</f>
        <v>110</v>
      </c>
      <c r="F2194" s="26"/>
      <c r="G2194" s="26"/>
      <c r="H2194" s="10"/>
      <c r="I2194" s="84"/>
      <c r="J2194" s="8"/>
      <c r="K2194" s="8"/>
      <c r="AC2194" s="298">
        <v>110</v>
      </c>
      <c r="AD2194" s="289"/>
      <c r="AE2194" s="289"/>
      <c r="AF2194" s="289"/>
      <c r="AG2194" s="289"/>
      <c r="AH2194" s="289"/>
      <c r="AI2194" s="289"/>
      <c r="AJ2194" s="289"/>
      <c r="AK2194" s="289"/>
      <c r="AL2194" s="289"/>
    </row>
    <row r="2195" spans="2:38" ht="14.25" customHeight="1">
      <c r="B2195" s="95"/>
      <c r="C2195" s="95"/>
      <c r="D2195" s="96"/>
      <c r="E2195" s="59"/>
      <c r="F2195" s="26"/>
      <c r="G2195" s="26"/>
      <c r="I2195" s="11"/>
      <c r="J2195" s="11"/>
      <c r="K2195" s="19"/>
      <c r="T2195" s="546" t="str">
        <f>IF($C$1="ENG",CONCATENATE("down to: ",B2245),CONCATENATE("вниз до: ",B2245))</f>
        <v>вниз до: Дверна коробка STANDARD</v>
      </c>
      <c r="U2195" s="546"/>
      <c r="V2195" s="546"/>
      <c r="W2195" s="546"/>
    </row>
    <row r="2196" spans="2:38" ht="14.25" customHeight="1">
      <c r="C2196" s="245"/>
      <c r="D2196" s="26"/>
      <c r="E2196" s="26"/>
      <c r="F2196" s="26"/>
      <c r="G2196" s="26"/>
      <c r="H2196" s="5"/>
      <c r="I2196" s="26"/>
    </row>
    <row r="2197" spans="2:38" ht="14.25" customHeight="1">
      <c r="C2197" s="245"/>
      <c r="D2197" s="26"/>
      <c r="E2197" s="26"/>
      <c r="F2197" s="26"/>
      <c r="G2197" s="57"/>
      <c r="H2197" s="5"/>
      <c r="I2197" s="26"/>
    </row>
    <row r="2198" spans="2:38" ht="14.25" customHeight="1">
      <c r="C2198" s="245"/>
      <c r="D2198" s="26"/>
      <c r="E2198" s="26"/>
      <c r="F2198" s="26"/>
      <c r="G2198" s="26"/>
      <c r="H2198" s="5"/>
      <c r="I2198" s="26"/>
    </row>
    <row r="2199" spans="2:38" ht="14.25" customHeight="1">
      <c r="C2199" s="245"/>
      <c r="D2199" s="26"/>
      <c r="E2199" s="26"/>
      <c r="F2199" s="26"/>
      <c r="G2199" s="26"/>
      <c r="H2199" s="5"/>
      <c r="I2199" s="57"/>
    </row>
    <row r="2200" spans="2:38" ht="14.25" customHeight="1">
      <c r="C2200" s="245"/>
      <c r="D2200" s="26"/>
      <c r="E2200" s="26"/>
      <c r="F2200" s="26"/>
      <c r="G2200" s="26"/>
      <c r="H2200" s="5"/>
      <c r="I2200" s="26"/>
    </row>
    <row r="2201" spans="2:38" ht="14.25" customHeight="1">
      <c r="C2201" s="245"/>
      <c r="D2201" s="26"/>
      <c r="E2201" s="26"/>
      <c r="F2201" s="26"/>
      <c r="G2201" s="26"/>
      <c r="H2201" s="5"/>
      <c r="I2201" s="26"/>
    </row>
    <row r="2202" spans="2:38" ht="14.25" customHeight="1">
      <c r="C2202" s="245"/>
      <c r="D2202" s="26"/>
      <c r="E2202" s="26"/>
      <c r="F2202" s="26"/>
      <c r="G2202" s="26"/>
      <c r="H2202" s="5"/>
      <c r="I2202" s="26"/>
    </row>
    <row r="2203" spans="2:38" ht="14.25" customHeight="1">
      <c r="C2203" s="245"/>
      <c r="D2203" s="26"/>
      <c r="E2203" s="26"/>
      <c r="F2203" s="26"/>
      <c r="G2203" s="26"/>
      <c r="H2203" s="5"/>
      <c r="I2203" s="26"/>
    </row>
    <row r="2204" spans="2:38" ht="14.25" customHeight="1">
      <c r="C2204" s="245"/>
      <c r="D2204" s="26"/>
      <c r="E2204" s="26"/>
      <c r="F2204" s="26"/>
      <c r="G2204" s="26"/>
      <c r="H2204" s="5"/>
      <c r="I2204" s="26"/>
    </row>
    <row r="2205" spans="2:38" ht="14.25" customHeight="1">
      <c r="C2205" s="245"/>
      <c r="D2205" s="26"/>
      <c r="E2205" s="26"/>
      <c r="F2205" s="26"/>
      <c r="G2205" s="26"/>
      <c r="H2205" s="5"/>
      <c r="I2205" s="26"/>
    </row>
    <row r="2206" spans="2:38" ht="14.25" customHeight="1">
      <c r="C2206" s="245"/>
      <c r="D2206" s="26"/>
      <c r="E2206" s="26"/>
      <c r="F2206" s="26"/>
      <c r="G2206" s="26"/>
      <c r="H2206" s="5"/>
      <c r="I2206" s="26"/>
    </row>
    <row r="2207" spans="2:38" ht="14.25" customHeight="1">
      <c r="C2207" s="245"/>
      <c r="D2207" s="26"/>
      <c r="E2207" s="26"/>
      <c r="F2207" s="26"/>
      <c r="G2207" s="26"/>
      <c r="H2207" s="5"/>
      <c r="I2207" s="26"/>
    </row>
    <row r="2208" spans="2:38" ht="14.25" customHeight="1">
      <c r="C2208" s="245"/>
      <c r="D2208" s="26"/>
      <c r="E2208" s="26"/>
      <c r="F2208" s="26"/>
      <c r="G2208" s="26"/>
      <c r="H2208" s="5"/>
      <c r="I2208" s="26"/>
    </row>
    <row r="2209" spans="3:9" ht="14.25" customHeight="1">
      <c r="C2209" s="245"/>
      <c r="D2209" s="26"/>
      <c r="E2209" s="26"/>
      <c r="F2209" s="26"/>
      <c r="G2209" s="26"/>
      <c r="H2209" s="5"/>
      <c r="I2209" s="26"/>
    </row>
    <row r="2210" spans="3:9" ht="14.25" customHeight="1">
      <c r="C2210" s="245"/>
      <c r="D2210" s="26"/>
      <c r="E2210" s="26"/>
      <c r="F2210" s="26"/>
      <c r="G2210" s="26"/>
      <c r="H2210" s="5"/>
      <c r="I2210" s="26"/>
    </row>
    <row r="2211" spans="3:9" ht="14.25" customHeight="1">
      <c r="C2211" s="245"/>
      <c r="D2211" s="26"/>
      <c r="E2211" s="26"/>
      <c r="F2211" s="26"/>
      <c r="G2211" s="26"/>
      <c r="H2211" s="5"/>
      <c r="I2211" s="26"/>
    </row>
    <row r="2212" spans="3:9" ht="14.25" customHeight="1">
      <c r="C2212" s="245"/>
      <c r="D2212" s="26"/>
      <c r="E2212" s="26"/>
      <c r="F2212" s="26"/>
      <c r="G2212" s="26"/>
      <c r="H2212" s="5"/>
      <c r="I2212" s="26"/>
    </row>
    <row r="2213" spans="3:9" ht="14.25" customHeight="1">
      <c r="C2213" s="245"/>
      <c r="D2213" s="26"/>
      <c r="E2213" s="26"/>
      <c r="F2213" s="26"/>
      <c r="G2213" s="26"/>
      <c r="H2213" s="5"/>
      <c r="I2213" s="26"/>
    </row>
    <row r="2214" spans="3:9" ht="14.25" customHeight="1">
      <c r="C2214" s="245"/>
      <c r="D2214" s="26"/>
      <c r="E2214" s="26"/>
      <c r="F2214" s="26"/>
      <c r="G2214" s="26"/>
      <c r="H2214" s="5"/>
      <c r="I2214" s="26"/>
    </row>
    <row r="2215" spans="3:9" ht="14.25" customHeight="1">
      <c r="C2215" s="245"/>
      <c r="D2215" s="26"/>
      <c r="E2215" s="26"/>
      <c r="F2215" s="26"/>
      <c r="G2215" s="26"/>
      <c r="H2215" s="5"/>
      <c r="I2215" s="26"/>
    </row>
    <row r="2216" spans="3:9" ht="14.25" customHeight="1">
      <c r="C2216" s="245"/>
      <c r="D2216" s="26"/>
      <c r="E2216" s="26"/>
      <c r="F2216" s="26"/>
      <c r="G2216" s="26"/>
      <c r="H2216" s="5"/>
      <c r="I2216" s="26"/>
    </row>
    <row r="2217" spans="3:9" ht="14.25" customHeight="1">
      <c r="C2217" s="245"/>
      <c r="D2217" s="26"/>
      <c r="E2217" s="26"/>
      <c r="F2217" s="26"/>
      <c r="G2217" s="26"/>
      <c r="H2217" s="5"/>
      <c r="I2217" s="26"/>
    </row>
    <row r="2218" spans="3:9" ht="14.25" customHeight="1">
      <c r="C2218" s="245"/>
      <c r="D2218" s="26"/>
      <c r="E2218" s="26"/>
      <c r="F2218" s="26"/>
      <c r="G2218" s="26"/>
      <c r="H2218" s="5"/>
      <c r="I2218" s="26"/>
    </row>
    <row r="2219" spans="3:9" ht="14.25" customHeight="1">
      <c r="C2219" s="245"/>
      <c r="D2219" s="26"/>
      <c r="E2219" s="26"/>
      <c r="F2219" s="26"/>
      <c r="G2219" s="26"/>
      <c r="H2219" s="5"/>
      <c r="I2219" s="26"/>
    </row>
    <row r="2220" spans="3:9" ht="14.25" customHeight="1">
      <c r="C2220" s="245"/>
      <c r="D2220" s="26"/>
      <c r="E2220" s="26"/>
      <c r="F2220" s="26"/>
      <c r="G2220" s="26"/>
      <c r="H2220" s="5"/>
      <c r="I2220" s="26"/>
    </row>
    <row r="2221" spans="3:9" ht="14.25" customHeight="1">
      <c r="C2221" s="245"/>
      <c r="D2221" s="26"/>
      <c r="E2221" s="26"/>
      <c r="F2221" s="26"/>
      <c r="G2221" s="26"/>
      <c r="H2221" s="5"/>
      <c r="I2221" s="26"/>
    </row>
    <row r="2222" spans="3:9" ht="14.25" customHeight="1">
      <c r="C2222" s="245"/>
      <c r="D2222" s="26"/>
      <c r="E2222" s="26"/>
      <c r="F2222" s="26"/>
      <c r="G2222" s="26"/>
      <c r="H2222" s="5"/>
      <c r="I2222" s="26"/>
    </row>
    <row r="2223" spans="3:9" ht="14.25" customHeight="1">
      <c r="C2223" s="245"/>
      <c r="D2223" s="26"/>
      <c r="E2223" s="26"/>
      <c r="F2223" s="26"/>
      <c r="G2223" s="26"/>
      <c r="H2223" s="5"/>
      <c r="I2223" s="26"/>
    </row>
    <row r="2224" spans="3:9" ht="14.25" customHeight="1">
      <c r="C2224" s="245"/>
      <c r="D2224" s="26"/>
      <c r="E2224" s="26"/>
      <c r="F2224" s="26"/>
      <c r="G2224" s="26"/>
      <c r="H2224" s="5"/>
      <c r="I2224" s="26"/>
    </row>
    <row r="2225" spans="3:23" ht="14.25" customHeight="1">
      <c r="C2225" s="245"/>
      <c r="D2225" s="26"/>
      <c r="E2225" s="26"/>
      <c r="F2225" s="26"/>
      <c r="G2225" s="26"/>
      <c r="H2225" s="5"/>
      <c r="I2225" s="26"/>
    </row>
    <row r="2226" spans="3:23" ht="14.25" customHeight="1">
      <c r="C2226" s="245"/>
      <c r="D2226" s="26"/>
      <c r="E2226" s="26"/>
      <c r="F2226" s="26"/>
      <c r="G2226" s="26"/>
      <c r="H2226" s="5"/>
      <c r="I2226" s="26"/>
    </row>
    <row r="2227" spans="3:23" ht="14.25" customHeight="1">
      <c r="C2227" s="245"/>
      <c r="D2227" s="26"/>
      <c r="E2227" s="26"/>
      <c r="F2227" s="26"/>
      <c r="G2227" s="26"/>
      <c r="H2227" s="5"/>
      <c r="I2227" s="26"/>
    </row>
    <row r="2228" spans="3:23" ht="14.25" customHeight="1">
      <c r="C2228" s="245"/>
      <c r="D2228" s="26"/>
      <c r="E2228" s="26"/>
      <c r="F2228" s="26"/>
      <c r="G2228" s="26"/>
      <c r="H2228" s="5"/>
      <c r="I2228" s="26"/>
    </row>
    <row r="2229" spans="3:23" ht="14.25" customHeight="1">
      <c r="C2229" s="245"/>
      <c r="D2229" s="26"/>
      <c r="E2229" s="26"/>
      <c r="F2229" s="26"/>
      <c r="G2229" s="26"/>
      <c r="H2229" s="5"/>
      <c r="I2229" s="26"/>
    </row>
    <row r="2230" spans="3:23" ht="14.25" customHeight="1">
      <c r="C2230" s="245"/>
      <c r="D2230" s="26"/>
      <c r="E2230" s="26"/>
      <c r="F2230" s="26"/>
      <c r="G2230" s="26"/>
      <c r="H2230" s="5"/>
      <c r="I2230" s="26"/>
    </row>
    <row r="2231" spans="3:23" ht="14.25" customHeight="1">
      <c r="C2231" s="245"/>
      <c r="D2231" s="26"/>
      <c r="E2231" s="26"/>
      <c r="F2231" s="26"/>
      <c r="G2231" s="26"/>
      <c r="H2231" s="5"/>
      <c r="I2231" s="26"/>
    </row>
    <row r="2232" spans="3:23" ht="14.25" customHeight="1">
      <c r="C2232" s="245"/>
      <c r="D2232" s="26"/>
      <c r="E2232" s="26"/>
      <c r="F2232" s="26"/>
      <c r="G2232" s="26"/>
      <c r="H2232" s="5"/>
      <c r="I2232" s="26"/>
      <c r="K2232" s="57"/>
      <c r="W2232" s="57"/>
    </row>
    <row r="2233" spans="3:23" ht="14.25" customHeight="1">
      <c r="C2233" s="245"/>
      <c r="D2233" s="26"/>
      <c r="E2233" s="26"/>
      <c r="F2233" s="26"/>
      <c r="G2233" s="57"/>
      <c r="H2233" s="5"/>
      <c r="I2233" s="26"/>
      <c r="K2233" s="57"/>
      <c r="O2233" s="57"/>
      <c r="S2233" s="57"/>
      <c r="W2233" s="57"/>
    </row>
    <row r="2234" spans="3:23" ht="14.25" customHeight="1">
      <c r="C2234" s="245"/>
      <c r="D2234" s="26"/>
      <c r="E2234" s="26"/>
      <c r="F2234" s="26"/>
      <c r="G2234" s="57"/>
      <c r="H2234" s="5"/>
      <c r="I2234" s="26"/>
      <c r="K2234" s="57"/>
      <c r="O2234" s="57"/>
      <c r="S2234" s="57"/>
      <c r="W2234" s="57"/>
    </row>
    <row r="2235" spans="3:23" ht="14.25" customHeight="1">
      <c r="C2235" s="245"/>
      <c r="D2235" s="26"/>
      <c r="E2235" s="26"/>
      <c r="F2235" s="26"/>
      <c r="G2235" s="57"/>
      <c r="H2235" s="5"/>
      <c r="I2235" s="26"/>
      <c r="K2235" s="57"/>
      <c r="O2235" s="57"/>
      <c r="S2235" s="57"/>
      <c r="W2235" s="57"/>
    </row>
    <row r="2236" spans="3:23" ht="14.25" customHeight="1">
      <c r="C2236" s="245"/>
      <c r="D2236" s="26"/>
      <c r="E2236" s="26"/>
      <c r="F2236" s="26"/>
      <c r="G2236" s="26"/>
      <c r="H2236" s="5"/>
      <c r="I2236" s="26"/>
      <c r="K2236" s="26"/>
      <c r="O2236" s="26"/>
      <c r="S2236" s="26"/>
      <c r="W2236" s="26"/>
    </row>
    <row r="2237" spans="3:23" ht="14.25" customHeight="1">
      <c r="C2237" s="245"/>
      <c r="D2237" s="26"/>
      <c r="E2237" s="26"/>
      <c r="F2237" s="26"/>
      <c r="G2237" s="57"/>
      <c r="H2237" s="5"/>
      <c r="I2237" s="26"/>
      <c r="K2237" s="57"/>
      <c r="O2237" s="57"/>
      <c r="S2237" s="57"/>
      <c r="W2237" s="57"/>
    </row>
    <row r="2238" spans="3:23" ht="14.25" customHeight="1">
      <c r="C2238" s="245"/>
      <c r="D2238" s="26"/>
      <c r="E2238" s="26"/>
      <c r="F2238" s="26"/>
      <c r="G2238" s="57"/>
      <c r="H2238" s="5"/>
      <c r="I2238" s="26"/>
      <c r="K2238" s="57"/>
      <c r="O2238" s="57"/>
      <c r="S2238" s="57"/>
      <c r="W2238" s="57"/>
    </row>
    <row r="2239" spans="3:23" ht="14.25" customHeight="1">
      <c r="C2239" s="245"/>
      <c r="D2239" s="26"/>
      <c r="E2239" s="26"/>
      <c r="F2239" s="26"/>
      <c r="G2239" s="57"/>
      <c r="H2239" s="5"/>
      <c r="I2239" s="26"/>
      <c r="K2239" s="57"/>
      <c r="O2239" s="57"/>
      <c r="S2239" s="57"/>
      <c r="W2239" s="57"/>
    </row>
    <row r="2240" spans="3:23" ht="14.25" customHeight="1">
      <c r="C2240" s="245"/>
      <c r="D2240" s="26"/>
      <c r="E2240" s="26"/>
      <c r="F2240" s="26"/>
      <c r="G2240" s="57"/>
      <c r="H2240" s="5"/>
      <c r="I2240" s="26"/>
      <c r="K2240" s="57"/>
      <c r="O2240" s="57"/>
      <c r="S2240" s="57"/>
      <c r="W2240" s="57"/>
    </row>
    <row r="2241" spans="1:58" ht="14.25" customHeight="1">
      <c r="C2241" s="245"/>
      <c r="D2241" s="26"/>
      <c r="E2241" s="26"/>
      <c r="F2241" s="26"/>
      <c r="G2241" s="57"/>
      <c r="H2241" s="5"/>
      <c r="I2241" s="26"/>
      <c r="K2241" s="57"/>
      <c r="O2241" s="57"/>
      <c r="S2241" s="57"/>
      <c r="W2241" s="57"/>
    </row>
    <row r="2242" spans="1:58" ht="14.25" customHeight="1">
      <c r="C2242" s="245"/>
      <c r="D2242" s="26"/>
      <c r="E2242" s="26"/>
      <c r="F2242" s="26"/>
      <c r="G2242" s="57"/>
      <c r="H2242" s="5"/>
      <c r="I2242" s="26"/>
      <c r="K2242" s="57"/>
      <c r="O2242" s="57"/>
      <c r="S2242" s="57"/>
      <c r="W2242" s="57"/>
      <c r="AC2242" s="20"/>
      <c r="AG2242" s="20"/>
    </row>
    <row r="2243" spans="1:58" ht="14.25" customHeight="1">
      <c r="C2243" s="245"/>
      <c r="D2243" s="26"/>
      <c r="E2243" s="26"/>
      <c r="F2243" s="26"/>
      <c r="G2243" s="57"/>
      <c r="H2243" s="5"/>
      <c r="I2243" s="26"/>
      <c r="J2243" s="5"/>
      <c r="K2243" s="57"/>
      <c r="L2243" s="26"/>
      <c r="N2243" s="26"/>
      <c r="O2243" s="57"/>
      <c r="P2243" s="26"/>
      <c r="R2243" s="26"/>
      <c r="S2243" s="57"/>
      <c r="T2243" s="26"/>
      <c r="V2243" s="26"/>
      <c r="W2243" s="57"/>
    </row>
    <row r="2244" spans="1:58" ht="14.25" customHeight="1">
      <c r="C2244" s="245"/>
      <c r="D2244" s="26"/>
      <c r="E2244" s="26"/>
      <c r="F2244" s="26"/>
      <c r="G2244" s="57"/>
      <c r="H2244" s="26"/>
      <c r="I2244" s="26"/>
      <c r="J2244" s="26"/>
      <c r="K2244" s="57"/>
      <c r="O2244" s="26"/>
      <c r="S2244" s="26"/>
      <c r="W2244" s="26"/>
    </row>
    <row r="2245" spans="1:58" s="8" customFormat="1">
      <c r="B2245" s="517" t="str">
        <f>TITLE!$C$43</f>
        <v>Дверна коробка STANDARD</v>
      </c>
      <c r="C2245" s="517"/>
      <c r="D2245" s="118"/>
      <c r="E2245" s="519" t="str">
        <f>IF($C$1="ENG","For Door Leafs with Rebbit","Для Дверних Полотен з Фальцем")</f>
        <v>Для Дверних Полотен з Фальцем</v>
      </c>
      <c r="F2245" s="519"/>
      <c r="G2245" s="519"/>
      <c r="H2245" s="519"/>
      <c r="I2245" s="519"/>
      <c r="J2245" s="519"/>
      <c r="K2245" s="519"/>
      <c r="L2245" s="520"/>
      <c r="M2245" s="520"/>
      <c r="N2245" s="520"/>
      <c r="O2245" s="520"/>
      <c r="P2245" s="520"/>
      <c r="Q2245" s="520"/>
      <c r="R2245" s="520"/>
      <c r="S2245" s="520"/>
      <c r="T2245" s="529" t="str">
        <f>IF($C$1="ENG",CONCATENATE("up to: ",B2186),CONCATENATE("вгору до: ",B2186))</f>
        <v>вгору до: Розсувна система Verto-SLIDE</v>
      </c>
      <c r="U2245" s="529"/>
      <c r="V2245" s="529"/>
      <c r="W2245" s="529"/>
      <c r="AN2245" s="280"/>
      <c r="AO2245" s="280"/>
      <c r="AP2245" s="280"/>
      <c r="AQ2245" s="280"/>
      <c r="AR2245" s="280"/>
      <c r="AS2245" s="280"/>
      <c r="AT2245" s="280"/>
    </row>
    <row r="2246" spans="1:58" s="8" customFormat="1" ht="5.0999999999999996" customHeight="1">
      <c r="C2246" s="423"/>
      <c r="L2246" s="151"/>
      <c r="M2246" s="151"/>
      <c r="N2246" s="151"/>
      <c r="O2246" s="151"/>
      <c r="P2246" s="151"/>
      <c r="Q2246" s="151"/>
      <c r="R2246" s="151"/>
      <c r="S2246" s="151"/>
      <c r="T2246" s="152"/>
      <c r="U2246" s="152"/>
      <c r="V2246" s="152"/>
      <c r="W2246" s="152"/>
      <c r="AN2246" s="280"/>
      <c r="AO2246" s="280"/>
      <c r="AP2246" s="280"/>
      <c r="AQ2246" s="280"/>
      <c r="AR2246" s="280"/>
      <c r="AS2246" s="280"/>
      <c r="AT2246" s="280"/>
    </row>
    <row r="2247" spans="1:58" ht="12.75" customHeight="1">
      <c r="A2247" s="8"/>
      <c r="B2247" s="307" t="str">
        <f>IF($C$1="ENG","model","модель")</f>
        <v>модель</v>
      </c>
      <c r="C2247" s="122" t="str">
        <f>IF($C$1="ENG","cover:","покриття:")</f>
        <v>покриття:</v>
      </c>
      <c r="D2247" s="522" t="str">
        <f>IF($C$1="ENG","SIMPLEX / VERTO-CELL ","SIMPLEX / VERTO-CELL")</f>
        <v>SIMPLEX / VERTO-CELL</v>
      </c>
      <c r="E2247" s="523"/>
      <c r="F2247" s="523"/>
      <c r="G2247" s="524"/>
      <c r="H2247" s="522" t="str">
        <f>IF($C$1="ENG","UNI-MAT","UNI-MAT")</f>
        <v>UNI-MAT</v>
      </c>
      <c r="I2247" s="523"/>
      <c r="J2247" s="523"/>
      <c r="K2247" s="524"/>
      <c r="L2247" s="522" t="str">
        <f>IF($C$1="ENG","RESIST","RESIST")</f>
        <v>RESIST</v>
      </c>
      <c r="M2247" s="523"/>
      <c r="N2247" s="523"/>
      <c r="O2247" s="524"/>
      <c r="P2247" s="522" t="str">
        <f>IF($C$1="ENG","Verto LINE-3D","Verto LINE-3D")</f>
        <v>Verto LINE-3D</v>
      </c>
      <c r="Q2247" s="523"/>
      <c r="R2247" s="523"/>
      <c r="S2247" s="524"/>
      <c r="T2247" s="522" t="str">
        <f>IF($C$1="ENG","ECO Shpon / LOFT","ЕКО Шпон / LOFT")</f>
        <v>ЕКО Шпон / LOFT</v>
      </c>
      <c r="U2247" s="523"/>
      <c r="V2247" s="523"/>
      <c r="W2247" s="524"/>
      <c r="AE2247" s="383">
        <f>AE2249/AC2249-1</f>
        <v>0.13114754098360648</v>
      </c>
      <c r="AF2247" s="383"/>
      <c r="AG2247" s="383">
        <f>AG2249/AE2249-1</f>
        <v>3.8647342995169032E-2</v>
      </c>
    </row>
    <row r="2248" spans="1:58" ht="12.75" customHeight="1">
      <c r="A2248" s="8"/>
      <c r="B2248" s="309"/>
      <c r="C2248" s="124" t="str">
        <f>IF($C$1="ENG","type:","виконання:")</f>
        <v>виконання:</v>
      </c>
      <c r="D2248" s="513" t="str">
        <f>IF($C$1="ENG","single leaf","одностулкове")</f>
        <v>одностулкове</v>
      </c>
      <c r="E2248" s="514"/>
      <c r="F2248" s="545" t="str">
        <f>IF($C$1="ENG","double leaf","двостулкові")</f>
        <v>двостулкові</v>
      </c>
      <c r="G2248" s="516"/>
      <c r="H2248" s="513" t="str">
        <f>IF($C$1="ENG","single leaf","одностулкове")</f>
        <v>одностулкове</v>
      </c>
      <c r="I2248" s="514"/>
      <c r="J2248" s="545" t="str">
        <f>IF($C$1="ENG","double leaf","двостулкові")</f>
        <v>двостулкові</v>
      </c>
      <c r="K2248" s="516"/>
      <c r="L2248" s="513" t="str">
        <f>IF($C$1="ENG","single leaf","одностулкове")</f>
        <v>одностулкове</v>
      </c>
      <c r="M2248" s="514"/>
      <c r="N2248" s="515" t="str">
        <f>IF($C$1="ENG","double leaf","двостулкові")</f>
        <v>двостулкові</v>
      </c>
      <c r="O2248" s="516"/>
      <c r="P2248" s="513" t="str">
        <f>IF($C$1="ENG","single leaf","одностулкове")</f>
        <v>одностулкове</v>
      </c>
      <c r="Q2248" s="514"/>
      <c r="R2248" s="515" t="str">
        <f>IF($C$1="ENG","double leaf","двостулкові")</f>
        <v>двостулкові</v>
      </c>
      <c r="S2248" s="516"/>
      <c r="T2248" s="513" t="str">
        <f>IF($C$1="ENG","single leaf","одностулкове")</f>
        <v>одностулкове</v>
      </c>
      <c r="U2248" s="514"/>
      <c r="V2248" s="515" t="str">
        <f>IF($C$1="ENG","double leaf","двостулкові")</f>
        <v>двостулкові</v>
      </c>
      <c r="W2248" s="516"/>
      <c r="AR2248" s="383"/>
    </row>
    <row r="2249" spans="1:58" ht="34.5" customHeight="1">
      <c r="A2249" s="8"/>
      <c r="B2249" s="244" t="str">
        <f>IF($C$1="ENG","Door Frame 80 mm MDF","Коробка МДФ 80 мм")</f>
        <v>Коробка МДФ 80 мм</v>
      </c>
      <c r="C2249" s="425"/>
      <c r="D2249" s="15">
        <f>IF(AC2249="","",(1-$W$2)*(AC2249/1.2))</f>
        <v>1525</v>
      </c>
      <c r="E2249" s="267">
        <f>IF($W$5=0.2,D2249*1.2,D2249)/$W$4</f>
        <v>1830</v>
      </c>
      <c r="F2249" s="270">
        <f>IF(AD2249="","",(1-$W$2)*(AD2249/1.2))</f>
        <v>2133.3333333333335</v>
      </c>
      <c r="G2249" s="64">
        <f>IF($W$5=0.2,F2249*1.2,F2249)/$W$4</f>
        <v>2560</v>
      </c>
      <c r="H2249" s="15">
        <f>IF(AE2249="","",(1-$W$2)*(AE2249/1.2))</f>
        <v>1725</v>
      </c>
      <c r="I2249" s="267">
        <f>IF($W$5=0.2,H2249*1.2,H2249)/$W$4</f>
        <v>2070</v>
      </c>
      <c r="J2249" s="270">
        <f>IF(AF2249="","",(1-$W$2)*(AF2249/1.2))</f>
        <v>2408.3333333333335</v>
      </c>
      <c r="K2249" s="64">
        <f>IF($W$5=0.2,J2249*1.2,J2249)/$W$4</f>
        <v>2890</v>
      </c>
      <c r="L2249" s="15">
        <f>IF(AG2249="","",(1-$W$2)*(AG2249/1.2))</f>
        <v>1791.6666666666667</v>
      </c>
      <c r="M2249" s="267">
        <f>IF($W$5=0.2,L2249*1.2,L2249)/$W$4</f>
        <v>2150</v>
      </c>
      <c r="N2249" s="270">
        <f>IF(AH2249="","",(1-$W$2)*(AH2249/1.2))</f>
        <v>2508.3333333333335</v>
      </c>
      <c r="O2249" s="64">
        <f>IF($W$5=0.2,N2249*1.2,N2249)/$W$4</f>
        <v>3010</v>
      </c>
      <c r="P2249" s="15">
        <f>IF(AI2249="","",(1-$W$2)*(AI2249/1.2))</f>
        <v>1975</v>
      </c>
      <c r="Q2249" s="267">
        <f>IF($W$5=0.2,P2249*1.2,P2249)/$W$4</f>
        <v>2370</v>
      </c>
      <c r="R2249" s="270">
        <f>IF(AJ2249="","",(1-$W$2)*(AJ2249/1.2))</f>
        <v>2766.666666666667</v>
      </c>
      <c r="S2249" s="64">
        <f>IF($W$5=0.2,R2249*1.2,R2249)/$W$4</f>
        <v>3320.0000000000005</v>
      </c>
      <c r="T2249" s="15">
        <f>IF(AK2249="","",(1-$W$2)*(AK2249/1.2))</f>
        <v>2125</v>
      </c>
      <c r="U2249" s="267">
        <f>IF($W$5=0.2,T2249*1.2,T2249)/$W$4</f>
        <v>2550</v>
      </c>
      <c r="V2249" s="270">
        <f>IF(AL2249="","",(1-$W$2)*(AL2249/1.2))</f>
        <v>2975</v>
      </c>
      <c r="W2249" s="64">
        <f>IF($W$5=0.2,V2249*1.2,V2249)/$W$4</f>
        <v>3570</v>
      </c>
      <c r="X2249" s="22"/>
      <c r="Y2249" s="22"/>
      <c r="Z2249" s="22"/>
      <c r="AA2249" s="22"/>
      <c r="AB2249" s="22"/>
      <c r="AC2249" s="392">
        <v>1830</v>
      </c>
      <c r="AD2249" s="393">
        <v>2560</v>
      </c>
      <c r="AE2249" s="394">
        <v>2070</v>
      </c>
      <c r="AF2249" s="393">
        <v>2890</v>
      </c>
      <c r="AG2249" s="392">
        <v>2150</v>
      </c>
      <c r="AH2249" s="393">
        <v>3010</v>
      </c>
      <c r="AI2249" s="392">
        <v>2370</v>
      </c>
      <c r="AJ2249" s="393">
        <v>3320</v>
      </c>
      <c r="AK2249" s="392">
        <v>2550</v>
      </c>
      <c r="AL2249" s="393">
        <v>3570</v>
      </c>
      <c r="AM2249" s="334">
        <v>1830</v>
      </c>
      <c r="AN2249" s="310">
        <f>AM2249/AC2249-1</f>
        <v>0</v>
      </c>
      <c r="AO2249" s="334">
        <v>2560</v>
      </c>
      <c r="AP2249" s="310">
        <f>AO2249/AD2249-1</f>
        <v>0</v>
      </c>
      <c r="AQ2249" s="334">
        <v>2070</v>
      </c>
      <c r="AR2249" s="310">
        <f>AQ2249/AE2249-1</f>
        <v>0</v>
      </c>
      <c r="AS2249" s="334">
        <v>2890</v>
      </c>
      <c r="AT2249" s="310">
        <f>AS2249/AF2249-1</f>
        <v>0</v>
      </c>
      <c r="AU2249" s="334">
        <v>2150</v>
      </c>
      <c r="AV2249" s="310">
        <f>AU2249/AG2249-1</f>
        <v>0</v>
      </c>
      <c r="AW2249" s="334">
        <v>3000</v>
      </c>
      <c r="AX2249" s="310"/>
      <c r="AY2249" s="334"/>
      <c r="AZ2249" s="310"/>
      <c r="BA2249" s="334"/>
      <c r="BB2249" s="310"/>
      <c r="BC2249" s="334"/>
      <c r="BD2249" s="310"/>
      <c r="BE2249" s="334"/>
      <c r="BF2249" s="310"/>
    </row>
    <row r="2250" spans="1:58" ht="34.5" customHeight="1">
      <c r="A2250" s="8"/>
      <c r="B2250" s="108" t="str">
        <f>IF($C$1="ENG","Door Frame 80 mm Wood","Коробка Дерев'яна 80 мм")</f>
        <v>Коробка Дерев'яна 80 мм</v>
      </c>
      <c r="C2250" s="426"/>
      <c r="D2250" s="25">
        <f>IF(AC2250="","",(1-$W$2)*(AC2250/1.2))</f>
        <v>1850</v>
      </c>
      <c r="E2250" s="269">
        <f>IF($W$5=0.2,D2250*1.2,D2250)/$W$4</f>
        <v>2220</v>
      </c>
      <c r="F2250" s="272">
        <f>IF(AD2250="","",(1-$W$2)*(AD2250/1.2))</f>
        <v>2566.666666666667</v>
      </c>
      <c r="G2250" s="69">
        <f>IF($W$5=0.2,F2250*1.2,F2250)/$W$4</f>
        <v>3080.0000000000005</v>
      </c>
      <c r="H2250" s="25">
        <f>IF(AE2250="","",(1-$W$2)*(AE2250/1.2))</f>
        <v>2100</v>
      </c>
      <c r="I2250" s="269">
        <f>IF($W$5=0.2,H2250*1.2,H2250)/$W$4</f>
        <v>2520</v>
      </c>
      <c r="J2250" s="272">
        <f>IF(AF2250="","",(1-$W$2)*(AF2250/1.2))</f>
        <v>2941.666666666667</v>
      </c>
      <c r="K2250" s="69">
        <f>IF($W$5=0.2,J2250*1.2,J2250)/$W$4</f>
        <v>3530.0000000000005</v>
      </c>
      <c r="L2250" s="25">
        <f>IF(AG2250="","",(1-$W$2)*(AG2250/1.2))</f>
        <v>2233.3333333333335</v>
      </c>
      <c r="M2250" s="269">
        <f>IF($W$5=0.2,L2250*1.2,L2250)/$W$4</f>
        <v>2680</v>
      </c>
      <c r="N2250" s="272">
        <f>IF(AH2250="","",(1-$W$2)*(AH2250/1.2))</f>
        <v>3125</v>
      </c>
      <c r="O2250" s="69">
        <f>IF($W$5=0.2,N2250*1.2,N2250)/$W$4</f>
        <v>3750</v>
      </c>
      <c r="P2250" s="25">
        <f>IF(AI2250="","",(1-$W$2)*(AI2250/1.2))</f>
        <v>2450</v>
      </c>
      <c r="Q2250" s="269">
        <f>IF($W$5=0.2,P2250*1.2,P2250)/$W$4</f>
        <v>2940</v>
      </c>
      <c r="R2250" s="272">
        <f>IF(AJ2250="","",(1-$W$2)*(AJ2250/1.2))</f>
        <v>3425</v>
      </c>
      <c r="S2250" s="69">
        <f>IF($W$5=0.2,R2250*1.2,R2250)/$W$4</f>
        <v>4110</v>
      </c>
      <c r="T2250" s="25">
        <f>IF(AK2250="","",(1-$W$2)*(AK2250/1.2))</f>
        <v>2700</v>
      </c>
      <c r="U2250" s="269">
        <f>IF($W$5=0.2,T2250*1.2,T2250)/$W$4</f>
        <v>3240</v>
      </c>
      <c r="V2250" s="272">
        <f>IF(AL2250="","",(1-$W$2)*(AL2250/1.2))</f>
        <v>3775</v>
      </c>
      <c r="W2250" s="69">
        <f>IF($W$5=0.2,V2250*1.2,V2250)/$W$4</f>
        <v>4530</v>
      </c>
      <c r="X2250" s="22"/>
      <c r="Y2250" s="22"/>
      <c r="Z2250" s="22"/>
      <c r="AA2250" s="22"/>
      <c r="AB2250" s="22"/>
      <c r="AC2250" s="392">
        <v>2220</v>
      </c>
      <c r="AD2250" s="393">
        <v>3080</v>
      </c>
      <c r="AE2250" s="394">
        <v>2520</v>
      </c>
      <c r="AF2250" s="393">
        <v>3530</v>
      </c>
      <c r="AG2250" s="392">
        <v>2680</v>
      </c>
      <c r="AH2250" s="393">
        <v>3750</v>
      </c>
      <c r="AI2250" s="392">
        <v>2940</v>
      </c>
      <c r="AJ2250" s="393">
        <v>4110</v>
      </c>
      <c r="AK2250" s="392">
        <v>3240</v>
      </c>
      <c r="AL2250" s="393">
        <v>4530</v>
      </c>
      <c r="AM2250" s="334">
        <v>2220</v>
      </c>
      <c r="AN2250" s="310">
        <f>AM2250/AC2250-1</f>
        <v>0</v>
      </c>
      <c r="AO2250" s="334">
        <v>3120</v>
      </c>
      <c r="AP2250" s="310">
        <f>AO2250/AD2250-1</f>
        <v>1.298701298701288E-2</v>
      </c>
      <c r="AQ2250" s="334">
        <v>2520</v>
      </c>
      <c r="AR2250" s="310">
        <f>AQ2250/AE2250-1</f>
        <v>0</v>
      </c>
      <c r="AS2250" s="334">
        <v>3530</v>
      </c>
      <c r="AT2250" s="310">
        <f>AS2250/AF2250-1</f>
        <v>0</v>
      </c>
      <c r="AU2250" s="334">
        <v>2680</v>
      </c>
      <c r="AV2250" s="310">
        <f>AU2250/AG2250-1</f>
        <v>0</v>
      </c>
      <c r="AW2250" s="334">
        <v>3750</v>
      </c>
      <c r="AX2250" s="310"/>
      <c r="AY2250" s="334"/>
      <c r="AZ2250" s="310"/>
      <c r="BA2250" s="334"/>
      <c r="BB2250" s="310"/>
      <c r="BC2250" s="334"/>
      <c r="BD2250" s="310"/>
      <c r="BE2250" s="334"/>
      <c r="BF2250" s="310"/>
    </row>
    <row r="2251" spans="1:58" s="48" customFormat="1" ht="24" customHeight="1">
      <c r="B2251" s="54" t="str">
        <f>IF($C$1="ENG","MASKING ARCHITRAVES","ЛИШТВА")</f>
        <v>ЛИШТВА</v>
      </c>
      <c r="C2251" s="427"/>
      <c r="D2251" s="28"/>
      <c r="E2251" s="59"/>
      <c r="F2251" s="59"/>
      <c r="G2251" s="59"/>
      <c r="H2251" s="59"/>
      <c r="I2251" s="59"/>
      <c r="J2251" s="59"/>
      <c r="K2251" s="59"/>
      <c r="L2251" s="59"/>
      <c r="M2251" s="59"/>
      <c r="N2251" s="59"/>
      <c r="O2251" s="59"/>
      <c r="P2251" s="59"/>
      <c r="Q2251" s="59"/>
      <c r="R2251" s="59"/>
      <c r="S2251" s="59"/>
      <c r="T2251" s="59"/>
      <c r="U2251" s="59"/>
      <c r="V2251" s="59"/>
      <c r="W2251" s="59"/>
      <c r="AM2251" s="385"/>
      <c r="AN2251" s="56"/>
      <c r="AO2251" s="56"/>
      <c r="AP2251" s="56"/>
      <c r="AQ2251" s="56"/>
      <c r="AR2251" s="56"/>
      <c r="AS2251" s="56"/>
      <c r="AT2251" s="56"/>
    </row>
    <row r="2252" spans="1:58" ht="34.5" customHeight="1">
      <c r="A2252" s="8"/>
      <c r="B2252" s="13" t="str">
        <f>IF($C$1="ENG","Straight (set for 1 side) 60 mm","Прямокутна (1 к-т) 60 мм")</f>
        <v>Прямокутна (1 к-т) 60 мм</v>
      </c>
      <c r="C2252" s="428"/>
      <c r="D2252" s="15">
        <f>IF(AC2252="","",(1-$W$2)*(AC2252/1.2))</f>
        <v>425</v>
      </c>
      <c r="E2252" s="299">
        <f>IF($W$5=0.2,D2252*1.2,D2252)/$W$4</f>
        <v>510</v>
      </c>
      <c r="F2252" s="270">
        <f>IF(AD2252="","",(1-$W$2)*(AD2252/1.2))</f>
        <v>550</v>
      </c>
      <c r="G2252" s="64">
        <f>IF($W$5=0.2,F2252*1.2,F2252)/$W$4</f>
        <v>660</v>
      </c>
      <c r="H2252" s="15">
        <f>IF(AE2252="","",(1-$W$2)*(AE2252/1.2))</f>
        <v>491.66666666666669</v>
      </c>
      <c r="I2252" s="267">
        <f>IF($W$5=0.2,H2252*1.2,H2252)/$W$4</f>
        <v>590</v>
      </c>
      <c r="J2252" s="270">
        <f>IF(AF2252="","",(1-$W$2)*(AF2252/1.2))</f>
        <v>633.33333333333337</v>
      </c>
      <c r="K2252" s="64">
        <f>IF($W$5=0.2,J2252*1.2,J2252)/$W$4</f>
        <v>760</v>
      </c>
      <c r="L2252" s="15">
        <f>IF(AG2252="","",(1-$W$2)*(AG2252/1.2))</f>
        <v>575</v>
      </c>
      <c r="M2252" s="267">
        <f>IF($W$5=0.2,L2252*1.2,L2252)/$W$4</f>
        <v>690</v>
      </c>
      <c r="N2252" s="270">
        <f>IF(AH2252="","",(1-$W$2)*(AH2252/1.2))</f>
        <v>741.66666666666674</v>
      </c>
      <c r="O2252" s="64">
        <f>IF($W$5=0.2,N2252*1.2,N2252)/$W$4</f>
        <v>890.00000000000011</v>
      </c>
      <c r="P2252" s="15">
        <f>IF(AI2252="","",(1-$W$2)*(AI2252/1.2))</f>
        <v>658.33333333333337</v>
      </c>
      <c r="Q2252" s="267">
        <f>IF($W$5=0.2,P2252*1.2,P2252)/$W$4</f>
        <v>790</v>
      </c>
      <c r="R2252" s="270">
        <f>IF(AJ2252="","",(1-$W$2)*(AJ2252/1.2))</f>
        <v>858.33333333333337</v>
      </c>
      <c r="S2252" s="64">
        <f>IF($W$5=0.2,R2252*1.2,R2252)/$W$4</f>
        <v>1030</v>
      </c>
      <c r="T2252" s="15">
        <f>IF(AK2252="","",(1-$W$2)*(AK2252/1.2))</f>
        <v>716.66666666666674</v>
      </c>
      <c r="U2252" s="267">
        <f>IF($W$5=0.2,T2252*1.2,T2252)/$W$4</f>
        <v>860.00000000000011</v>
      </c>
      <c r="V2252" s="270">
        <f>IF(AL2252="","",(1-$W$2)*(AL2252/1.2))</f>
        <v>933.33333333333337</v>
      </c>
      <c r="W2252" s="64">
        <f>IF($W$5=0.2,V2252*1.2,V2252)/$W$4</f>
        <v>1120</v>
      </c>
      <c r="X2252" s="22"/>
      <c r="Y2252" s="22"/>
      <c r="Z2252" s="22"/>
      <c r="AA2252" s="22"/>
      <c r="AB2252" s="22"/>
      <c r="AC2252" s="332">
        <v>510</v>
      </c>
      <c r="AD2252" s="332">
        <v>660</v>
      </c>
      <c r="AE2252" s="332">
        <v>590</v>
      </c>
      <c r="AF2252" s="332">
        <v>760</v>
      </c>
      <c r="AG2252" s="332">
        <v>690</v>
      </c>
      <c r="AH2252" s="332">
        <v>890</v>
      </c>
      <c r="AI2252" s="332">
        <v>790</v>
      </c>
      <c r="AJ2252" s="332">
        <v>1030</v>
      </c>
      <c r="AK2252" s="332">
        <v>860</v>
      </c>
      <c r="AL2252" s="332">
        <v>1120</v>
      </c>
      <c r="AM2252" s="334">
        <v>510</v>
      </c>
      <c r="AN2252" s="310">
        <f>AM2252/AC2252-1</f>
        <v>0</v>
      </c>
      <c r="AO2252" s="334">
        <v>660</v>
      </c>
      <c r="AP2252" s="399">
        <f>AO2252/AD2252-1</f>
        <v>0</v>
      </c>
      <c r="AQ2252" s="334">
        <v>590</v>
      </c>
      <c r="AR2252" s="399">
        <f>AQ2252/AE2252-1</f>
        <v>0</v>
      </c>
      <c r="AS2252" s="334">
        <v>760</v>
      </c>
      <c r="AT2252" s="399">
        <f>AS2252/AF2252-1</f>
        <v>0</v>
      </c>
      <c r="AU2252" s="334">
        <v>690</v>
      </c>
      <c r="AV2252" s="399">
        <f>AU2252/AG2252-1</f>
        <v>0</v>
      </c>
      <c r="AW2252" s="1">
        <v>890</v>
      </c>
      <c r="AX2252" s="383"/>
      <c r="AZ2252" s="383"/>
      <c r="BB2252" s="383"/>
      <c r="BD2252" s="383"/>
      <c r="BF2252" s="383"/>
    </row>
    <row r="2253" spans="1:58" ht="34.5" customHeight="1">
      <c r="A2253" s="8"/>
      <c r="B2253" s="23" t="str">
        <f>IF($C$1="ENG","Straight (set for 1 side) 80 mm","Прямокутна (1 к-т) 80 мм")</f>
        <v>Прямокутна (1 к-т) 80 мм</v>
      </c>
      <c r="C2253" s="429"/>
      <c r="D2253" s="25">
        <f>IF(AC2253="","",(1-$W$2)*(AC2253/1.2))</f>
        <v>500</v>
      </c>
      <c r="E2253" s="269">
        <f>IF($W$5=0.2,D2253*1.2,D2253)/$W$4</f>
        <v>600</v>
      </c>
      <c r="F2253" s="272">
        <f>IF(AD2253="","",(1-$W$2)*(AD2253/1.2))</f>
        <v>641.66666666666674</v>
      </c>
      <c r="G2253" s="69">
        <f>IF($W$5=0.2,F2253*1.2,F2253)/$W$4</f>
        <v>770.00000000000011</v>
      </c>
      <c r="H2253" s="25">
        <f>IF(AE2253="","",(1-$W$2)*(AE2253/1.2))</f>
        <v>583.33333333333337</v>
      </c>
      <c r="I2253" s="269">
        <f>IF($W$5=0.2,H2253*1.2,H2253)/$W$4</f>
        <v>700</v>
      </c>
      <c r="J2253" s="272">
        <f>IF(AF2253="","",(1-$W$2)*(AF2253/1.2))</f>
        <v>750</v>
      </c>
      <c r="K2253" s="69">
        <f>IF($W$5=0.2,J2253*1.2,J2253)/$W$4</f>
        <v>900</v>
      </c>
      <c r="L2253" s="25">
        <f>IF(AG2253="","",(1-$W$2)*(AG2253/1.2))</f>
        <v>708.33333333333337</v>
      </c>
      <c r="M2253" s="269">
        <f>IF($W$5=0.2,L2253*1.2,L2253)/$W$4</f>
        <v>850</v>
      </c>
      <c r="N2253" s="272">
        <f>IF(AH2253="","",(1-$W$2)*(AH2253/1.2))</f>
        <v>916.66666666666674</v>
      </c>
      <c r="O2253" s="69">
        <f>IF($W$5=0.2,N2253*1.2,N2253)/$W$4</f>
        <v>1100</v>
      </c>
      <c r="P2253" s="25">
        <f>IF(AI2253="","",(1-$W$2)*(AI2253/1.2))</f>
        <v>808.33333333333337</v>
      </c>
      <c r="Q2253" s="269">
        <f>IF($W$5=0.2,P2253*1.2,P2253)/$W$4</f>
        <v>970</v>
      </c>
      <c r="R2253" s="272">
        <f>IF(AJ2253="","",(1-$W$2)*(AJ2253/1.2))</f>
        <v>1041.6666666666667</v>
      </c>
      <c r="S2253" s="69">
        <f>IF($W$5=0.2,R2253*1.2,R2253)/$W$4</f>
        <v>1250</v>
      </c>
      <c r="T2253" s="25">
        <f>IF(AK2253="","",(1-$W$2)*(AK2253/1.2))</f>
        <v>866.66666666666674</v>
      </c>
      <c r="U2253" s="269">
        <f>IF($W$5=0.2,T2253*1.2,T2253)/$W$4</f>
        <v>1040</v>
      </c>
      <c r="V2253" s="272">
        <f>IF(AL2253="","",(1-$W$2)*(AL2253/1.2))</f>
        <v>1125</v>
      </c>
      <c r="W2253" s="69">
        <f>IF($W$5=0.2,V2253*1.2,V2253)/$W$4</f>
        <v>1350</v>
      </c>
      <c r="X2253" s="22"/>
      <c r="Y2253" s="22"/>
      <c r="Z2253" s="22"/>
      <c r="AA2253" s="22"/>
      <c r="AB2253" s="22"/>
      <c r="AC2253" s="332">
        <v>600</v>
      </c>
      <c r="AD2253" s="332">
        <v>770</v>
      </c>
      <c r="AE2253" s="332">
        <v>700</v>
      </c>
      <c r="AF2253" s="332">
        <v>900</v>
      </c>
      <c r="AG2253" s="332">
        <v>850</v>
      </c>
      <c r="AH2253" s="332">
        <v>1100</v>
      </c>
      <c r="AI2253" s="332">
        <v>970</v>
      </c>
      <c r="AJ2253" s="332">
        <v>1250</v>
      </c>
      <c r="AK2253" s="332">
        <v>1040</v>
      </c>
      <c r="AL2253" s="332">
        <v>1350</v>
      </c>
      <c r="AM2253" s="334">
        <v>600</v>
      </c>
      <c r="AN2253" s="310">
        <f>AM2253/AC2253-1</f>
        <v>0</v>
      </c>
      <c r="AO2253" s="334">
        <v>770</v>
      </c>
      <c r="AP2253" s="399">
        <f>AO2253/AD2253-1</f>
        <v>0</v>
      </c>
      <c r="AQ2253" s="334">
        <v>700</v>
      </c>
      <c r="AR2253" s="399">
        <f>AQ2253/AE2253-1</f>
        <v>0</v>
      </c>
      <c r="AS2253" s="334">
        <v>900</v>
      </c>
      <c r="AT2253" s="399">
        <f>AS2253/AF2253-1</f>
        <v>0</v>
      </c>
      <c r="AU2253" s="334">
        <v>850</v>
      </c>
      <c r="AV2253" s="399">
        <f>AU2253/AG2253-1</f>
        <v>0</v>
      </c>
      <c r="AW2253" s="1">
        <v>1100</v>
      </c>
      <c r="AX2253" s="383"/>
      <c r="AZ2253" s="383"/>
      <c r="BB2253" s="383"/>
      <c r="BD2253" s="383"/>
      <c r="BF2253" s="383"/>
    </row>
    <row r="2254" spans="1:58" s="48" customFormat="1" ht="24.75" customHeight="1">
      <c r="B2254" s="54" t="str">
        <f>IF($C$1="ENG","ADJUSTABLE PANELS","ДОБІРНІ ПЛАНКИ")</f>
        <v>ДОБІРНІ ПЛАНКИ</v>
      </c>
      <c r="C2254" s="427"/>
      <c r="D2254" s="28"/>
      <c r="E2254" s="59"/>
      <c r="F2254" s="59"/>
      <c r="G2254" s="59"/>
      <c r="H2254" s="59"/>
      <c r="I2254" s="59"/>
      <c r="J2254" s="59"/>
      <c r="K2254" s="59"/>
      <c r="L2254" s="59"/>
      <c r="M2254" s="59"/>
      <c r="N2254" s="59"/>
      <c r="O2254" s="59"/>
      <c r="P2254" s="59"/>
      <c r="Q2254" s="59"/>
      <c r="R2254" s="59"/>
      <c r="S2254" s="59"/>
      <c r="T2254" s="59"/>
      <c r="U2254" s="59"/>
      <c r="V2254" s="59">
        <f t="shared" ref="V2254" si="304">V2257/100*30</f>
        <v>840</v>
      </c>
      <c r="W2254" s="59"/>
      <c r="AN2254" s="310"/>
      <c r="AP2254" s="30"/>
      <c r="AQ2254" s="56"/>
      <c r="AR2254" s="30"/>
      <c r="AS2254" s="56"/>
      <c r="AT2254" s="30"/>
      <c r="AV2254" s="1"/>
    </row>
    <row r="2255" spans="1:58" ht="34.5" customHeight="1">
      <c r="A2255" s="8"/>
      <c r="B2255" s="13" t="str">
        <f>IF($C$1="ENG","Panel (1 set) 60 mm","Планка (1 к-т) 60 мм")</f>
        <v>Планка (1 к-т) 60 мм</v>
      </c>
      <c r="C2255" s="428"/>
      <c r="D2255" s="15">
        <f>IF(AC2255="","",(1-$W$2)*(AC2255/1.2))</f>
        <v>425</v>
      </c>
      <c r="E2255" s="299">
        <f>IF($W$5=0.2,D2255*1.2,D2255)/$W$4</f>
        <v>510</v>
      </c>
      <c r="F2255" s="270">
        <f>IF(AD2255="","",(1-$W$2)*(AD2255/1.2))</f>
        <v>550</v>
      </c>
      <c r="G2255" s="64">
        <f>IF($W$5=0.2,F2255*1.2,F2255)/$W$4</f>
        <v>660</v>
      </c>
      <c r="H2255" s="15">
        <f>IF(AE2255="","",(1-$W$2)*(AE2255/1.2))</f>
        <v>491.66666666666669</v>
      </c>
      <c r="I2255" s="267">
        <f>IF($W$5=0.2,H2255*1.2,H2255)/$W$4</f>
        <v>590</v>
      </c>
      <c r="J2255" s="270">
        <f>IF(AF2255="","",(1-$W$2)*(AF2255/1.2))</f>
        <v>633.33333333333337</v>
      </c>
      <c r="K2255" s="64">
        <f>IF($W$5=0.2,J2255*1.2,J2255)/$W$4</f>
        <v>760</v>
      </c>
      <c r="L2255" s="15">
        <f>IF(AG2255="","",(1-$W$2)*(AG2255/1.2))</f>
        <v>575</v>
      </c>
      <c r="M2255" s="267">
        <f>IF($W$5=0.2,L2255*1.2,L2255)/$W$4</f>
        <v>690</v>
      </c>
      <c r="N2255" s="270">
        <f>IF(AH2255="","",(1-$W$2)*(AH2255/1.2))</f>
        <v>741.66666666666674</v>
      </c>
      <c r="O2255" s="64">
        <f>IF($W$5=0.2,N2255*1.2,N2255)/$W$4</f>
        <v>890.00000000000011</v>
      </c>
      <c r="P2255" s="15">
        <f>IF(AI2255="","",(1-$W$2)*(AI2255/1.2))</f>
        <v>658.33333333333337</v>
      </c>
      <c r="Q2255" s="267">
        <f>IF($W$5=0.2,P2255*1.2,P2255)/$W$4</f>
        <v>790</v>
      </c>
      <c r="R2255" s="270">
        <f>IF(AJ2255="","",(1-$W$2)*(AJ2255/1.2))</f>
        <v>858.33333333333337</v>
      </c>
      <c r="S2255" s="64">
        <f>IF($W$5=0.2,R2255*1.2,R2255)/$W$4</f>
        <v>1030</v>
      </c>
      <c r="T2255" s="15">
        <f>IF(AK2255="","",(1-$W$2)*(AK2255/1.2))</f>
        <v>716.66666666666674</v>
      </c>
      <c r="U2255" s="267">
        <f>IF($W$5=0.2,T2255*1.2,T2255)/$W$4</f>
        <v>860.00000000000011</v>
      </c>
      <c r="V2255" s="270">
        <f>IF(AL2255="","",(1-$W$2)*(AL2255/1.2))</f>
        <v>933.33333333333337</v>
      </c>
      <c r="W2255" s="64">
        <f>IF($W$5=0.2,V2255*1.2,V2255)/$W$4</f>
        <v>1120</v>
      </c>
      <c r="X2255" s="22"/>
      <c r="Y2255" s="22"/>
      <c r="Z2255" s="22"/>
      <c r="AA2255" s="22"/>
      <c r="AB2255" s="22"/>
      <c r="AC2255" s="332">
        <v>510</v>
      </c>
      <c r="AD2255" s="332">
        <v>660</v>
      </c>
      <c r="AE2255" s="332">
        <v>590</v>
      </c>
      <c r="AF2255" s="332">
        <v>760</v>
      </c>
      <c r="AG2255" s="332">
        <v>690</v>
      </c>
      <c r="AH2255" s="332">
        <v>890</v>
      </c>
      <c r="AI2255" s="332">
        <v>790</v>
      </c>
      <c r="AJ2255" s="332">
        <v>1030</v>
      </c>
      <c r="AK2255" s="332">
        <v>860</v>
      </c>
      <c r="AL2255" s="332">
        <v>1120</v>
      </c>
      <c r="AM2255" s="334">
        <v>510</v>
      </c>
      <c r="AN2255" s="310">
        <f>AM2255/AC2255-1</f>
        <v>0</v>
      </c>
      <c r="AO2255" s="334">
        <v>660</v>
      </c>
      <c r="AP2255" s="398">
        <f>AO2255/AD2255-1</f>
        <v>0</v>
      </c>
      <c r="AQ2255" s="334">
        <v>590</v>
      </c>
      <c r="AR2255" s="398">
        <f>AQ2255/AE2255-1</f>
        <v>0</v>
      </c>
      <c r="AS2255" s="334">
        <v>760</v>
      </c>
      <c r="AT2255" s="398">
        <f>AS2255/AF2255-1</f>
        <v>0</v>
      </c>
      <c r="AU2255" s="334">
        <v>690</v>
      </c>
      <c r="AV2255" s="398">
        <f>AU2255/AG2255-1</f>
        <v>0</v>
      </c>
      <c r="AW2255" s="1">
        <v>890</v>
      </c>
    </row>
    <row r="2256" spans="1:58" ht="34.5" customHeight="1">
      <c r="A2256" s="8"/>
      <c r="B2256" s="16" t="str">
        <f>IF($C$1="ENG","Panel (1 set) 110 mm","Планка (1 к-т) 110 мм")</f>
        <v>Планка (1 к-т) 110 мм</v>
      </c>
      <c r="C2256" s="430"/>
      <c r="D2256" s="18">
        <f>IF(AC2256="","",(1-$W$2)*(AC2256/1.2))</f>
        <v>658.33333333333337</v>
      </c>
      <c r="E2256" s="268">
        <f>IF($W$5=0.2,D2256*1.2,D2256)/$W$4</f>
        <v>790</v>
      </c>
      <c r="F2256" s="271">
        <f>IF(AD2256="","",(1-$W$2)*(AD2256/1.2))</f>
        <v>858.33333333333337</v>
      </c>
      <c r="G2256" s="66">
        <f>IF($W$5=0.2,F2256*1.2,F2256)/$W$4</f>
        <v>1030</v>
      </c>
      <c r="H2256" s="18">
        <f>IF(AE2256="","",(1-$W$2)*(AE2256/1.2))</f>
        <v>766.66666666666674</v>
      </c>
      <c r="I2256" s="268">
        <f>IF($W$5=0.2,H2256*1.2,H2256)/$W$4</f>
        <v>920.00000000000011</v>
      </c>
      <c r="J2256" s="271">
        <f>IF(AF2256="","",(1-$W$2)*(AF2256/1.2))</f>
        <v>958.33333333333337</v>
      </c>
      <c r="K2256" s="66">
        <f>IF($W$5=0.2,J2256*1.2,J2256)/$W$4</f>
        <v>1150</v>
      </c>
      <c r="L2256" s="18">
        <f>IF(AG2256="","",(1-$W$2)*(AG2256/1.2))</f>
        <v>866.66666666666674</v>
      </c>
      <c r="M2256" s="268">
        <f>IF($W$5=0.2,L2256*1.2,L2256)/$W$4</f>
        <v>1040</v>
      </c>
      <c r="N2256" s="271">
        <f>IF(AH2256="","",(1-$W$2)*(AH2256/1.2))</f>
        <v>1133.3333333333335</v>
      </c>
      <c r="O2256" s="66">
        <f>IF($W$5=0.2,N2256*1.2,N2256)/$W$4</f>
        <v>1360.0000000000002</v>
      </c>
      <c r="P2256" s="18">
        <f>IF(AI2256="","",(1-$W$2)*(AI2256/1.2))</f>
        <v>1016.6666666666667</v>
      </c>
      <c r="Q2256" s="268">
        <f>IF($W$5=0.2,P2256*1.2,P2256)/$W$4</f>
        <v>1220</v>
      </c>
      <c r="R2256" s="271">
        <f>IF(AJ2256="","",(1-$W$2)*(AJ2256/1.2))</f>
        <v>1325</v>
      </c>
      <c r="S2256" s="66">
        <f>IF($W$5=0.2,R2256*1.2,R2256)/$W$4</f>
        <v>1590</v>
      </c>
      <c r="T2256" s="18">
        <f>IF(AK2256="","",(1-$W$2)*(AK2256/1.2))</f>
        <v>1091.6666666666667</v>
      </c>
      <c r="U2256" s="268">
        <f>IF($W$5=0.2,T2256*1.2,T2256)/$W$4</f>
        <v>1310</v>
      </c>
      <c r="V2256" s="271">
        <f>IF(AL2256="","",(1-$W$2)*(AL2256/1.2))</f>
        <v>1425</v>
      </c>
      <c r="W2256" s="66">
        <f>IF($W$5=0.2,V2256*1.2,V2256)/$W$4</f>
        <v>1710</v>
      </c>
      <c r="X2256" s="22"/>
      <c r="Y2256" s="22"/>
      <c r="Z2256" s="22"/>
      <c r="AA2256" s="22"/>
      <c r="AB2256" s="22"/>
      <c r="AC2256" s="332">
        <v>790</v>
      </c>
      <c r="AD2256" s="332">
        <v>1030</v>
      </c>
      <c r="AE2256" s="332">
        <v>920</v>
      </c>
      <c r="AF2256" s="332">
        <v>1150</v>
      </c>
      <c r="AG2256" s="332">
        <v>1040</v>
      </c>
      <c r="AH2256" s="332">
        <v>1360</v>
      </c>
      <c r="AI2256" s="332">
        <v>1220</v>
      </c>
      <c r="AJ2256" s="332">
        <v>1590</v>
      </c>
      <c r="AK2256" s="332">
        <v>1310</v>
      </c>
      <c r="AL2256" s="332">
        <v>1710</v>
      </c>
      <c r="AM2256" s="334">
        <v>790</v>
      </c>
      <c r="AN2256" s="310">
        <f>AM2256/AC2256-1</f>
        <v>0</v>
      </c>
      <c r="AO2256" s="334">
        <v>1030</v>
      </c>
      <c r="AP2256" s="398">
        <f>AO2256/AD2256-1</f>
        <v>0</v>
      </c>
      <c r="AQ2256" s="334">
        <v>920</v>
      </c>
      <c r="AR2256" s="398">
        <f>AQ2256/AE2256-1</f>
        <v>0</v>
      </c>
      <c r="AS2256" s="334">
        <v>1150</v>
      </c>
      <c r="AT2256" s="398">
        <f>AS2256/AF2256-1</f>
        <v>0</v>
      </c>
      <c r="AU2256" s="334">
        <v>1040</v>
      </c>
      <c r="AV2256" s="398">
        <f>AU2256/AG2256-1</f>
        <v>0</v>
      </c>
      <c r="AW2256" s="1">
        <v>1360</v>
      </c>
    </row>
    <row r="2257" spans="1:49" ht="34.5" customHeight="1">
      <c r="A2257" s="8"/>
      <c r="B2257" s="23" t="str">
        <f>IF($C$1="ENG","Panel (1 set) 200 mm","Планка (1 к-т) 200 мм")</f>
        <v>Планка (1 к-т) 200 мм</v>
      </c>
      <c r="C2257" s="429"/>
      <c r="D2257" s="25">
        <f>IF(AC2257="","",(1-$W$2)*(AC2257/1.2))</f>
        <v>1283.3333333333335</v>
      </c>
      <c r="E2257" s="269">
        <f>IF($W$5=0.2,D2257*1.2,D2257)/$W$4</f>
        <v>1540.0000000000002</v>
      </c>
      <c r="F2257" s="272">
        <f>IF(AD2257="","",(1-$W$2)*(AD2257/1.2))</f>
        <v>1666.6666666666667</v>
      </c>
      <c r="G2257" s="69">
        <f>IF($W$5=0.2,F2257*1.2,F2257)/$W$4</f>
        <v>2000</v>
      </c>
      <c r="H2257" s="25">
        <f>IF(AE2257="","",(1-$W$2)*(AE2257/1.2))</f>
        <v>1475</v>
      </c>
      <c r="I2257" s="269">
        <f>IF($W$5=0.2,H2257*1.2,H2257)/$W$4</f>
        <v>1770</v>
      </c>
      <c r="J2257" s="272">
        <f>IF(AF2257="","",(1-$W$2)*(AF2257/1.2))</f>
        <v>1933.3333333333335</v>
      </c>
      <c r="K2257" s="69">
        <f>IF($W$5=0.2,J2257*1.2,J2257)/$W$4</f>
        <v>2320</v>
      </c>
      <c r="L2257" s="25">
        <f>IF(AG2257="","",(1-$W$2)*(AG2257/1.2))</f>
        <v>1750</v>
      </c>
      <c r="M2257" s="269">
        <f>IF($W$5=0.2,L2257*1.2,L2257)/$W$4</f>
        <v>2100</v>
      </c>
      <c r="N2257" s="272">
        <f>IF(AH2257="","",(1-$W$2)*(AH2257/1.2))</f>
        <v>2283.3333333333335</v>
      </c>
      <c r="O2257" s="69">
        <f>IF($W$5=0.2,N2257*1.2,N2257)/$W$4</f>
        <v>2740</v>
      </c>
      <c r="P2257" s="25">
        <f>IF(AI2257="","",(1-$W$2)*(AI2257/1.2))</f>
        <v>2016.6666666666667</v>
      </c>
      <c r="Q2257" s="269">
        <f>IF($W$5=0.2,P2257*1.2,P2257)/$W$4</f>
        <v>2420</v>
      </c>
      <c r="R2257" s="272">
        <f>IF(AJ2257="","",(1-$W$2)*(AJ2257/1.2))</f>
        <v>2625</v>
      </c>
      <c r="S2257" s="69">
        <f>IF($W$5=0.2,R2257*1.2,R2257)/$W$4</f>
        <v>3150</v>
      </c>
      <c r="T2257" s="25">
        <f>IF(AK2257="","",(1-$W$2)*(AK2257/1.2))</f>
        <v>2158.3333333333335</v>
      </c>
      <c r="U2257" s="269">
        <f>IF($W$5=0.2,T2257*1.2,T2257)/$W$4</f>
        <v>2590</v>
      </c>
      <c r="V2257" s="272">
        <f>IF(AL2257="","",(1-$W$2)*(AL2257/1.2))</f>
        <v>2800</v>
      </c>
      <c r="W2257" s="69">
        <f>IF($W$5=0.2,V2257*1.2,V2257)/$W$4</f>
        <v>3360</v>
      </c>
      <c r="X2257" s="22"/>
      <c r="Y2257" s="22"/>
      <c r="Z2257" s="22"/>
      <c r="AA2257" s="22"/>
      <c r="AB2257" s="22"/>
      <c r="AC2257" s="332">
        <v>1540</v>
      </c>
      <c r="AD2257" s="332">
        <v>2000</v>
      </c>
      <c r="AE2257" s="332">
        <v>1770</v>
      </c>
      <c r="AF2257" s="332">
        <v>2320</v>
      </c>
      <c r="AG2257" s="332">
        <v>2100</v>
      </c>
      <c r="AH2257" s="332">
        <v>2740</v>
      </c>
      <c r="AI2257" s="332">
        <v>2420</v>
      </c>
      <c r="AJ2257" s="332">
        <v>3150</v>
      </c>
      <c r="AK2257" s="332">
        <v>2590</v>
      </c>
      <c r="AL2257" s="332">
        <v>3360</v>
      </c>
      <c r="AM2257" s="334">
        <v>1540</v>
      </c>
      <c r="AN2257" s="310">
        <f>AM2257/AC2257-1</f>
        <v>0</v>
      </c>
      <c r="AO2257" s="334">
        <v>2000</v>
      </c>
      <c r="AP2257" s="398">
        <f>AO2257/AD2257-1</f>
        <v>0</v>
      </c>
      <c r="AQ2257" s="334">
        <v>1770</v>
      </c>
      <c r="AR2257" s="398">
        <f>AQ2257/AE2257-1</f>
        <v>0</v>
      </c>
      <c r="AS2257" s="334">
        <v>2320</v>
      </c>
      <c r="AT2257" s="398">
        <f>AS2257/AF2257-1</f>
        <v>0</v>
      </c>
      <c r="AU2257" s="334">
        <v>2100</v>
      </c>
      <c r="AV2257" s="398">
        <f>AU2257/AG2257-1</f>
        <v>0</v>
      </c>
      <c r="AW2257" s="1">
        <v>2740</v>
      </c>
    </row>
    <row r="2258" spans="1:49">
      <c r="C2258" s="245"/>
      <c r="D2258" s="26"/>
      <c r="E2258" s="57"/>
      <c r="F2258" s="10"/>
      <c r="G2258" s="87"/>
      <c r="H2258" s="10"/>
      <c r="I2258" s="84"/>
      <c r="J2258" s="8"/>
      <c r="K2258" s="84"/>
      <c r="L2258" s="48"/>
      <c r="M2258" s="48"/>
      <c r="N2258" s="48"/>
      <c r="O2258" s="48"/>
      <c r="P2258" s="48"/>
      <c r="Q2258" s="48"/>
      <c r="R2258" s="48"/>
      <c r="S2258" s="48"/>
    </row>
    <row r="2259" spans="1:49">
      <c r="B2259" s="212" t="str">
        <f>IF($C$1="ENG","For additonal charge:","Послуги за додаткову плату:")</f>
        <v>Послуги за додаткову плату:</v>
      </c>
      <c r="C2259" s="420"/>
      <c r="D2259" s="213"/>
      <c r="E2259" s="214"/>
      <c r="F2259" s="39"/>
      <c r="G2259" s="39"/>
      <c r="H2259" s="10"/>
      <c r="I2259" s="84"/>
      <c r="J2259" s="8"/>
      <c r="K2259" s="8"/>
      <c r="L2259" s="105"/>
      <c r="M2259" s="84"/>
      <c r="N2259" s="105"/>
      <c r="P2259" s="105"/>
      <c r="Q2259" s="84"/>
      <c r="R2259" s="105"/>
      <c r="U2259" s="84"/>
    </row>
    <row r="2260" spans="1:49" ht="5.0999999999999996" customHeight="1">
      <c r="B2260" s="27"/>
      <c r="C2260" s="245"/>
      <c r="D2260" s="26"/>
      <c r="E2260" s="57"/>
      <c r="F2260" s="26"/>
      <c r="G2260" s="26"/>
      <c r="H2260" s="10"/>
      <c r="I2260" s="8"/>
      <c r="J2260" s="8"/>
      <c r="K2260" s="8"/>
      <c r="M2260" s="8"/>
      <c r="Q2260" s="8"/>
      <c r="U2260" s="8"/>
    </row>
    <row r="2261" spans="1:49">
      <c r="B2261" s="551" t="str">
        <f>IF($C$1="ENG","third door hindge","третя завіса")</f>
        <v>третя завіса</v>
      </c>
      <c r="C2261" s="552"/>
      <c r="D2261" s="15">
        <f>IF(AC2261="","",(1-$W$2)*(AC2261/1.2))</f>
        <v>66.666666666666671</v>
      </c>
      <c r="E2261" s="64">
        <f>IF($W$5=0.2,D2261*1.2,D2261)/$W$4</f>
        <v>80</v>
      </c>
      <c r="F2261" s="26"/>
      <c r="G2261" s="26"/>
      <c r="H2261" s="10"/>
      <c r="I2261" s="84"/>
      <c r="J2261" s="8"/>
      <c r="K2261" s="26"/>
      <c r="L2261" s="105"/>
      <c r="M2261" s="84"/>
      <c r="N2261" s="105"/>
      <c r="O2261" s="26"/>
      <c r="P2261" s="105"/>
      <c r="Q2261" s="84"/>
      <c r="R2261" s="105"/>
      <c r="S2261" s="26"/>
      <c r="U2261" s="84"/>
      <c r="W2261" s="26"/>
      <c r="AC2261" s="298">
        <v>80</v>
      </c>
      <c r="AD2261" s="289"/>
      <c r="AE2261" s="289">
        <f>AD2261/AC2261-1</f>
        <v>-1</v>
      </c>
      <c r="AF2261" s="289"/>
      <c r="AG2261" s="289"/>
      <c r="AH2261" s="289"/>
      <c r="AI2261" s="289"/>
      <c r="AJ2261" s="289"/>
      <c r="AK2261" s="289"/>
      <c r="AL2261" s="289"/>
    </row>
    <row r="2262" spans="1:49">
      <c r="B2262" s="551" t="str">
        <f>IF($C$1="ENG","wooden door threshold","поріг сосновий")</f>
        <v>поріг сосновий</v>
      </c>
      <c r="C2262" s="552"/>
      <c r="D2262" s="25">
        <f>IF(AC2262="","",(1-$W$2)*(AC2262/1.2))</f>
        <v>458.33333333333337</v>
      </c>
      <c r="E2262" s="69">
        <f>IF($W$5=0.2,D2262*1.2,D2262)/$W$4</f>
        <v>550</v>
      </c>
      <c r="F2262" s="26"/>
      <c r="G2262" s="26"/>
      <c r="I2262" s="20"/>
      <c r="K2262" s="26"/>
      <c r="M2262" s="20"/>
      <c r="O2262" s="26"/>
      <c r="Q2262" s="20"/>
      <c r="S2262" s="26"/>
      <c r="U2262" s="20"/>
      <c r="W2262" s="26"/>
      <c r="AC2262" s="332">
        <v>550</v>
      </c>
      <c r="AD2262" s="289"/>
      <c r="AE2262" s="289">
        <f>AD2262/AC2262-1</f>
        <v>-1</v>
      </c>
      <c r="AF2262" s="289"/>
      <c r="AG2262" s="289"/>
      <c r="AH2262" s="289"/>
      <c r="AI2262" s="289"/>
      <c r="AJ2262" s="289"/>
      <c r="AK2262" s="289"/>
      <c r="AL2262" s="289"/>
    </row>
    <row r="2263" spans="1:49" ht="14.25" customHeight="1">
      <c r="M2263" s="20"/>
      <c r="Q2263" s="20"/>
      <c r="T2263" s="547" t="str">
        <f>IF($C$1="ENG",CONCATENATE("down to: ",B2313),CONCATENATE("вниз до: ",B2313))</f>
        <v>вниз до: Дверна коробка Verto-FIT</v>
      </c>
      <c r="U2263" s="547"/>
      <c r="V2263" s="547"/>
      <c r="W2263" s="547"/>
    </row>
    <row r="2264" spans="1:49" ht="14.25" customHeight="1">
      <c r="C2264" s="245"/>
      <c r="D2264" s="26"/>
      <c r="E2264" s="26"/>
      <c r="F2264" s="26"/>
      <c r="G2264" s="26"/>
      <c r="H2264" s="5"/>
      <c r="I2264" s="20"/>
      <c r="M2264" s="20"/>
      <c r="O2264" s="57"/>
      <c r="Q2264" s="20"/>
      <c r="S2264" s="57"/>
      <c r="T2264" s="33"/>
      <c r="U2264" s="20"/>
      <c r="V2264" s="33"/>
      <c r="W2264" s="33"/>
    </row>
    <row r="2265" spans="1:49" ht="14.25" customHeight="1">
      <c r="C2265" s="245"/>
      <c r="D2265" s="26"/>
      <c r="E2265" s="26"/>
      <c r="F2265" s="26"/>
      <c r="G2265" s="57"/>
      <c r="H2265" s="5"/>
      <c r="I2265" s="20"/>
      <c r="K2265" s="57"/>
      <c r="M2265" s="57"/>
      <c r="O2265" s="57"/>
      <c r="Q2265" s="57"/>
      <c r="S2265" s="57"/>
      <c r="T2265" s="33"/>
      <c r="U2265" s="33"/>
      <c r="V2265" s="33"/>
      <c r="W2265" s="57"/>
    </row>
    <row r="2266" spans="1:49" ht="14.25" customHeight="1">
      <c r="C2266" s="245"/>
      <c r="D2266" s="26"/>
      <c r="E2266" s="57"/>
      <c r="F2266" s="26"/>
      <c r="G2266" s="57"/>
      <c r="H2266" s="5"/>
      <c r="I2266" s="57"/>
      <c r="K2266" s="57"/>
      <c r="L2266" s="279"/>
      <c r="O2266" s="57"/>
      <c r="P2266" s="279"/>
      <c r="S2266" s="57"/>
      <c r="T2266" s="279"/>
      <c r="U2266" s="33"/>
      <c r="V2266" s="33"/>
      <c r="W2266" s="57"/>
      <c r="X2266" s="279"/>
      <c r="Y2266" s="279"/>
      <c r="Z2266" s="279"/>
      <c r="AA2266" s="279"/>
      <c r="AB2266" s="279"/>
    </row>
    <row r="2267" spans="1:49" ht="14.25" customHeight="1">
      <c r="C2267" s="245"/>
      <c r="D2267" s="26"/>
      <c r="E2267" s="26"/>
      <c r="F2267" s="26"/>
      <c r="G2267" s="57"/>
      <c r="H2267" s="279"/>
      <c r="K2267" s="57"/>
      <c r="L2267" s="279"/>
      <c r="O2267" s="26"/>
      <c r="P2267" s="279"/>
      <c r="S2267" s="26"/>
      <c r="T2267" s="279"/>
      <c r="U2267" s="33"/>
      <c r="V2267" s="33"/>
      <c r="W2267" s="26"/>
      <c r="X2267" s="279"/>
      <c r="Y2267" s="279"/>
      <c r="Z2267" s="279"/>
      <c r="AA2267" s="279"/>
      <c r="AB2267" s="279"/>
    </row>
    <row r="2268" spans="1:49" ht="14.25" customHeight="1">
      <c r="C2268" s="245"/>
      <c r="D2268" s="26"/>
      <c r="E2268" s="26"/>
      <c r="F2268" s="26"/>
      <c r="G2268" s="26"/>
      <c r="H2268" s="279"/>
      <c r="K2268" s="26"/>
      <c r="M2268" s="57"/>
      <c r="O2268" s="57"/>
      <c r="Q2268" s="57"/>
      <c r="S2268" s="57"/>
      <c r="T2268" s="33"/>
      <c r="U2268" s="33"/>
      <c r="V2268" s="33"/>
      <c r="W2268" s="57"/>
      <c r="X2268" s="5"/>
      <c r="Y2268" s="5"/>
      <c r="Z2268" s="5"/>
      <c r="AA2268" s="5"/>
      <c r="AB2268" s="5"/>
    </row>
    <row r="2269" spans="1:49" ht="14.25" customHeight="1">
      <c r="C2269" s="245"/>
      <c r="D2269" s="26"/>
      <c r="E2269" s="26"/>
      <c r="F2269" s="26"/>
      <c r="G2269" s="57"/>
      <c r="H2269" s="5"/>
      <c r="I2269" s="57"/>
      <c r="K2269" s="57"/>
      <c r="L2269" s="279"/>
      <c r="O2269" s="57"/>
      <c r="P2269" s="279"/>
      <c r="S2269" s="57"/>
      <c r="T2269" s="279"/>
      <c r="U2269" s="33"/>
      <c r="V2269" s="33"/>
      <c r="W2269" s="57"/>
      <c r="X2269" s="279"/>
      <c r="Y2269" s="279"/>
      <c r="Z2269" s="279"/>
      <c r="AA2269" s="279"/>
      <c r="AB2269" s="279"/>
    </row>
    <row r="2270" spans="1:49" ht="14.25" customHeight="1">
      <c r="C2270" s="245"/>
      <c r="D2270" s="26"/>
      <c r="E2270" s="26"/>
      <c r="F2270" s="26"/>
      <c r="G2270" s="57"/>
      <c r="H2270" s="279"/>
      <c r="K2270" s="57"/>
      <c r="L2270" s="279"/>
      <c r="O2270" s="26"/>
      <c r="P2270" s="279"/>
      <c r="S2270" s="26"/>
      <c r="T2270" s="279"/>
      <c r="U2270" s="33"/>
      <c r="V2270" s="33"/>
      <c r="W2270" s="26"/>
      <c r="X2270" s="279"/>
      <c r="Y2270" s="279"/>
      <c r="Z2270" s="279"/>
      <c r="AA2270" s="279"/>
      <c r="AB2270" s="279"/>
    </row>
    <row r="2271" spans="1:49" ht="14.25" customHeight="1">
      <c r="C2271" s="245"/>
      <c r="D2271" s="26"/>
      <c r="E2271" s="26"/>
      <c r="F2271" s="26"/>
      <c r="G2271" s="26"/>
      <c r="H2271" s="279"/>
      <c r="K2271" s="26"/>
    </row>
    <row r="2272" spans="1:49" ht="14.25" customHeight="1">
      <c r="C2272" s="245"/>
      <c r="D2272" s="26"/>
      <c r="E2272" s="26"/>
      <c r="F2272" s="26"/>
      <c r="G2272" s="26"/>
      <c r="H2272" s="5"/>
    </row>
    <row r="2273" spans="1:58" ht="14.25" customHeight="1">
      <c r="C2273" s="245"/>
      <c r="D2273" s="26"/>
      <c r="E2273" s="26"/>
      <c r="F2273" s="26"/>
      <c r="G2273" s="26"/>
      <c r="H2273" s="5"/>
    </row>
    <row r="2274" spans="1:58" ht="14.25" customHeight="1">
      <c r="C2274" s="245"/>
      <c r="D2274" s="26"/>
      <c r="E2274" s="26"/>
      <c r="F2274" s="26"/>
      <c r="G2274" s="26"/>
      <c r="H2274" s="5"/>
    </row>
    <row r="2275" spans="1:58" ht="14.25" customHeight="1">
      <c r="C2275" s="245"/>
      <c r="D2275" s="26"/>
      <c r="E2275" s="26"/>
      <c r="F2275" s="26"/>
      <c r="G2275" s="26"/>
      <c r="H2275" s="5"/>
    </row>
    <row r="2276" spans="1:58" ht="14.25" hidden="1" customHeight="1">
      <c r="C2276" s="245"/>
      <c r="D2276" s="26"/>
      <c r="E2276" s="26"/>
      <c r="F2276" s="26"/>
      <c r="G2276" s="26"/>
      <c r="H2276" s="5"/>
    </row>
    <row r="2277" spans="1:58" s="8" customFormat="1" hidden="1">
      <c r="B2277" s="517" t="str">
        <f>TITLE!C44</f>
        <v>Дверна коробка STANDARD - Алюм</v>
      </c>
      <c r="C2277" s="517"/>
      <c r="D2277" s="118"/>
      <c r="E2277" s="519" t="str">
        <f>IF($C$1="ENG","For Door Leafs without Rebbit","Для Дверних Полотен без Фальця")</f>
        <v>Для Дверних Полотен без Фальця</v>
      </c>
      <c r="F2277" s="519"/>
      <c r="G2277" s="519"/>
      <c r="H2277" s="519"/>
      <c r="I2277" s="519"/>
      <c r="J2277" s="519"/>
      <c r="K2277" s="519"/>
      <c r="L2277" s="520"/>
      <c r="M2277" s="520"/>
      <c r="N2277" s="520"/>
      <c r="O2277" s="520"/>
      <c r="P2277" s="520"/>
      <c r="Q2277" s="520"/>
      <c r="R2277" s="520"/>
      <c r="S2277" s="520"/>
      <c r="T2277" s="529" t="str">
        <f>IF($C$1="ENG",CONCATENATE("up to: ",B2218),CONCATENATE("вгору до: ",B2218))</f>
        <v xml:space="preserve">вгору до: </v>
      </c>
      <c r="U2277" s="529"/>
      <c r="V2277" s="529"/>
      <c r="W2277" s="529"/>
      <c r="AN2277" s="280"/>
      <c r="AO2277" s="280"/>
      <c r="AP2277" s="280"/>
      <c r="AQ2277" s="280"/>
      <c r="AR2277" s="280"/>
      <c r="AS2277" s="280"/>
      <c r="AT2277" s="280"/>
    </row>
    <row r="2278" spans="1:58" s="8" customFormat="1" ht="5.0999999999999996" hidden="1" customHeight="1">
      <c r="C2278" s="423"/>
      <c r="L2278" s="151"/>
      <c r="M2278" s="151"/>
      <c r="N2278" s="151"/>
      <c r="O2278" s="151"/>
      <c r="P2278" s="151"/>
      <c r="Q2278" s="151"/>
      <c r="R2278" s="151"/>
      <c r="S2278" s="151"/>
      <c r="T2278" s="152"/>
      <c r="U2278" s="152"/>
      <c r="V2278" s="152"/>
      <c r="W2278" s="152"/>
      <c r="AN2278" s="280"/>
      <c r="AO2278" s="280"/>
      <c r="AP2278" s="280"/>
      <c r="AQ2278" s="280"/>
      <c r="AR2278" s="280"/>
      <c r="AS2278" s="280"/>
      <c r="AT2278" s="280"/>
    </row>
    <row r="2279" spans="1:58" ht="12.75" hidden="1" customHeight="1">
      <c r="A2279" s="8"/>
      <c r="B2279" s="307" t="str">
        <f>IF($C$1="ENG","model","модель")</f>
        <v>модель</v>
      </c>
      <c r="C2279" s="122" t="str">
        <f>IF($C$1="ENG","cover:","покриття:")</f>
        <v>покриття:</v>
      </c>
      <c r="D2279" s="522" t="s">
        <v>77</v>
      </c>
      <c r="E2279" s="523"/>
      <c r="F2279" s="523"/>
      <c r="G2279" s="524"/>
      <c r="H2279" s="553"/>
      <c r="I2279" s="549"/>
      <c r="J2279" s="549"/>
      <c r="K2279" s="549"/>
      <c r="L2279" s="549"/>
      <c r="M2279" s="549"/>
      <c r="N2279" s="549"/>
      <c r="O2279" s="549"/>
      <c r="P2279" s="549"/>
      <c r="Q2279" s="549"/>
      <c r="R2279" s="549"/>
      <c r="S2279" s="549"/>
      <c r="T2279" s="549"/>
      <c r="U2279" s="549"/>
      <c r="V2279" s="549"/>
      <c r="W2279" s="549"/>
      <c r="AE2279" s="383">
        <f>AE2281/AC2281-1</f>
        <v>-1</v>
      </c>
      <c r="AF2279" s="383"/>
      <c r="AG2279" s="383" t="e">
        <f>AG2281/AE2281-1</f>
        <v>#DIV/0!</v>
      </c>
    </row>
    <row r="2280" spans="1:58" ht="12.75" hidden="1" customHeight="1">
      <c r="A2280" s="8"/>
      <c r="B2280" s="309"/>
      <c r="C2280" s="124" t="str">
        <f>IF($C$1="ENG","type:","виконання:")</f>
        <v>виконання:</v>
      </c>
      <c r="D2280" s="513" t="str">
        <f>IF($C$1="ENG","aluminum anodizing","анодований алюміній")</f>
        <v>анодований алюміній</v>
      </c>
      <c r="E2280" s="514"/>
      <c r="F2280" s="545" t="str">
        <f>IF($C$1="ENG","
black aluminum","чорний алюміній")</f>
        <v>чорний алюміній</v>
      </c>
      <c r="G2280" s="516"/>
      <c r="H2280" s="554"/>
      <c r="I2280" s="543"/>
      <c r="J2280" s="543"/>
      <c r="K2280" s="543"/>
      <c r="L2280" s="543"/>
      <c r="M2280" s="543"/>
      <c r="N2280" s="543"/>
      <c r="O2280" s="543"/>
      <c r="P2280" s="543"/>
      <c r="Q2280" s="543"/>
      <c r="R2280" s="543"/>
      <c r="S2280" s="543"/>
      <c r="T2280" s="543"/>
      <c r="U2280" s="543"/>
      <c r="V2280" s="543"/>
      <c r="W2280" s="543"/>
      <c r="AR2280" s="383"/>
    </row>
    <row r="2281" spans="1:58" ht="34.5" hidden="1" customHeight="1">
      <c r="A2281" s="8"/>
      <c r="B2281" s="502" t="str">
        <f>IF($C$1="ENG","concealed door frame 60mm","Коробка прихованого монтажу 60мм")</f>
        <v>Коробка прихованого монтажу 60мм</v>
      </c>
      <c r="C2281" s="327"/>
      <c r="D2281" s="51">
        <f>IF(AC2281="","",(1-$W$2)*(AC2281/1.2))</f>
        <v>11608.333333333334</v>
      </c>
      <c r="E2281" s="500">
        <f>IF($W$5=0.2,D2281*1.2,D2281)/$W$4</f>
        <v>13930</v>
      </c>
      <c r="F2281" s="501">
        <f>IF(AD2281="","",(1-$W$2)*(AD2281/1.2))</f>
        <v>12441.666666666668</v>
      </c>
      <c r="G2281" s="85">
        <f>IF($W$5=0.2,F2281*1.2,F2281)/$W$4</f>
        <v>14930</v>
      </c>
      <c r="H2281" s="65"/>
      <c r="I2281" s="59"/>
      <c r="J2281" s="28"/>
      <c r="K2281" s="59"/>
      <c r="L2281" s="28"/>
      <c r="M2281" s="59"/>
      <c r="N2281" s="28"/>
      <c r="O2281" s="59"/>
      <c r="P2281" s="28"/>
      <c r="Q2281" s="59"/>
      <c r="R2281" s="28"/>
      <c r="S2281" s="59"/>
      <c r="T2281" s="28"/>
      <c r="U2281" s="59"/>
      <c r="V2281" s="28"/>
      <c r="W2281" s="59"/>
      <c r="X2281" s="22"/>
      <c r="Y2281" s="22"/>
      <c r="Z2281" s="22"/>
      <c r="AA2281" s="22"/>
      <c r="AB2281" s="22"/>
      <c r="AC2281" s="392">
        <v>13930</v>
      </c>
      <c r="AD2281" s="393">
        <v>14930</v>
      </c>
      <c r="AE2281" s="394"/>
      <c r="AF2281" s="393"/>
      <c r="AG2281" s="392"/>
      <c r="AH2281" s="393"/>
      <c r="AI2281" s="392"/>
      <c r="AJ2281" s="393"/>
      <c r="AK2281" s="392"/>
      <c r="AL2281" s="393"/>
      <c r="AM2281" s="334"/>
      <c r="AN2281" s="310"/>
      <c r="AO2281" s="334"/>
      <c r="AP2281" s="310"/>
      <c r="AQ2281" s="334"/>
      <c r="AR2281" s="310"/>
      <c r="AS2281" s="334"/>
      <c r="AT2281" s="310"/>
      <c r="AU2281" s="334"/>
      <c r="AV2281" s="310"/>
      <c r="AW2281" s="334"/>
      <c r="AX2281" s="310"/>
      <c r="AY2281" s="334"/>
      <c r="AZ2281" s="310"/>
      <c r="BA2281" s="334"/>
      <c r="BB2281" s="310"/>
      <c r="BC2281" s="334"/>
      <c r="BD2281" s="310"/>
      <c r="BE2281" s="334"/>
      <c r="BF2281" s="310"/>
    </row>
    <row r="2282" spans="1:58" ht="14.25" hidden="1" customHeight="1">
      <c r="C2282" s="245"/>
      <c r="D2282" s="26"/>
      <c r="E2282" s="26"/>
      <c r="F2282" s="26"/>
      <c r="G2282" s="26"/>
      <c r="H2282" s="5"/>
    </row>
    <row r="2283" spans="1:58" hidden="1">
      <c r="B2283" s="212" t="str">
        <f>IF($C$1="ENG","For additonal charge:","Послуги за додаткову плату:")</f>
        <v>Послуги за додаткову плату:</v>
      </c>
      <c r="C2283" s="420"/>
      <c r="D2283" s="213"/>
      <c r="E2283" s="214"/>
      <c r="F2283" s="39"/>
      <c r="G2283" s="39"/>
      <c r="H2283" s="10"/>
      <c r="I2283" s="84"/>
      <c r="J2283" s="8"/>
      <c r="K2283" s="8"/>
      <c r="L2283" s="105"/>
      <c r="N2283" s="105"/>
      <c r="P2283" s="105"/>
      <c r="R2283" s="105"/>
      <c r="U2283" s="20"/>
      <c r="W2283" s="20"/>
    </row>
    <row r="2284" spans="1:58" ht="5.0999999999999996" hidden="1" customHeight="1">
      <c r="B2284" s="27"/>
      <c r="C2284" s="245"/>
      <c r="D2284" s="26"/>
      <c r="E2284" s="57"/>
      <c r="F2284" s="26"/>
      <c r="G2284" s="26"/>
      <c r="H2284" s="10"/>
      <c r="I2284" s="8"/>
      <c r="J2284" s="8"/>
      <c r="K2284" s="8"/>
      <c r="U2284" s="20"/>
      <c r="W2284" s="20"/>
    </row>
    <row r="2285" spans="1:58" hidden="1">
      <c r="B2285" s="551" t="str">
        <f>IF($C$1="ENG","hidden 3D door hindge","прихована 3D завіса хром/чорн.")</f>
        <v>прихована 3D завіса хром/чорн.</v>
      </c>
      <c r="C2285" s="552"/>
      <c r="D2285" s="51">
        <f>IF(AC2285="","",(1-$W$2)*(AC2285/1.2))</f>
        <v>741.66666666666674</v>
      </c>
      <c r="E2285" s="85">
        <f>IF($W$5=0.2,D2285*1.2,D2285)/$W$4</f>
        <v>890.00000000000011</v>
      </c>
      <c r="F2285" s="26"/>
      <c r="G2285" s="26"/>
      <c r="H2285" s="10"/>
      <c r="I2285" s="84"/>
      <c r="J2285" s="8"/>
      <c r="K2285" s="84"/>
      <c r="U2285" s="20"/>
      <c r="W2285" s="20"/>
      <c r="AC2285" s="298">
        <v>890</v>
      </c>
      <c r="AD2285" s="386"/>
      <c r="AE2285" s="30"/>
      <c r="AF2285" s="289"/>
      <c r="AG2285" s="289"/>
      <c r="AH2285" s="289"/>
      <c r="AI2285" s="289"/>
      <c r="AJ2285" s="289"/>
      <c r="AK2285" s="289"/>
      <c r="AL2285" s="289"/>
    </row>
    <row r="2286" spans="1:58" ht="14.25" hidden="1" customHeight="1">
      <c r="C2286" s="245"/>
      <c r="D2286" s="26"/>
      <c r="E2286" s="26"/>
      <c r="F2286" s="26"/>
      <c r="G2286" s="26"/>
      <c r="H2286" s="5"/>
    </row>
    <row r="2287" spans="1:58" ht="14.25" hidden="1" customHeight="1">
      <c r="C2287" s="245"/>
      <c r="D2287" s="26"/>
      <c r="E2287" s="26"/>
      <c r="F2287" s="26"/>
      <c r="G2287" s="26"/>
      <c r="H2287" s="5"/>
    </row>
    <row r="2288" spans="1:58" ht="14.25" customHeight="1">
      <c r="C2288" s="245"/>
      <c r="D2288" s="26"/>
      <c r="E2288" s="26"/>
      <c r="F2288" s="26"/>
      <c r="G2288" s="26"/>
      <c r="H2288" s="5"/>
    </row>
    <row r="2289" spans="3:23" ht="14.25" customHeight="1">
      <c r="C2289" s="245"/>
      <c r="D2289" s="26"/>
      <c r="E2289" s="26"/>
      <c r="F2289" s="26"/>
      <c r="G2289" s="26"/>
      <c r="H2289" s="5"/>
    </row>
    <row r="2290" spans="3:23" ht="14.25" customHeight="1">
      <c r="C2290" s="245"/>
      <c r="D2290" s="26"/>
      <c r="E2290" s="26"/>
      <c r="F2290" s="26"/>
      <c r="G2290" s="26"/>
      <c r="H2290" s="5"/>
    </row>
    <row r="2291" spans="3:23" ht="14.25" customHeight="1">
      <c r="C2291" s="245"/>
      <c r="D2291" s="26"/>
      <c r="E2291" s="26"/>
      <c r="F2291" s="26"/>
      <c r="G2291" s="26"/>
      <c r="H2291" s="5"/>
    </row>
    <row r="2292" spans="3:23" ht="14.25" customHeight="1">
      <c r="C2292" s="245"/>
      <c r="D2292" s="26"/>
      <c r="E2292" s="26"/>
      <c r="F2292" s="26"/>
      <c r="G2292" s="26"/>
      <c r="H2292" s="5"/>
    </row>
    <row r="2293" spans="3:23" ht="14.25" customHeight="1">
      <c r="C2293" s="245"/>
      <c r="D2293" s="26"/>
      <c r="E2293" s="26"/>
      <c r="F2293" s="26"/>
      <c r="G2293" s="26"/>
      <c r="H2293" s="5"/>
    </row>
    <row r="2294" spans="3:23" ht="14.25" customHeight="1">
      <c r="C2294" s="245"/>
      <c r="D2294" s="26"/>
      <c r="E2294" s="26"/>
      <c r="F2294" s="26"/>
      <c r="G2294" s="26"/>
      <c r="H2294" s="5"/>
    </row>
    <row r="2295" spans="3:23" ht="14.25" customHeight="1">
      <c r="C2295" s="245"/>
      <c r="D2295" s="26"/>
      <c r="E2295" s="26"/>
      <c r="F2295" s="26"/>
      <c r="G2295" s="26"/>
      <c r="H2295" s="5"/>
    </row>
    <row r="2296" spans="3:23" ht="14.25" customHeight="1">
      <c r="C2296" s="245"/>
      <c r="D2296" s="26"/>
      <c r="E2296" s="26"/>
      <c r="F2296" s="26"/>
      <c r="G2296" s="26"/>
      <c r="H2296" s="5"/>
    </row>
    <row r="2297" spans="3:23" ht="14.25" customHeight="1">
      <c r="C2297" s="245"/>
      <c r="D2297" s="26"/>
      <c r="E2297" s="26"/>
      <c r="F2297" s="26"/>
      <c r="G2297" s="26"/>
      <c r="H2297" s="5"/>
    </row>
    <row r="2298" spans="3:23" ht="14.25" customHeight="1">
      <c r="C2298" s="245"/>
      <c r="D2298" s="26"/>
      <c r="E2298" s="26"/>
      <c r="F2298" s="26"/>
      <c r="G2298" s="26"/>
      <c r="H2298" s="5"/>
    </row>
    <row r="2299" spans="3:23" ht="14.25" customHeight="1">
      <c r="C2299" s="245"/>
      <c r="D2299" s="26"/>
      <c r="E2299" s="26"/>
      <c r="F2299" s="26"/>
      <c r="G2299" s="57"/>
      <c r="H2299" s="5"/>
      <c r="K2299" s="57"/>
      <c r="O2299" s="57"/>
      <c r="S2299" s="57"/>
      <c r="W2299" s="57"/>
    </row>
    <row r="2300" spans="3:23" ht="14.25" customHeight="1">
      <c r="C2300" s="245"/>
      <c r="D2300" s="26"/>
      <c r="E2300" s="26"/>
      <c r="F2300" s="26"/>
      <c r="G2300" s="57"/>
      <c r="H2300" s="5"/>
      <c r="K2300" s="57"/>
      <c r="O2300" s="57"/>
      <c r="S2300" s="57"/>
      <c r="W2300" s="57"/>
    </row>
    <row r="2301" spans="3:23" ht="14.25" customHeight="1">
      <c r="C2301" s="245"/>
      <c r="D2301" s="26"/>
      <c r="E2301" s="26"/>
      <c r="F2301" s="26"/>
      <c r="G2301" s="57"/>
      <c r="H2301" s="5"/>
      <c r="K2301" s="57"/>
      <c r="O2301" s="57"/>
      <c r="S2301" s="57"/>
      <c r="W2301" s="57"/>
    </row>
    <row r="2302" spans="3:23" ht="14.25" customHeight="1">
      <c r="C2302" s="245"/>
      <c r="D2302" s="26"/>
      <c r="E2302" s="26"/>
      <c r="F2302" s="26"/>
      <c r="G2302" s="57"/>
      <c r="H2302" s="5"/>
      <c r="K2302" s="57"/>
      <c r="O2302" s="57"/>
      <c r="S2302" s="57"/>
      <c r="W2302" s="57"/>
    </row>
    <row r="2303" spans="3:23" ht="14.25" customHeight="1">
      <c r="C2303" s="245"/>
      <c r="D2303" s="26"/>
      <c r="E2303" s="26"/>
      <c r="F2303" s="26"/>
      <c r="G2303" s="57"/>
      <c r="H2303" s="5"/>
      <c r="K2303" s="57"/>
      <c r="O2303" s="57"/>
      <c r="S2303" s="57"/>
      <c r="W2303" s="57"/>
    </row>
    <row r="2304" spans="3:23" ht="14.25" customHeight="1">
      <c r="C2304" s="245"/>
      <c r="D2304" s="26"/>
      <c r="E2304" s="26"/>
      <c r="F2304" s="26"/>
      <c r="G2304" s="57"/>
      <c r="H2304" s="5"/>
      <c r="K2304" s="57"/>
      <c r="O2304" s="57"/>
      <c r="S2304" s="57"/>
      <c r="W2304" s="57"/>
    </row>
    <row r="2305" spans="1:58" ht="14.25" customHeight="1">
      <c r="C2305" s="245"/>
      <c r="D2305" s="26"/>
      <c r="E2305" s="26"/>
      <c r="F2305" s="26"/>
      <c r="G2305" s="57"/>
      <c r="H2305" s="5"/>
      <c r="K2305" s="57"/>
      <c r="O2305" s="57"/>
      <c r="S2305" s="57"/>
      <c r="W2305" s="57"/>
    </row>
    <row r="2306" spans="1:58" ht="14.25" customHeight="1">
      <c r="C2306" s="245"/>
      <c r="D2306" s="26"/>
      <c r="E2306" s="26"/>
      <c r="F2306" s="26"/>
      <c r="G2306" s="57"/>
      <c r="H2306" s="5"/>
      <c r="K2306" s="57"/>
      <c r="O2306" s="57"/>
      <c r="S2306" s="57"/>
      <c r="W2306" s="57"/>
    </row>
    <row r="2307" spans="1:58" ht="14.25" customHeight="1">
      <c r="C2307" s="245"/>
      <c r="D2307" s="26"/>
      <c r="E2307" s="26"/>
      <c r="F2307" s="26"/>
      <c r="G2307" s="57"/>
      <c r="H2307" s="5"/>
      <c r="K2307" s="57"/>
      <c r="O2307" s="57"/>
      <c r="S2307" s="57"/>
      <c r="W2307" s="57"/>
    </row>
    <row r="2308" spans="1:58" ht="14.25" customHeight="1">
      <c r="C2308" s="245"/>
      <c r="D2308" s="26"/>
      <c r="E2308" s="26"/>
      <c r="F2308" s="26"/>
      <c r="G2308" s="57"/>
      <c r="H2308" s="5"/>
      <c r="K2308" s="57"/>
      <c r="O2308" s="57"/>
      <c r="S2308" s="57"/>
      <c r="W2308" s="57"/>
    </row>
    <row r="2309" spans="1:58" ht="14.25" customHeight="1">
      <c r="C2309" s="245"/>
      <c r="D2309" s="26"/>
      <c r="E2309" s="26"/>
      <c r="F2309" s="26"/>
      <c r="G2309" s="57"/>
      <c r="H2309" s="5"/>
      <c r="K2309" s="57"/>
      <c r="O2309" s="57"/>
      <c r="S2309" s="57"/>
      <c r="W2309" s="57"/>
    </row>
    <row r="2310" spans="1:58" ht="14.25" customHeight="1">
      <c r="C2310" s="245"/>
      <c r="D2310" s="26"/>
      <c r="E2310" s="26"/>
      <c r="F2310" s="26"/>
      <c r="G2310" s="57"/>
      <c r="H2310" s="5"/>
      <c r="K2310" s="57"/>
      <c r="O2310" s="57"/>
      <c r="S2310" s="57"/>
      <c r="W2310" s="57"/>
    </row>
    <row r="2311" spans="1:58" ht="14.25" customHeight="1">
      <c r="C2311" s="245"/>
      <c r="D2311" s="26"/>
      <c r="E2311" s="57"/>
      <c r="F2311" s="26"/>
      <c r="G2311" s="57"/>
      <c r="H2311" s="5"/>
      <c r="K2311" s="57"/>
      <c r="O2311" s="57"/>
      <c r="S2311" s="57"/>
      <c r="W2311" s="57"/>
    </row>
    <row r="2312" spans="1:58" ht="14.25" customHeight="1">
      <c r="C2312" s="245"/>
      <c r="D2312" s="58"/>
      <c r="E2312" s="58"/>
      <c r="F2312" s="58"/>
      <c r="G2312" s="58"/>
      <c r="H2312" s="58"/>
      <c r="I2312" s="58"/>
      <c r="J2312" s="58"/>
      <c r="K2312" s="58"/>
      <c r="L2312" s="58"/>
      <c r="M2312" s="58"/>
      <c r="N2312" s="58"/>
      <c r="O2312" s="58"/>
      <c r="P2312" s="58"/>
      <c r="Q2312" s="58"/>
      <c r="R2312" s="58"/>
      <c r="S2312" s="58"/>
      <c r="T2312" s="58"/>
      <c r="U2312" s="58"/>
      <c r="V2312" s="58">
        <f t="shared" ref="V2312" si="305">V2326/100*40</f>
        <v>2806.666666666667</v>
      </c>
      <c r="W2312" s="58"/>
    </row>
    <row r="2313" spans="1:58" s="8" customFormat="1">
      <c r="B2313" s="517" t="str">
        <f>TITLE!$C$45</f>
        <v>Дверна коробка Verto-FIT</v>
      </c>
      <c r="C2313" s="518"/>
      <c r="D2313" s="118"/>
      <c r="E2313" s="519" t="str">
        <f>IF($C$1="ENG","For Door Leafs with Rebbit","Для Дверних Полотен з Фальцем")</f>
        <v>Для Дверних Полотен з Фальцем</v>
      </c>
      <c r="F2313" s="519"/>
      <c r="G2313" s="519"/>
      <c r="H2313" s="519"/>
      <c r="I2313" s="519"/>
      <c r="J2313" s="519"/>
      <c r="K2313" s="519"/>
      <c r="L2313" s="520"/>
      <c r="M2313" s="520"/>
      <c r="N2313" s="520"/>
      <c r="O2313" s="520"/>
      <c r="P2313" s="520"/>
      <c r="Q2313" s="520"/>
      <c r="R2313" s="520"/>
      <c r="S2313" s="520"/>
      <c r="T2313" s="529" t="str">
        <f>IF($C$1="ENG",CONCATENATE("up to: ",B2245),CONCATENATE("вгору до: ",B2245))</f>
        <v>вгору до: Дверна коробка STANDARD</v>
      </c>
      <c r="U2313" s="529"/>
      <c r="V2313" s="529"/>
      <c r="W2313" s="529"/>
      <c r="AC2313" s="1"/>
      <c r="AF2313" s="1"/>
      <c r="AN2313" s="280"/>
      <c r="AO2313" s="280"/>
      <c r="AP2313" s="280"/>
      <c r="AQ2313" s="280"/>
      <c r="AR2313" s="280"/>
      <c r="AS2313" s="280"/>
      <c r="AT2313" s="280"/>
    </row>
    <row r="2314" spans="1:58" s="8" customFormat="1" ht="5.0999999999999996" customHeight="1">
      <c r="C2314" s="423"/>
      <c r="T2314" s="116"/>
      <c r="U2314" s="116"/>
      <c r="V2314" s="116"/>
      <c r="W2314" s="116"/>
      <c r="AC2314" s="1"/>
      <c r="AF2314" s="1"/>
      <c r="AN2314" s="280"/>
      <c r="AO2314" s="280"/>
      <c r="AP2314" s="280"/>
      <c r="AQ2314" s="280"/>
      <c r="AR2314" s="280"/>
      <c r="AS2314" s="280"/>
      <c r="AT2314" s="280"/>
    </row>
    <row r="2315" spans="1:58" ht="12.75" customHeight="1">
      <c r="A2315" s="8"/>
      <c r="B2315" s="307" t="str">
        <f>IF($C$1="ENG","model","модель")</f>
        <v>модель</v>
      </c>
      <c r="C2315" s="122" t="str">
        <f>IF($C$1="ENG","cover:","покриття:")</f>
        <v>покриття:</v>
      </c>
      <c r="D2315" s="522" t="str">
        <f>IF($C$1="ENG","SIMPLEX / VERTO-CELL / ","SIMPLEX / VERTO-CELL ")</f>
        <v xml:space="preserve">SIMPLEX / VERTO-CELL </v>
      </c>
      <c r="E2315" s="523"/>
      <c r="F2315" s="523"/>
      <c r="G2315" s="524"/>
      <c r="H2315" s="522" t="str">
        <f>IF($C$1="ENG","UNI-MAT","UNI-MAT")</f>
        <v>UNI-MAT</v>
      </c>
      <c r="I2315" s="523"/>
      <c r="J2315" s="523"/>
      <c r="K2315" s="524"/>
      <c r="L2315" s="522" t="str">
        <f>IF($C$1="ENG","RESIST","RESIST")</f>
        <v>RESIST</v>
      </c>
      <c r="M2315" s="523"/>
      <c r="N2315" s="523"/>
      <c r="O2315" s="524"/>
      <c r="P2315" s="522" t="str">
        <f>IF($C$1="ENG","Verto LINE-3D","Verto LINE-3D")</f>
        <v>Verto LINE-3D</v>
      </c>
      <c r="Q2315" s="523"/>
      <c r="R2315" s="523"/>
      <c r="S2315" s="524"/>
      <c r="T2315" s="522" t="str">
        <f>IF($C$1="ENG","ECO Shpon / LOFT","ЕКО Шпон / LOFT")</f>
        <v>ЕКО Шпон / LOFT</v>
      </c>
      <c r="U2315" s="523"/>
      <c r="V2315" s="523"/>
      <c r="W2315" s="524"/>
      <c r="AM2315" s="384"/>
      <c r="AO2315" s="383"/>
    </row>
    <row r="2316" spans="1:58" ht="12.75" customHeight="1">
      <c r="A2316" s="8"/>
      <c r="B2316" s="308"/>
      <c r="C2316" s="124" t="str">
        <f>IF($C$1="ENG","type:","виконання:")</f>
        <v>виконання:</v>
      </c>
      <c r="D2316" s="513" t="str">
        <f>IF($C$1="ENG","single leaf","одностулкове")</f>
        <v>одностулкове</v>
      </c>
      <c r="E2316" s="514"/>
      <c r="F2316" s="545" t="str">
        <f>IF($C$1="ENG","double leaf","двостулкові")</f>
        <v>двостулкові</v>
      </c>
      <c r="G2316" s="516"/>
      <c r="H2316" s="513" t="str">
        <f>IF($C$1="ENG","single leaf","одностулкове")</f>
        <v>одностулкове</v>
      </c>
      <c r="I2316" s="514"/>
      <c r="J2316" s="545" t="str">
        <f>IF($C$1="ENG","double leaf","двостулкові")</f>
        <v>двостулкові</v>
      </c>
      <c r="K2316" s="516"/>
      <c r="L2316" s="513" t="str">
        <f>IF($C$1="ENG","single leaf","одностулкове")</f>
        <v>одностулкове</v>
      </c>
      <c r="M2316" s="514"/>
      <c r="N2316" s="515" t="str">
        <f>IF($C$1="ENG","double leaf","двостулкові")</f>
        <v>двостулкові</v>
      </c>
      <c r="O2316" s="516"/>
      <c r="P2316" s="513" t="str">
        <f>IF($C$1="ENG","single leaf","одностулкове")</f>
        <v>одностулкове</v>
      </c>
      <c r="Q2316" s="514"/>
      <c r="R2316" s="515" t="str">
        <f>IF($C$1="ENG","double leaf","двостулкові")</f>
        <v>двостулкові</v>
      </c>
      <c r="S2316" s="516"/>
      <c r="T2316" s="513" t="str">
        <f>IF($C$1="ENG","single leaf","одностулкове")</f>
        <v>одностулкове</v>
      </c>
      <c r="U2316" s="514"/>
      <c r="V2316" s="515" t="str">
        <f>IF($C$1="ENG","double leaf","двостулкові")</f>
        <v>двостулкові</v>
      </c>
      <c r="W2316" s="515"/>
      <c r="X2316" s="48"/>
      <c r="Y2316" s="48"/>
      <c r="Z2316" s="48"/>
      <c r="AA2316" s="48"/>
      <c r="AE2316" s="1">
        <f>AE2317/AC2317-1</f>
        <v>0.15436241610738266</v>
      </c>
      <c r="AM2316" s="384"/>
    </row>
    <row r="2317" spans="1:58" ht="12.75" customHeight="1">
      <c r="A2317" s="8"/>
      <c r="B2317" s="13" t="str">
        <f>IF($C$1="ENG","A (75 - 95 mm)","A (75 - 95 мм)")</f>
        <v>A (75 - 95 мм)</v>
      </c>
      <c r="C2317" s="425"/>
      <c r="D2317" s="15">
        <f t="shared" ref="D2317:D2326" si="306">IF(AC2317="","",(1-$W$2)*(AC2317/1.2))</f>
        <v>2483.3333333333335</v>
      </c>
      <c r="E2317" s="267">
        <f t="shared" ref="E2317:E2326" si="307">IF($W$5=0.2,D2317*1.2,D2317)/$W$4</f>
        <v>2980</v>
      </c>
      <c r="F2317" s="270">
        <f t="shared" ref="F2317:F2326" si="308">IF(AD2317="","",(1-$W$2)*(AD2317/1.2))</f>
        <v>3475</v>
      </c>
      <c r="G2317" s="64">
        <f t="shared" ref="G2317:G2326" si="309">IF($W$5=0.2,F2317*1.2,F2317)/$W$4</f>
        <v>4170</v>
      </c>
      <c r="H2317" s="15">
        <f t="shared" ref="H2317:H2326" si="310">IF(AE2317="","",(1-$W$2)*(AE2317/1.2))</f>
        <v>2866.666666666667</v>
      </c>
      <c r="I2317" s="267">
        <f t="shared" ref="I2317:I2326" si="311">IF($W$5=0.2,H2317*1.2,H2317)/$W$4</f>
        <v>3440.0000000000005</v>
      </c>
      <c r="J2317" s="270">
        <f t="shared" ref="J2317:J2326" si="312">IF(AF2317="","",(1-$W$2)*(AF2317/1.2))</f>
        <v>4016.666666666667</v>
      </c>
      <c r="K2317" s="64">
        <f t="shared" ref="K2317:K2326" si="313">IF($W$5=0.2,J2317*1.2,J2317)/$W$4</f>
        <v>4820</v>
      </c>
      <c r="L2317" s="15">
        <f t="shared" ref="L2317:L2326" si="314">IF(AG2317="","",(1-$W$2)*(AG2317/1.2))</f>
        <v>2975</v>
      </c>
      <c r="M2317" s="267">
        <f t="shared" ref="M2317:M2326" si="315">IF($W$5=0.2,L2317*1.2,L2317)/$W$4</f>
        <v>3570</v>
      </c>
      <c r="N2317" s="270">
        <f t="shared" ref="N2317:N2326" si="316">IF(AH2317="","",(1-$W$2)*(AH2317/1.2))</f>
        <v>4158.3333333333339</v>
      </c>
      <c r="O2317" s="64">
        <f t="shared" ref="O2317:O2326" si="317">IF($W$5=0.2,N2317*1.2,N2317)/$W$4</f>
        <v>4990.0000000000009</v>
      </c>
      <c r="P2317" s="15">
        <f t="shared" ref="P2317:P2326" si="318">IF(AI2317="","",(1-$W$2)*(AI2317/1.2))</f>
        <v>3166.666666666667</v>
      </c>
      <c r="Q2317" s="267">
        <f t="shared" ref="Q2317:Q2326" si="319">IF($W$5=0.2,P2317*1.2,P2317)/$W$4</f>
        <v>3800</v>
      </c>
      <c r="R2317" s="270">
        <f t="shared" ref="R2317:R2326" si="320">IF(AJ2317="","",(1-$W$2)*(AJ2317/1.2))</f>
        <v>4433.3333333333339</v>
      </c>
      <c r="S2317" s="64">
        <f t="shared" ref="S2317:S2326" si="321">IF($W$5=0.2,R2317*1.2,R2317)/$W$4</f>
        <v>5320.0000000000009</v>
      </c>
      <c r="T2317" s="15">
        <f t="shared" ref="T2317:T2326" si="322">IF(AK2317="","",(1-$W$2)*(AK2317/1.2))</f>
        <v>3383.3333333333335</v>
      </c>
      <c r="U2317" s="267">
        <f t="shared" ref="U2317:U2326" si="323">IF($W$5=0.2,T2317*1.2,T2317)/$W$4</f>
        <v>4060</v>
      </c>
      <c r="V2317" s="270">
        <f t="shared" ref="V2317:V2326" si="324">IF(AL2317="","",(1-$W$2)*(AL2317/1.2))</f>
        <v>4983.3333333333339</v>
      </c>
      <c r="W2317" s="401">
        <f t="shared" ref="W2317:W2326" si="325">IF($W$5=0.2,V2317*1.2,V2317)/$W$4</f>
        <v>5980.0000000000009</v>
      </c>
      <c r="X2317" s="400"/>
      <c r="Y2317" s="400"/>
      <c r="Z2317" s="400"/>
      <c r="AA2317" s="400"/>
      <c r="AB2317" s="22"/>
      <c r="AC2317" s="332">
        <v>2980</v>
      </c>
      <c r="AD2317" s="332">
        <v>4170</v>
      </c>
      <c r="AE2317" s="332">
        <v>3440</v>
      </c>
      <c r="AF2317" s="332">
        <v>4820</v>
      </c>
      <c r="AG2317" s="332">
        <v>3570</v>
      </c>
      <c r="AH2317" s="332">
        <v>4990</v>
      </c>
      <c r="AI2317" s="332">
        <v>3800</v>
      </c>
      <c r="AJ2317" s="332">
        <v>5320</v>
      </c>
      <c r="AK2317" s="332">
        <v>4060</v>
      </c>
      <c r="AL2317" s="332">
        <v>5980</v>
      </c>
      <c r="AM2317" s="334">
        <v>2980</v>
      </c>
      <c r="AN2317" s="310">
        <f>AM2317/AC2317-1</f>
        <v>0</v>
      </c>
      <c r="AO2317" s="334">
        <f>AM2317/100*40</f>
        <v>1192</v>
      </c>
      <c r="AP2317" s="398">
        <f>AO2317/AD2317-1</f>
        <v>-0.71414868105515583</v>
      </c>
      <c r="AQ2317" s="334">
        <v>3440</v>
      </c>
      <c r="AR2317" s="398">
        <f>AQ2317/AE2317-1</f>
        <v>0</v>
      </c>
      <c r="AS2317" s="334">
        <v>4820</v>
      </c>
      <c r="AT2317" s="398">
        <f>AS2317/AF2317-1</f>
        <v>0</v>
      </c>
      <c r="AU2317" s="334">
        <v>3570</v>
      </c>
      <c r="AV2317" s="398">
        <f>AU2317/AG2317-1</f>
        <v>0</v>
      </c>
      <c r="AW2317" s="334">
        <v>4990</v>
      </c>
      <c r="AX2317" s="398"/>
      <c r="AY2317" s="334"/>
      <c r="AZ2317" s="398"/>
      <c r="BA2317" s="334"/>
      <c r="BB2317" s="398"/>
      <c r="BC2317" s="334"/>
      <c r="BD2317" s="398"/>
      <c r="BE2317" s="334"/>
      <c r="BF2317" s="398"/>
    </row>
    <row r="2318" spans="1:58">
      <c r="A2318" s="8"/>
      <c r="B2318" s="16" t="str">
        <f>IF($C$1="ENG","B (95 - 115 mm)","B (95 - 115 мм)")</f>
        <v>B (95 - 115 мм)</v>
      </c>
      <c r="C2318" s="431"/>
      <c r="D2318" s="18">
        <f t="shared" si="306"/>
        <v>2633.3333333333335</v>
      </c>
      <c r="E2318" s="268">
        <f t="shared" si="307"/>
        <v>3160</v>
      </c>
      <c r="F2318" s="271">
        <f t="shared" si="308"/>
        <v>3683.3333333333335</v>
      </c>
      <c r="G2318" s="66">
        <f t="shared" si="309"/>
        <v>4420</v>
      </c>
      <c r="H2318" s="18">
        <f t="shared" si="310"/>
        <v>3033.3333333333335</v>
      </c>
      <c r="I2318" s="268">
        <f t="shared" si="311"/>
        <v>3640</v>
      </c>
      <c r="J2318" s="271">
        <f t="shared" si="312"/>
        <v>4250</v>
      </c>
      <c r="K2318" s="66">
        <f t="shared" si="313"/>
        <v>5100</v>
      </c>
      <c r="L2318" s="18">
        <f t="shared" si="314"/>
        <v>3166.666666666667</v>
      </c>
      <c r="M2318" s="268">
        <f t="shared" si="315"/>
        <v>3800</v>
      </c>
      <c r="N2318" s="271">
        <f t="shared" si="316"/>
        <v>4425</v>
      </c>
      <c r="O2318" s="66">
        <f t="shared" si="317"/>
        <v>5310</v>
      </c>
      <c r="P2318" s="18">
        <f t="shared" si="318"/>
        <v>3350</v>
      </c>
      <c r="Q2318" s="268">
        <f t="shared" si="319"/>
        <v>4020</v>
      </c>
      <c r="R2318" s="271">
        <f t="shared" si="320"/>
        <v>4683.3333333333339</v>
      </c>
      <c r="S2318" s="66">
        <f t="shared" si="321"/>
        <v>5620.0000000000009</v>
      </c>
      <c r="T2318" s="18">
        <f t="shared" si="322"/>
        <v>3583.3333333333335</v>
      </c>
      <c r="U2318" s="268">
        <f t="shared" si="323"/>
        <v>4300</v>
      </c>
      <c r="V2318" s="271">
        <f t="shared" si="324"/>
        <v>5016.666666666667</v>
      </c>
      <c r="W2318" s="402">
        <f t="shared" si="325"/>
        <v>6020</v>
      </c>
      <c r="X2318" s="400"/>
      <c r="Y2318" s="59"/>
      <c r="Z2318" s="28"/>
      <c r="AA2318" s="59"/>
      <c r="AB2318" s="22"/>
      <c r="AC2318" s="332">
        <v>3160</v>
      </c>
      <c r="AD2318" s="332">
        <v>4420</v>
      </c>
      <c r="AE2318" s="332">
        <v>3640</v>
      </c>
      <c r="AF2318" s="332">
        <v>5100</v>
      </c>
      <c r="AG2318" s="332">
        <v>3800</v>
      </c>
      <c r="AH2318" s="332">
        <v>5310</v>
      </c>
      <c r="AI2318" s="332">
        <v>4020</v>
      </c>
      <c r="AJ2318" s="332">
        <v>5620</v>
      </c>
      <c r="AK2318" s="332">
        <v>4300</v>
      </c>
      <c r="AL2318" s="332">
        <v>6020</v>
      </c>
      <c r="AM2318" s="334">
        <v>3160</v>
      </c>
      <c r="AN2318" s="310">
        <f t="shared" ref="AN2318:AN2326" si="326">AM2318/AC2318-1</f>
        <v>0</v>
      </c>
      <c r="AO2318" s="334">
        <f t="shared" ref="AO2318:AO2326" si="327">AM2318/100*40</f>
        <v>1264</v>
      </c>
      <c r="AP2318" s="398">
        <f t="shared" ref="AP2318:AP2326" si="328">AO2318/AD2318-1</f>
        <v>-0.71402714932126699</v>
      </c>
      <c r="AQ2318" s="334">
        <v>3640</v>
      </c>
      <c r="AR2318" s="398">
        <f t="shared" ref="AR2318:AR2326" si="329">AQ2318/AE2318-1</f>
        <v>0</v>
      </c>
      <c r="AS2318" s="334">
        <v>5100</v>
      </c>
      <c r="AT2318" s="398">
        <f t="shared" ref="AT2318:AT2326" si="330">AS2318/AF2318-1</f>
        <v>0</v>
      </c>
      <c r="AU2318" s="334">
        <v>3800</v>
      </c>
      <c r="AV2318" s="398">
        <f t="shared" ref="AV2318:AV2326" si="331">AU2318/AG2318-1</f>
        <v>0</v>
      </c>
      <c r="AW2318" s="334">
        <v>5310</v>
      </c>
      <c r="AX2318" s="398"/>
      <c r="AY2318" s="334"/>
      <c r="AZ2318" s="398"/>
      <c r="BA2318" s="334"/>
      <c r="BB2318" s="398"/>
      <c r="BC2318" s="334"/>
      <c r="BD2318" s="398"/>
      <c r="BE2318" s="334"/>
      <c r="BF2318" s="398"/>
    </row>
    <row r="2319" spans="1:58">
      <c r="A2319" s="8"/>
      <c r="B2319" s="16" t="str">
        <f>IF($C$1="ENG","B+ (100 - 120 mm)","B+ (100 - 120 мм)")</f>
        <v>B+ (100 - 120 мм)</v>
      </c>
      <c r="C2319" s="431"/>
      <c r="D2319" s="18">
        <f t="shared" si="306"/>
        <v>2733.3333333333335</v>
      </c>
      <c r="E2319" s="268">
        <f t="shared" si="307"/>
        <v>3280</v>
      </c>
      <c r="F2319" s="271">
        <f t="shared" si="308"/>
        <v>3825</v>
      </c>
      <c r="G2319" s="66">
        <f t="shared" si="309"/>
        <v>4590</v>
      </c>
      <c r="H2319" s="18">
        <f t="shared" si="310"/>
        <v>3133.3333333333335</v>
      </c>
      <c r="I2319" s="268">
        <f t="shared" si="311"/>
        <v>3760</v>
      </c>
      <c r="J2319" s="271">
        <f t="shared" si="312"/>
        <v>4391.666666666667</v>
      </c>
      <c r="K2319" s="66">
        <f t="shared" si="313"/>
        <v>5270</v>
      </c>
      <c r="L2319" s="18">
        <f t="shared" si="314"/>
        <v>3258.3333333333335</v>
      </c>
      <c r="M2319" s="268">
        <f t="shared" si="315"/>
        <v>3910</v>
      </c>
      <c r="N2319" s="271">
        <f t="shared" si="316"/>
        <v>4558.3333333333339</v>
      </c>
      <c r="O2319" s="66">
        <f t="shared" si="317"/>
        <v>5470.0000000000009</v>
      </c>
      <c r="P2319" s="18">
        <f t="shared" si="318"/>
        <v>3450</v>
      </c>
      <c r="Q2319" s="268">
        <f t="shared" si="319"/>
        <v>4140</v>
      </c>
      <c r="R2319" s="271">
        <f t="shared" si="320"/>
        <v>4825</v>
      </c>
      <c r="S2319" s="66">
        <f t="shared" si="321"/>
        <v>5790</v>
      </c>
      <c r="T2319" s="18">
        <f t="shared" si="322"/>
        <v>3683.3333333333335</v>
      </c>
      <c r="U2319" s="268">
        <f t="shared" si="323"/>
        <v>4420</v>
      </c>
      <c r="V2319" s="271">
        <f t="shared" si="324"/>
        <v>5150</v>
      </c>
      <c r="W2319" s="402">
        <f t="shared" si="325"/>
        <v>6180</v>
      </c>
      <c r="X2319" s="400"/>
      <c r="Y2319" s="59"/>
      <c r="Z2319" s="28"/>
      <c r="AA2319" s="59"/>
      <c r="AB2319" s="22"/>
      <c r="AC2319" s="332">
        <v>3280</v>
      </c>
      <c r="AD2319" s="332">
        <v>4590</v>
      </c>
      <c r="AE2319" s="332">
        <v>3760</v>
      </c>
      <c r="AF2319" s="332">
        <v>5270</v>
      </c>
      <c r="AG2319" s="332">
        <v>3910</v>
      </c>
      <c r="AH2319" s="332">
        <v>5470</v>
      </c>
      <c r="AI2319" s="332">
        <v>4140</v>
      </c>
      <c r="AJ2319" s="332">
        <v>5790</v>
      </c>
      <c r="AK2319" s="332">
        <v>4420</v>
      </c>
      <c r="AL2319" s="332">
        <v>6180</v>
      </c>
      <c r="AM2319" s="334">
        <v>3280</v>
      </c>
      <c r="AN2319" s="310">
        <f t="shared" si="326"/>
        <v>0</v>
      </c>
      <c r="AO2319" s="334">
        <f t="shared" si="327"/>
        <v>1312</v>
      </c>
      <c r="AP2319" s="398">
        <f t="shared" si="328"/>
        <v>-0.71416122004357296</v>
      </c>
      <c r="AQ2319" s="334">
        <v>3760</v>
      </c>
      <c r="AR2319" s="398">
        <f t="shared" si="329"/>
        <v>0</v>
      </c>
      <c r="AS2319" s="334">
        <v>5270</v>
      </c>
      <c r="AT2319" s="398">
        <f t="shared" si="330"/>
        <v>0</v>
      </c>
      <c r="AU2319" s="334">
        <v>3910</v>
      </c>
      <c r="AV2319" s="398">
        <f t="shared" si="331"/>
        <v>0</v>
      </c>
      <c r="AW2319" s="334">
        <v>5470</v>
      </c>
      <c r="AX2319" s="398"/>
      <c r="AY2319" s="334"/>
      <c r="AZ2319" s="398"/>
      <c r="BA2319" s="334"/>
      <c r="BB2319" s="398"/>
      <c r="BC2319" s="334"/>
      <c r="BD2319" s="398"/>
      <c r="BE2319" s="334"/>
      <c r="BF2319" s="398"/>
    </row>
    <row r="2320" spans="1:58">
      <c r="A2320" s="8"/>
      <c r="B2320" s="16" t="str">
        <f>IF($C$1="ENG","C (120 - 140 mm)","C (120 - 140 мм)")</f>
        <v>C (120 - 140 мм)</v>
      </c>
      <c r="C2320" s="431"/>
      <c r="D2320" s="18">
        <f t="shared" si="306"/>
        <v>2808.3333333333335</v>
      </c>
      <c r="E2320" s="268">
        <f t="shared" si="307"/>
        <v>3370</v>
      </c>
      <c r="F2320" s="271">
        <f t="shared" si="308"/>
        <v>3933.3333333333335</v>
      </c>
      <c r="G2320" s="66">
        <f t="shared" si="309"/>
        <v>4720</v>
      </c>
      <c r="H2320" s="18">
        <f t="shared" si="310"/>
        <v>3233.3333333333335</v>
      </c>
      <c r="I2320" s="268">
        <f t="shared" si="311"/>
        <v>3880</v>
      </c>
      <c r="J2320" s="271">
        <f t="shared" si="312"/>
        <v>4525</v>
      </c>
      <c r="K2320" s="66">
        <f t="shared" si="313"/>
        <v>5430</v>
      </c>
      <c r="L2320" s="18">
        <f t="shared" si="314"/>
        <v>3333.3333333333335</v>
      </c>
      <c r="M2320" s="268">
        <f t="shared" si="315"/>
        <v>4000</v>
      </c>
      <c r="N2320" s="271">
        <f t="shared" si="316"/>
        <v>4675</v>
      </c>
      <c r="O2320" s="66">
        <f t="shared" si="317"/>
        <v>5610</v>
      </c>
      <c r="P2320" s="18">
        <f t="shared" si="318"/>
        <v>3541.666666666667</v>
      </c>
      <c r="Q2320" s="268">
        <f t="shared" si="319"/>
        <v>4250</v>
      </c>
      <c r="R2320" s="271">
        <f t="shared" si="320"/>
        <v>4958.3333333333339</v>
      </c>
      <c r="S2320" s="66">
        <f t="shared" si="321"/>
        <v>5950.0000000000009</v>
      </c>
      <c r="T2320" s="18">
        <f t="shared" si="322"/>
        <v>3791.666666666667</v>
      </c>
      <c r="U2320" s="268">
        <f t="shared" si="323"/>
        <v>4550</v>
      </c>
      <c r="V2320" s="271">
        <f t="shared" si="324"/>
        <v>5300</v>
      </c>
      <c r="W2320" s="402">
        <f t="shared" si="325"/>
        <v>6360</v>
      </c>
      <c r="X2320" s="400"/>
      <c r="Y2320" s="59"/>
      <c r="Z2320" s="28"/>
      <c r="AA2320" s="59"/>
      <c r="AB2320" s="22"/>
      <c r="AC2320" s="332">
        <v>3370</v>
      </c>
      <c r="AD2320" s="332">
        <v>4720</v>
      </c>
      <c r="AE2320" s="332">
        <v>3880</v>
      </c>
      <c r="AF2320" s="332">
        <v>5430</v>
      </c>
      <c r="AG2320" s="332">
        <v>4000</v>
      </c>
      <c r="AH2320" s="332">
        <v>5610</v>
      </c>
      <c r="AI2320" s="332">
        <v>4250</v>
      </c>
      <c r="AJ2320" s="332">
        <v>5950</v>
      </c>
      <c r="AK2320" s="332">
        <v>4550</v>
      </c>
      <c r="AL2320" s="332">
        <v>6360</v>
      </c>
      <c r="AM2320" s="334">
        <v>3370</v>
      </c>
      <c r="AN2320" s="310">
        <f t="shared" si="326"/>
        <v>0</v>
      </c>
      <c r="AO2320" s="334">
        <f t="shared" si="327"/>
        <v>1348</v>
      </c>
      <c r="AP2320" s="398">
        <f t="shared" si="328"/>
        <v>-0.71440677966101696</v>
      </c>
      <c r="AQ2320" s="334">
        <v>3880</v>
      </c>
      <c r="AR2320" s="398">
        <f t="shared" si="329"/>
        <v>0</v>
      </c>
      <c r="AS2320" s="334">
        <v>5430</v>
      </c>
      <c r="AT2320" s="398">
        <f t="shared" si="330"/>
        <v>0</v>
      </c>
      <c r="AU2320" s="334">
        <v>4000</v>
      </c>
      <c r="AV2320" s="398">
        <f t="shared" si="331"/>
        <v>0</v>
      </c>
      <c r="AW2320" s="334">
        <v>5610</v>
      </c>
      <c r="AX2320" s="398"/>
      <c r="AY2320" s="334"/>
      <c r="AZ2320" s="398"/>
      <c r="BA2320" s="334"/>
      <c r="BB2320" s="398"/>
      <c r="BC2320" s="334"/>
      <c r="BD2320" s="398"/>
      <c r="BE2320" s="334"/>
      <c r="BF2320" s="398"/>
    </row>
    <row r="2321" spans="1:58">
      <c r="A2321" s="8"/>
      <c r="B2321" s="16" t="str">
        <f>IF($C$1="ENG","D (140 - 160 mm)","D (140 - 160 мм)")</f>
        <v>D (140 - 160 мм)</v>
      </c>
      <c r="C2321" s="431"/>
      <c r="D2321" s="18">
        <f t="shared" si="306"/>
        <v>2958.3333333333335</v>
      </c>
      <c r="E2321" s="268">
        <f t="shared" si="307"/>
        <v>3550</v>
      </c>
      <c r="F2321" s="271">
        <f t="shared" si="308"/>
        <v>4141.666666666667</v>
      </c>
      <c r="G2321" s="66">
        <f t="shared" si="309"/>
        <v>4970</v>
      </c>
      <c r="H2321" s="18">
        <f t="shared" si="310"/>
        <v>3400</v>
      </c>
      <c r="I2321" s="268">
        <f t="shared" si="311"/>
        <v>4080</v>
      </c>
      <c r="J2321" s="271">
        <f t="shared" si="312"/>
        <v>4758.3333333333339</v>
      </c>
      <c r="K2321" s="66">
        <f t="shared" si="313"/>
        <v>5710.0000000000009</v>
      </c>
      <c r="L2321" s="18">
        <f t="shared" si="314"/>
        <v>3525</v>
      </c>
      <c r="M2321" s="268">
        <f t="shared" si="315"/>
        <v>4230</v>
      </c>
      <c r="N2321" s="271">
        <f t="shared" si="316"/>
        <v>4933.3333333333339</v>
      </c>
      <c r="O2321" s="66">
        <f t="shared" si="317"/>
        <v>5920.0000000000009</v>
      </c>
      <c r="P2321" s="18">
        <f t="shared" si="318"/>
        <v>3741.666666666667</v>
      </c>
      <c r="Q2321" s="268">
        <f t="shared" si="319"/>
        <v>4490</v>
      </c>
      <c r="R2321" s="271">
        <f t="shared" si="320"/>
        <v>5241.666666666667</v>
      </c>
      <c r="S2321" s="66">
        <f t="shared" si="321"/>
        <v>6290</v>
      </c>
      <c r="T2321" s="18">
        <f t="shared" si="322"/>
        <v>3983.3333333333335</v>
      </c>
      <c r="U2321" s="268">
        <f t="shared" si="323"/>
        <v>4780</v>
      </c>
      <c r="V2321" s="271">
        <f t="shared" si="324"/>
        <v>5575</v>
      </c>
      <c r="W2321" s="402">
        <f t="shared" si="325"/>
        <v>6690</v>
      </c>
      <c r="X2321" s="400"/>
      <c r="Y2321" s="59"/>
      <c r="Z2321" s="28"/>
      <c r="AA2321" s="59"/>
      <c r="AB2321" s="22"/>
      <c r="AC2321" s="332">
        <v>3550</v>
      </c>
      <c r="AD2321" s="332">
        <v>4970</v>
      </c>
      <c r="AE2321" s="332">
        <v>4080</v>
      </c>
      <c r="AF2321" s="332">
        <v>5710</v>
      </c>
      <c r="AG2321" s="332">
        <v>4230</v>
      </c>
      <c r="AH2321" s="332">
        <v>5920</v>
      </c>
      <c r="AI2321" s="332">
        <v>4490</v>
      </c>
      <c r="AJ2321" s="332">
        <v>6290</v>
      </c>
      <c r="AK2321" s="332">
        <v>4780</v>
      </c>
      <c r="AL2321" s="332">
        <v>6690</v>
      </c>
      <c r="AM2321" s="334">
        <v>3550</v>
      </c>
      <c r="AN2321" s="310">
        <f t="shared" si="326"/>
        <v>0</v>
      </c>
      <c r="AO2321" s="334">
        <f t="shared" si="327"/>
        <v>1420</v>
      </c>
      <c r="AP2321" s="398">
        <f t="shared" si="328"/>
        <v>-0.7142857142857143</v>
      </c>
      <c r="AQ2321" s="334">
        <v>4080</v>
      </c>
      <c r="AR2321" s="398">
        <f t="shared" si="329"/>
        <v>0</v>
      </c>
      <c r="AS2321" s="334">
        <v>5710</v>
      </c>
      <c r="AT2321" s="398">
        <f t="shared" si="330"/>
        <v>0</v>
      </c>
      <c r="AU2321" s="334">
        <v>4230</v>
      </c>
      <c r="AV2321" s="398">
        <f t="shared" si="331"/>
        <v>0</v>
      </c>
      <c r="AW2321" s="334">
        <v>5920</v>
      </c>
      <c r="AX2321" s="398"/>
      <c r="AY2321" s="334"/>
      <c r="AZ2321" s="398"/>
      <c r="BA2321" s="334"/>
      <c r="BB2321" s="398"/>
      <c r="BC2321" s="334"/>
      <c r="BD2321" s="398"/>
      <c r="BE2321" s="334"/>
      <c r="BF2321" s="398"/>
    </row>
    <row r="2322" spans="1:58">
      <c r="A2322" s="8"/>
      <c r="B2322" s="16" t="str">
        <f>IF($C$1="ENG","E (160 - 180 mm)","E (160 - 180 мм)")</f>
        <v>E (160 - 180 мм)</v>
      </c>
      <c r="C2322" s="431"/>
      <c r="D2322" s="18">
        <f t="shared" si="306"/>
        <v>3108.3333333333335</v>
      </c>
      <c r="E2322" s="268">
        <f t="shared" si="307"/>
        <v>3730</v>
      </c>
      <c r="F2322" s="271">
        <f t="shared" si="308"/>
        <v>4350</v>
      </c>
      <c r="G2322" s="66">
        <f t="shared" si="309"/>
        <v>5220</v>
      </c>
      <c r="H2322" s="18">
        <f t="shared" si="310"/>
        <v>3583.3333333333335</v>
      </c>
      <c r="I2322" s="268">
        <f t="shared" si="311"/>
        <v>4300</v>
      </c>
      <c r="J2322" s="271">
        <f t="shared" si="312"/>
        <v>5016.666666666667</v>
      </c>
      <c r="K2322" s="66">
        <f t="shared" si="313"/>
        <v>6020</v>
      </c>
      <c r="L2322" s="18">
        <f t="shared" si="314"/>
        <v>3691.666666666667</v>
      </c>
      <c r="M2322" s="268">
        <f t="shared" si="315"/>
        <v>4430</v>
      </c>
      <c r="N2322" s="271">
        <f t="shared" si="316"/>
        <v>5175</v>
      </c>
      <c r="O2322" s="66">
        <f t="shared" si="317"/>
        <v>6210</v>
      </c>
      <c r="P2322" s="18">
        <f t="shared" si="318"/>
        <v>3933.3333333333335</v>
      </c>
      <c r="Q2322" s="268">
        <f t="shared" si="319"/>
        <v>4720</v>
      </c>
      <c r="R2322" s="271">
        <f t="shared" si="320"/>
        <v>5508.3333333333339</v>
      </c>
      <c r="S2322" s="66">
        <f t="shared" si="321"/>
        <v>6610.0000000000009</v>
      </c>
      <c r="T2322" s="18">
        <f t="shared" si="322"/>
        <v>4191.666666666667</v>
      </c>
      <c r="U2322" s="268">
        <f t="shared" si="323"/>
        <v>5030</v>
      </c>
      <c r="V2322" s="271">
        <f t="shared" si="324"/>
        <v>5866.666666666667</v>
      </c>
      <c r="W2322" s="402">
        <f t="shared" si="325"/>
        <v>7040</v>
      </c>
      <c r="X2322" s="400"/>
      <c r="Y2322" s="59"/>
      <c r="Z2322" s="28"/>
      <c r="AA2322" s="59"/>
      <c r="AB2322" s="22"/>
      <c r="AC2322" s="332">
        <v>3730</v>
      </c>
      <c r="AD2322" s="332">
        <v>5220</v>
      </c>
      <c r="AE2322" s="332">
        <v>4300</v>
      </c>
      <c r="AF2322" s="332">
        <v>6020</v>
      </c>
      <c r="AG2322" s="332">
        <v>4430</v>
      </c>
      <c r="AH2322" s="332">
        <v>6210</v>
      </c>
      <c r="AI2322" s="332">
        <v>4720</v>
      </c>
      <c r="AJ2322" s="332">
        <v>6610</v>
      </c>
      <c r="AK2322" s="332">
        <v>5030</v>
      </c>
      <c r="AL2322" s="332">
        <v>7040</v>
      </c>
      <c r="AM2322" s="334">
        <v>3730</v>
      </c>
      <c r="AN2322" s="310">
        <f t="shared" si="326"/>
        <v>0</v>
      </c>
      <c r="AO2322" s="334">
        <f t="shared" si="327"/>
        <v>1492</v>
      </c>
      <c r="AP2322" s="398">
        <f t="shared" si="328"/>
        <v>-0.71417624521072798</v>
      </c>
      <c r="AQ2322" s="334">
        <v>4300</v>
      </c>
      <c r="AR2322" s="398">
        <f t="shared" si="329"/>
        <v>0</v>
      </c>
      <c r="AS2322" s="334">
        <v>6020</v>
      </c>
      <c r="AT2322" s="398">
        <f t="shared" si="330"/>
        <v>0</v>
      </c>
      <c r="AU2322" s="334">
        <v>4430</v>
      </c>
      <c r="AV2322" s="398">
        <f t="shared" si="331"/>
        <v>0</v>
      </c>
      <c r="AW2322" s="334">
        <v>6210</v>
      </c>
      <c r="AX2322" s="398"/>
      <c r="AY2322" s="334"/>
      <c r="AZ2322" s="398"/>
      <c r="BA2322" s="334"/>
      <c r="BB2322" s="398"/>
      <c r="BC2322" s="334"/>
      <c r="BD2322" s="398"/>
      <c r="BE2322" s="334"/>
      <c r="BF2322" s="398"/>
    </row>
    <row r="2323" spans="1:58">
      <c r="A2323" s="8"/>
      <c r="B2323" s="16" t="str">
        <f>IF($C$1="ENG","F (180 - 200 mm)","F (180 - 200 мм)")</f>
        <v>F (180 - 200 мм)</v>
      </c>
      <c r="C2323" s="431"/>
      <c r="D2323" s="18">
        <f t="shared" si="306"/>
        <v>3266.666666666667</v>
      </c>
      <c r="E2323" s="268">
        <f t="shared" si="307"/>
        <v>3920</v>
      </c>
      <c r="F2323" s="271">
        <f t="shared" si="308"/>
        <v>4575</v>
      </c>
      <c r="G2323" s="66">
        <f t="shared" si="309"/>
        <v>5490</v>
      </c>
      <c r="H2323" s="18">
        <f t="shared" si="310"/>
        <v>3758.3333333333335</v>
      </c>
      <c r="I2323" s="268">
        <f t="shared" si="311"/>
        <v>4510</v>
      </c>
      <c r="J2323" s="271">
        <f t="shared" si="312"/>
        <v>5250</v>
      </c>
      <c r="K2323" s="66">
        <f t="shared" si="313"/>
        <v>6300</v>
      </c>
      <c r="L2323" s="18">
        <f t="shared" si="314"/>
        <v>3883.3333333333335</v>
      </c>
      <c r="M2323" s="268">
        <f t="shared" si="315"/>
        <v>4660</v>
      </c>
      <c r="N2323" s="271">
        <f t="shared" si="316"/>
        <v>5433.3333333333339</v>
      </c>
      <c r="O2323" s="66">
        <f t="shared" si="317"/>
        <v>6520.0000000000009</v>
      </c>
      <c r="P2323" s="18">
        <f t="shared" si="318"/>
        <v>4116.666666666667</v>
      </c>
      <c r="Q2323" s="268">
        <f t="shared" si="319"/>
        <v>4940</v>
      </c>
      <c r="R2323" s="271">
        <f t="shared" si="320"/>
        <v>5766.666666666667</v>
      </c>
      <c r="S2323" s="66">
        <f t="shared" si="321"/>
        <v>6920</v>
      </c>
      <c r="T2323" s="18">
        <f t="shared" si="322"/>
        <v>4400</v>
      </c>
      <c r="U2323" s="268">
        <f t="shared" si="323"/>
        <v>5280</v>
      </c>
      <c r="V2323" s="271">
        <f t="shared" si="324"/>
        <v>6158.3333333333339</v>
      </c>
      <c r="W2323" s="402">
        <f t="shared" si="325"/>
        <v>7390</v>
      </c>
      <c r="X2323" s="400"/>
      <c r="Y2323" s="59"/>
      <c r="Z2323" s="28"/>
      <c r="AA2323" s="59"/>
      <c r="AB2323" s="22"/>
      <c r="AC2323" s="332">
        <v>3920</v>
      </c>
      <c r="AD2323" s="332">
        <v>5490</v>
      </c>
      <c r="AE2323" s="332">
        <v>4510</v>
      </c>
      <c r="AF2323" s="332">
        <v>6300</v>
      </c>
      <c r="AG2323" s="332">
        <v>4660</v>
      </c>
      <c r="AH2323" s="332">
        <v>6520</v>
      </c>
      <c r="AI2323" s="332">
        <v>4940</v>
      </c>
      <c r="AJ2323" s="332">
        <v>6920</v>
      </c>
      <c r="AK2323" s="332">
        <v>5280</v>
      </c>
      <c r="AL2323" s="332">
        <v>7390</v>
      </c>
      <c r="AM2323" s="334">
        <v>3920</v>
      </c>
      <c r="AN2323" s="310">
        <f t="shared" si="326"/>
        <v>0</v>
      </c>
      <c r="AO2323" s="334">
        <f t="shared" si="327"/>
        <v>1568</v>
      </c>
      <c r="AP2323" s="398">
        <f t="shared" si="328"/>
        <v>-0.71438979963570126</v>
      </c>
      <c r="AQ2323" s="334">
        <v>4510</v>
      </c>
      <c r="AR2323" s="398">
        <f t="shared" si="329"/>
        <v>0</v>
      </c>
      <c r="AS2323" s="334">
        <v>6300</v>
      </c>
      <c r="AT2323" s="398">
        <f t="shared" si="330"/>
        <v>0</v>
      </c>
      <c r="AU2323" s="334">
        <v>4660</v>
      </c>
      <c r="AV2323" s="398">
        <f t="shared" si="331"/>
        <v>0</v>
      </c>
      <c r="AW2323" s="334">
        <v>6520</v>
      </c>
      <c r="AX2323" s="398"/>
      <c r="AY2323" s="334"/>
      <c r="AZ2323" s="398"/>
      <c r="BA2323" s="334"/>
      <c r="BB2323" s="398"/>
      <c r="BC2323" s="334"/>
      <c r="BD2323" s="398"/>
      <c r="BE2323" s="334"/>
      <c r="BF2323" s="398"/>
    </row>
    <row r="2324" spans="1:58">
      <c r="A2324" s="8"/>
      <c r="B2324" s="16" t="str">
        <f>IF($C$1="ENG","G (200 - 220 mm)","G (200 - 220 мм)")</f>
        <v>G (200 - 220 мм)</v>
      </c>
      <c r="C2324" s="431"/>
      <c r="D2324" s="18">
        <f t="shared" si="306"/>
        <v>3416.666666666667</v>
      </c>
      <c r="E2324" s="268">
        <f t="shared" si="307"/>
        <v>4100</v>
      </c>
      <c r="F2324" s="271">
        <f t="shared" si="308"/>
        <v>4783.3333333333339</v>
      </c>
      <c r="G2324" s="66">
        <f t="shared" si="309"/>
        <v>5740.0000000000009</v>
      </c>
      <c r="H2324" s="18">
        <f t="shared" si="310"/>
        <v>3941.666666666667</v>
      </c>
      <c r="I2324" s="268">
        <f t="shared" si="311"/>
        <v>4730</v>
      </c>
      <c r="J2324" s="271">
        <f t="shared" si="312"/>
        <v>5508.3333333333339</v>
      </c>
      <c r="K2324" s="66">
        <f t="shared" si="313"/>
        <v>6610.0000000000009</v>
      </c>
      <c r="L2324" s="18">
        <f t="shared" si="314"/>
        <v>4075</v>
      </c>
      <c r="M2324" s="268">
        <f t="shared" si="315"/>
        <v>4890</v>
      </c>
      <c r="N2324" s="271">
        <f t="shared" si="316"/>
        <v>5700</v>
      </c>
      <c r="O2324" s="66">
        <f t="shared" si="317"/>
        <v>6840</v>
      </c>
      <c r="P2324" s="18">
        <f t="shared" si="318"/>
        <v>4316.666666666667</v>
      </c>
      <c r="Q2324" s="268">
        <f t="shared" si="319"/>
        <v>5180</v>
      </c>
      <c r="R2324" s="271">
        <f t="shared" si="320"/>
        <v>6041.666666666667</v>
      </c>
      <c r="S2324" s="66">
        <f t="shared" si="321"/>
        <v>7250</v>
      </c>
      <c r="T2324" s="18">
        <f t="shared" si="322"/>
        <v>4600</v>
      </c>
      <c r="U2324" s="268">
        <f t="shared" si="323"/>
        <v>5520</v>
      </c>
      <c r="V2324" s="271">
        <f t="shared" si="324"/>
        <v>6433.3333333333339</v>
      </c>
      <c r="W2324" s="402">
        <f t="shared" si="325"/>
        <v>7720</v>
      </c>
      <c r="X2324" s="400"/>
      <c r="Y2324" s="59"/>
      <c r="Z2324" s="28"/>
      <c r="AA2324" s="59"/>
      <c r="AB2324" s="22"/>
      <c r="AC2324" s="332">
        <v>4100</v>
      </c>
      <c r="AD2324" s="332">
        <v>5740</v>
      </c>
      <c r="AE2324" s="332">
        <v>4730</v>
      </c>
      <c r="AF2324" s="332">
        <v>6610</v>
      </c>
      <c r="AG2324" s="332">
        <v>4890</v>
      </c>
      <c r="AH2324" s="332">
        <v>6840</v>
      </c>
      <c r="AI2324" s="332">
        <v>5180</v>
      </c>
      <c r="AJ2324" s="332">
        <v>7250</v>
      </c>
      <c r="AK2324" s="332">
        <v>5520</v>
      </c>
      <c r="AL2324" s="332">
        <v>7720</v>
      </c>
      <c r="AM2324" s="334">
        <v>4100</v>
      </c>
      <c r="AN2324" s="310">
        <f t="shared" si="326"/>
        <v>0</v>
      </c>
      <c r="AO2324" s="334">
        <f t="shared" si="327"/>
        <v>1640</v>
      </c>
      <c r="AP2324" s="398">
        <f t="shared" si="328"/>
        <v>-0.7142857142857143</v>
      </c>
      <c r="AQ2324" s="334">
        <v>4730</v>
      </c>
      <c r="AR2324" s="398">
        <f t="shared" si="329"/>
        <v>0</v>
      </c>
      <c r="AS2324" s="334">
        <v>6610</v>
      </c>
      <c r="AT2324" s="398">
        <f t="shared" si="330"/>
        <v>0</v>
      </c>
      <c r="AU2324" s="334">
        <v>4890</v>
      </c>
      <c r="AV2324" s="398">
        <f t="shared" si="331"/>
        <v>0</v>
      </c>
      <c r="AW2324" s="334">
        <v>6840</v>
      </c>
      <c r="AX2324" s="398"/>
      <c r="AY2324" s="334"/>
      <c r="AZ2324" s="398"/>
      <c r="BA2324" s="334"/>
      <c r="BB2324" s="398"/>
      <c r="BC2324" s="334"/>
      <c r="BD2324" s="398"/>
      <c r="BE2324" s="334"/>
      <c r="BF2324" s="398"/>
    </row>
    <row r="2325" spans="1:58">
      <c r="A2325" s="8"/>
      <c r="B2325" s="16" t="str">
        <f>IF($C$1="ENG","H (220 - 240 mm)","H (220 - 240 мм)")</f>
        <v>H (220 - 240 мм)</v>
      </c>
      <c r="C2325" s="431"/>
      <c r="D2325" s="18">
        <f t="shared" si="306"/>
        <v>3575</v>
      </c>
      <c r="E2325" s="268">
        <f t="shared" si="307"/>
        <v>4290</v>
      </c>
      <c r="F2325" s="271">
        <f t="shared" si="308"/>
        <v>5000</v>
      </c>
      <c r="G2325" s="66">
        <f t="shared" si="309"/>
        <v>6000</v>
      </c>
      <c r="H2325" s="18">
        <f t="shared" si="310"/>
        <v>4116.666666666667</v>
      </c>
      <c r="I2325" s="268">
        <f t="shared" si="311"/>
        <v>4940</v>
      </c>
      <c r="J2325" s="271">
        <f t="shared" si="312"/>
        <v>5766.666666666667</v>
      </c>
      <c r="K2325" s="66">
        <f t="shared" si="313"/>
        <v>6920</v>
      </c>
      <c r="L2325" s="18">
        <f t="shared" si="314"/>
        <v>4241.666666666667</v>
      </c>
      <c r="M2325" s="268">
        <f t="shared" si="315"/>
        <v>5090</v>
      </c>
      <c r="N2325" s="271">
        <f t="shared" si="316"/>
        <v>5933.3333333333339</v>
      </c>
      <c r="O2325" s="66">
        <f t="shared" si="317"/>
        <v>7120.0000000000009</v>
      </c>
      <c r="P2325" s="18">
        <f t="shared" si="318"/>
        <v>4516.666666666667</v>
      </c>
      <c r="Q2325" s="268">
        <f t="shared" si="319"/>
        <v>5420</v>
      </c>
      <c r="R2325" s="271">
        <f t="shared" si="320"/>
        <v>6308.3333333333339</v>
      </c>
      <c r="S2325" s="66">
        <f t="shared" si="321"/>
        <v>7570</v>
      </c>
      <c r="T2325" s="18">
        <f t="shared" si="322"/>
        <v>4808.3333333333339</v>
      </c>
      <c r="U2325" s="268">
        <f t="shared" si="323"/>
        <v>5770.0000000000009</v>
      </c>
      <c r="V2325" s="271">
        <f t="shared" si="324"/>
        <v>6725</v>
      </c>
      <c r="W2325" s="402">
        <f t="shared" si="325"/>
        <v>8070</v>
      </c>
      <c r="X2325" s="400"/>
      <c r="Y2325" s="59"/>
      <c r="Z2325" s="28"/>
      <c r="AA2325" s="59"/>
      <c r="AB2325" s="22"/>
      <c r="AC2325" s="332">
        <v>4290</v>
      </c>
      <c r="AD2325" s="332">
        <v>6000</v>
      </c>
      <c r="AE2325" s="332">
        <v>4940</v>
      </c>
      <c r="AF2325" s="332">
        <v>6920</v>
      </c>
      <c r="AG2325" s="332">
        <v>5090</v>
      </c>
      <c r="AH2325" s="332">
        <v>7120</v>
      </c>
      <c r="AI2325" s="332">
        <v>5420</v>
      </c>
      <c r="AJ2325" s="332">
        <v>7570</v>
      </c>
      <c r="AK2325" s="332">
        <v>5770</v>
      </c>
      <c r="AL2325" s="332">
        <v>8070</v>
      </c>
      <c r="AM2325" s="334">
        <v>4290</v>
      </c>
      <c r="AN2325" s="310">
        <f t="shared" si="326"/>
        <v>0</v>
      </c>
      <c r="AO2325" s="334">
        <f t="shared" si="327"/>
        <v>1716</v>
      </c>
      <c r="AP2325" s="398">
        <f t="shared" si="328"/>
        <v>-0.71399999999999997</v>
      </c>
      <c r="AQ2325" s="334">
        <v>4940</v>
      </c>
      <c r="AR2325" s="398">
        <f t="shared" si="329"/>
        <v>0</v>
      </c>
      <c r="AS2325" s="334">
        <v>6920</v>
      </c>
      <c r="AT2325" s="398">
        <f t="shared" si="330"/>
        <v>0</v>
      </c>
      <c r="AU2325" s="334">
        <v>5090</v>
      </c>
      <c r="AV2325" s="398">
        <f t="shared" si="331"/>
        <v>0</v>
      </c>
      <c r="AW2325" s="334">
        <v>7120</v>
      </c>
      <c r="AX2325" s="398"/>
      <c r="AY2325" s="334"/>
      <c r="AZ2325" s="398"/>
      <c r="BA2325" s="334"/>
      <c r="BB2325" s="398"/>
      <c r="BC2325" s="334"/>
      <c r="BD2325" s="398"/>
      <c r="BE2325" s="334"/>
      <c r="BF2325" s="398"/>
    </row>
    <row r="2326" spans="1:58">
      <c r="A2326" s="8"/>
      <c r="B2326" s="23" t="str">
        <f>IF($C$1="ENG","I (240 - 260 mm)","I (240 - 260 мм)")</f>
        <v>I (240 - 260 мм)</v>
      </c>
      <c r="C2326" s="432"/>
      <c r="D2326" s="25">
        <f t="shared" si="306"/>
        <v>3741.666666666667</v>
      </c>
      <c r="E2326" s="269">
        <f t="shared" si="307"/>
        <v>4490</v>
      </c>
      <c r="F2326" s="272">
        <f t="shared" si="308"/>
        <v>5241.666666666667</v>
      </c>
      <c r="G2326" s="69">
        <f t="shared" si="309"/>
        <v>6290</v>
      </c>
      <c r="H2326" s="25">
        <f t="shared" si="310"/>
        <v>4308.3333333333339</v>
      </c>
      <c r="I2326" s="269">
        <f t="shared" si="311"/>
        <v>5170.0000000000009</v>
      </c>
      <c r="J2326" s="272">
        <f t="shared" si="312"/>
        <v>6033.3333333333339</v>
      </c>
      <c r="K2326" s="69">
        <f t="shared" si="313"/>
        <v>7240.0000000000009</v>
      </c>
      <c r="L2326" s="25">
        <f t="shared" si="314"/>
        <v>4416.666666666667</v>
      </c>
      <c r="M2326" s="269">
        <f t="shared" si="315"/>
        <v>5300</v>
      </c>
      <c r="N2326" s="272">
        <f t="shared" si="316"/>
        <v>6191.666666666667</v>
      </c>
      <c r="O2326" s="69">
        <f t="shared" si="317"/>
        <v>7430</v>
      </c>
      <c r="P2326" s="25">
        <f t="shared" si="318"/>
        <v>4700</v>
      </c>
      <c r="Q2326" s="269">
        <f t="shared" si="319"/>
        <v>5640</v>
      </c>
      <c r="R2326" s="272">
        <f t="shared" si="320"/>
        <v>6583.3333333333339</v>
      </c>
      <c r="S2326" s="69">
        <f t="shared" si="321"/>
        <v>7900</v>
      </c>
      <c r="T2326" s="25">
        <f t="shared" si="322"/>
        <v>5016.666666666667</v>
      </c>
      <c r="U2326" s="269">
        <f t="shared" si="323"/>
        <v>6020</v>
      </c>
      <c r="V2326" s="272">
        <f t="shared" si="324"/>
        <v>7016.666666666667</v>
      </c>
      <c r="W2326" s="403">
        <f t="shared" si="325"/>
        <v>8420</v>
      </c>
      <c r="X2326" s="400"/>
      <c r="Y2326" s="59"/>
      <c r="Z2326" s="28"/>
      <c r="AA2326" s="59"/>
      <c r="AB2326" s="22"/>
      <c r="AC2326" s="332">
        <v>4490</v>
      </c>
      <c r="AD2326" s="332">
        <v>6290</v>
      </c>
      <c r="AE2326" s="332">
        <v>5170</v>
      </c>
      <c r="AF2326" s="332">
        <v>7240</v>
      </c>
      <c r="AG2326" s="332">
        <v>5300</v>
      </c>
      <c r="AH2326" s="332">
        <v>7430</v>
      </c>
      <c r="AI2326" s="332">
        <v>5640</v>
      </c>
      <c r="AJ2326" s="332">
        <v>7900</v>
      </c>
      <c r="AK2326" s="332">
        <v>6020</v>
      </c>
      <c r="AL2326" s="332">
        <v>8420</v>
      </c>
      <c r="AM2326" s="334">
        <v>4490</v>
      </c>
      <c r="AN2326" s="310">
        <f t="shared" si="326"/>
        <v>0</v>
      </c>
      <c r="AO2326" s="334">
        <f t="shared" si="327"/>
        <v>1796</v>
      </c>
      <c r="AP2326" s="398">
        <f t="shared" si="328"/>
        <v>-0.71446740858505564</v>
      </c>
      <c r="AQ2326" s="334">
        <v>5170</v>
      </c>
      <c r="AR2326" s="398">
        <f t="shared" si="329"/>
        <v>0</v>
      </c>
      <c r="AS2326" s="334">
        <v>7240</v>
      </c>
      <c r="AT2326" s="398">
        <f t="shared" si="330"/>
        <v>0</v>
      </c>
      <c r="AU2326" s="334">
        <v>5300</v>
      </c>
      <c r="AV2326" s="398">
        <f t="shared" si="331"/>
        <v>0</v>
      </c>
      <c r="AW2326" s="334">
        <v>7430</v>
      </c>
      <c r="AX2326" s="398"/>
      <c r="AY2326" s="334"/>
      <c r="AZ2326" s="398"/>
      <c r="BA2326" s="334"/>
      <c r="BB2326" s="398"/>
      <c r="BC2326" s="334"/>
      <c r="BD2326" s="398"/>
      <c r="BE2326" s="334"/>
      <c r="BF2326" s="398"/>
    </row>
    <row r="2327" spans="1:58" s="48" customFormat="1" ht="24.95" customHeight="1">
      <c r="B2327" s="54" t="str">
        <f>IF($C$1="ENG","ADJUSTABLE PANELS","ПЛАНКИ РЕГУЛЮВАЛЬНІ")</f>
        <v>ПЛАНКИ РЕГУЛЮВАЛЬНІ</v>
      </c>
      <c r="C2327" s="427"/>
      <c r="D2327" s="28"/>
      <c r="E2327" s="541" t="str">
        <f>IF($C$1="ENG","For Door Frames Verto-FIT, Verto-FIT  Plus","Для Дверних Коробок Verto-FIT, Verto-FIT  Plus")</f>
        <v>Для Дверних Коробок Verto-FIT, Verto-FIT  Plus</v>
      </c>
      <c r="F2327" s="541"/>
      <c r="G2327" s="541"/>
      <c r="H2327" s="541"/>
      <c r="I2327" s="541"/>
      <c r="J2327" s="541"/>
      <c r="K2327" s="541"/>
      <c r="L2327" s="28"/>
      <c r="M2327" s="106"/>
      <c r="N2327" s="28"/>
      <c r="O2327" s="29"/>
      <c r="P2327" s="28"/>
      <c r="Q2327" s="106"/>
      <c r="R2327" s="28"/>
      <c r="S2327" s="29"/>
      <c r="T2327" s="153"/>
      <c r="U2327" s="155"/>
      <c r="V2327" s="153"/>
      <c r="W2327" s="154"/>
      <c r="Y2327" s="59"/>
      <c r="Z2327" s="28"/>
      <c r="AA2327" s="59"/>
      <c r="AC2327" s="143"/>
      <c r="AN2327" s="56"/>
      <c r="AO2327" s="388"/>
      <c r="AP2327" s="388"/>
      <c r="AQ2327" s="56"/>
      <c r="AR2327" s="56"/>
      <c r="AS2327" s="56"/>
      <c r="AT2327" s="56"/>
    </row>
    <row r="2328" spans="1:58" ht="34.5" customHeight="1">
      <c r="A2328" s="8"/>
      <c r="B2328" s="244" t="str">
        <f>IF($C$1="ENG","Panel (1 set) 80 mm","Планка (1 к-т) 80 мм")</f>
        <v>Планка (1 к-т) 80 мм</v>
      </c>
      <c r="C2328" s="433"/>
      <c r="D2328" s="15">
        <f>IF(AC2328="","",(1-$W$2)*(AC2328/1.2))</f>
        <v>883.33333333333337</v>
      </c>
      <c r="E2328" s="299">
        <f>IF($W$5=0.2,D2328*1.2,D2328)/$W$4</f>
        <v>1060</v>
      </c>
      <c r="F2328" s="270">
        <f>IF(AD2328="","",(1-$W$2)*(AD2328/1.2))</f>
        <v>1150</v>
      </c>
      <c r="G2328" s="64">
        <f>IF($W$5=0.2,F2328*1.2,F2328)/$W$4</f>
        <v>1380</v>
      </c>
      <c r="H2328" s="15">
        <f>IF(AE2328="","",(1-$W$2)*(AE2328/1.2))</f>
        <v>1025</v>
      </c>
      <c r="I2328" s="267">
        <f>IF($W$5=0.2,H2328*1.2,H2328)/$W$4</f>
        <v>1230</v>
      </c>
      <c r="J2328" s="270">
        <f>IF(AF2328="","",(1-$W$2)*(AF2328/1.2))</f>
        <v>1341.6666666666667</v>
      </c>
      <c r="K2328" s="64">
        <f>IF($W$5=0.2,J2328*1.2,J2328)/$W$4</f>
        <v>1610</v>
      </c>
      <c r="L2328" s="15">
        <f>IF(AG2328="","",(1-$W$2)*(AG2328/1.2))</f>
        <v>1075</v>
      </c>
      <c r="M2328" s="267">
        <f>IF($W$5=0.2,L2328*1.2,L2328)/$W$4</f>
        <v>1290</v>
      </c>
      <c r="N2328" s="270">
        <f>IF(AH2328="","",(1-$W$2)*(AH2328/1.2))</f>
        <v>1408.3333333333335</v>
      </c>
      <c r="O2328" s="64">
        <f>IF($W$5=0.2,N2328*1.2,N2328)/$W$4</f>
        <v>1690.0000000000002</v>
      </c>
      <c r="P2328" s="15">
        <f>IF(AI2328="","",(1-$W$2)*(AI2328/1.2))</f>
        <v>1166.6666666666667</v>
      </c>
      <c r="Q2328" s="267">
        <f>IF($W$5=0.2,P2328*1.2,P2328)/$W$4</f>
        <v>1400</v>
      </c>
      <c r="R2328" s="270">
        <f>IF(AJ2328="","",(1-$W$2)*(AJ2328/1.2))</f>
        <v>1516.6666666666667</v>
      </c>
      <c r="S2328" s="64">
        <f>IF($W$5=0.2,R2328*1.2,R2328)/$W$4</f>
        <v>1820</v>
      </c>
      <c r="T2328" s="15">
        <f>IF(AK2328="","",(1-$W$2)*(AK2328/1.2))</f>
        <v>1225</v>
      </c>
      <c r="U2328" s="267">
        <f>IF($W$5=0.2,T2328*1.2,T2328)/$W$4</f>
        <v>1470</v>
      </c>
      <c r="V2328" s="270">
        <f>IF(AL2328="","",(1-$W$2)*(AL2328/1.2))</f>
        <v>1591.6666666666667</v>
      </c>
      <c r="W2328" s="401">
        <f>IF($W$5=0.2,V2328*1.2,V2328)/$W$4</f>
        <v>1910</v>
      </c>
      <c r="X2328" s="400"/>
      <c r="Y2328" s="400"/>
      <c r="Z2328" s="400"/>
      <c r="AA2328" s="400"/>
      <c r="AB2328" s="22"/>
      <c r="AC2328" s="332">
        <v>1060</v>
      </c>
      <c r="AD2328" s="332">
        <v>1380</v>
      </c>
      <c r="AE2328" s="332">
        <v>1230</v>
      </c>
      <c r="AF2328" s="332">
        <v>1610</v>
      </c>
      <c r="AG2328" s="332">
        <v>1290</v>
      </c>
      <c r="AH2328" s="332">
        <v>1690</v>
      </c>
      <c r="AI2328" s="332">
        <v>1400</v>
      </c>
      <c r="AJ2328" s="332">
        <v>1820</v>
      </c>
      <c r="AK2328" s="332">
        <v>1470</v>
      </c>
      <c r="AL2328" s="332">
        <v>1910</v>
      </c>
      <c r="AM2328" s="334">
        <v>1060</v>
      </c>
      <c r="AN2328" s="310">
        <f>AM2328/AC2328-1</f>
        <v>0</v>
      </c>
      <c r="AO2328" s="334">
        <v>1380</v>
      </c>
      <c r="AP2328" s="398">
        <f>AO2328/AD2328-1</f>
        <v>0</v>
      </c>
      <c r="AQ2328" s="334">
        <v>1230</v>
      </c>
      <c r="AR2328" s="334">
        <f>AQ2328/AE2328-1</f>
        <v>0</v>
      </c>
      <c r="AS2328" s="334">
        <v>1610</v>
      </c>
      <c r="AT2328" s="334">
        <f>AS2328/AF2328-1</f>
        <v>0</v>
      </c>
      <c r="AU2328" s="334">
        <v>1290</v>
      </c>
      <c r="AV2328" s="334">
        <f>AU2328/AG2328-1</f>
        <v>0</v>
      </c>
      <c r="AW2328" s="1">
        <v>1690</v>
      </c>
    </row>
    <row r="2329" spans="1:58" ht="34.5" customHeight="1">
      <c r="A2329" s="8"/>
      <c r="B2329" s="312" t="str">
        <f>IF($C$1="ENG","Panel (1 set) 160 mm","Планка (1 к-т) 160 мм")</f>
        <v>Планка (1 к-т) 160 мм</v>
      </c>
      <c r="C2329" s="431"/>
      <c r="D2329" s="18">
        <f>IF(AC2329="","",(1-$W$2)*(AC2329/1.2))</f>
        <v>1508.3333333333335</v>
      </c>
      <c r="E2329" s="268">
        <f>IF($W$5=0.2,D2329*1.2,D2329)/$W$4</f>
        <v>1810.0000000000002</v>
      </c>
      <c r="F2329" s="271">
        <f>IF(AD2329="","",(1-$W$2)*(AD2329/1.2))</f>
        <v>1958.3333333333335</v>
      </c>
      <c r="G2329" s="66">
        <f>IF($W$5=0.2,F2329*1.2,F2329)/$W$4</f>
        <v>2350</v>
      </c>
      <c r="H2329" s="18">
        <f>IF(AE2329="","",(1-$W$2)*(AE2329/1.2))</f>
        <v>1741.6666666666667</v>
      </c>
      <c r="I2329" s="268">
        <f>IF($W$5=0.2,H2329*1.2,H2329)/$W$4</f>
        <v>2090</v>
      </c>
      <c r="J2329" s="271">
        <f>IF(AF2329="","",(1-$W$2)*(AF2329/1.2))</f>
        <v>2275</v>
      </c>
      <c r="K2329" s="66">
        <f>IF($W$5=0.2,J2329*1.2,J2329)/$W$4</f>
        <v>2730</v>
      </c>
      <c r="L2329" s="18">
        <f>IF(AG2329="","",(1-$W$2)*(AG2329/1.2))</f>
        <v>1858.3333333333335</v>
      </c>
      <c r="M2329" s="268">
        <f>IF($W$5=0.2,L2329*1.2,L2329)/$W$4</f>
        <v>2230</v>
      </c>
      <c r="N2329" s="271">
        <f>IF(AH2329="","",(1-$W$2)*(AH2329/1.2))</f>
        <v>2408.3333333333335</v>
      </c>
      <c r="O2329" s="66">
        <f>IF($W$5=0.2,N2329*1.2,N2329)/$W$4</f>
        <v>2890</v>
      </c>
      <c r="P2329" s="18">
        <f>IF(AI2329="","",(1-$W$2)*(AI2329/1.2))</f>
        <v>1966.6666666666667</v>
      </c>
      <c r="Q2329" s="268">
        <f>IF($W$5=0.2,P2329*1.2,P2329)/$W$4</f>
        <v>2360</v>
      </c>
      <c r="R2329" s="271">
        <f>IF(AJ2329="","",(1-$W$2)*(AJ2329/1.2))</f>
        <v>2575</v>
      </c>
      <c r="S2329" s="66">
        <f>IF($W$5=0.2,R2329*1.2,R2329)/$W$4</f>
        <v>3090</v>
      </c>
      <c r="T2329" s="18">
        <f>IF(AK2329="","",(1-$W$2)*(AK2329/1.2))</f>
        <v>2133.3333333333335</v>
      </c>
      <c r="U2329" s="268">
        <f>IF($W$5=0.2,T2329*1.2,T2329)/$W$4</f>
        <v>2560</v>
      </c>
      <c r="V2329" s="271">
        <f>IF(AL2329="","",(1-$W$2)*(AL2329/1.2))</f>
        <v>2758.3333333333335</v>
      </c>
      <c r="W2329" s="66">
        <f>IF($W$5=0.2,V2329*1.2,V2329)/$W$4</f>
        <v>3310</v>
      </c>
      <c r="X2329" s="22"/>
      <c r="Y2329" s="22"/>
      <c r="Z2329" s="22"/>
      <c r="AA2329" s="22"/>
      <c r="AB2329" s="22"/>
      <c r="AC2329" s="332">
        <v>1810</v>
      </c>
      <c r="AD2329" s="332">
        <v>2350</v>
      </c>
      <c r="AE2329" s="332">
        <v>2090</v>
      </c>
      <c r="AF2329" s="332">
        <v>2730</v>
      </c>
      <c r="AG2329" s="332">
        <v>2230</v>
      </c>
      <c r="AH2329" s="332">
        <v>2890</v>
      </c>
      <c r="AI2329" s="332">
        <v>2360</v>
      </c>
      <c r="AJ2329" s="332">
        <v>3090</v>
      </c>
      <c r="AK2329" s="332">
        <v>2560</v>
      </c>
      <c r="AL2329" s="332">
        <v>3310</v>
      </c>
      <c r="AM2329" s="334">
        <v>1810</v>
      </c>
      <c r="AN2329" s="310">
        <f t="shared" ref="AN2329:AN2330" si="332">AM2329/AC2329-1</f>
        <v>0</v>
      </c>
      <c r="AO2329" s="334">
        <v>2350</v>
      </c>
      <c r="AP2329" s="398">
        <f t="shared" ref="AP2329:AP2330" si="333">AO2329/AD2329-1</f>
        <v>0</v>
      </c>
      <c r="AQ2329" s="334">
        <v>2090</v>
      </c>
      <c r="AR2329" s="334">
        <f t="shared" ref="AR2329:AR2330" si="334">AQ2329/AE2329-1</f>
        <v>0</v>
      </c>
      <c r="AS2329" s="334">
        <v>2730</v>
      </c>
      <c r="AT2329" s="334">
        <f t="shared" ref="AT2329:AT2330" si="335">AS2329/AF2329-1</f>
        <v>0</v>
      </c>
      <c r="AU2329" s="334">
        <v>2230</v>
      </c>
      <c r="AV2329" s="334">
        <f t="shared" ref="AV2329:AV2330" si="336">AU2329/AG2329-1</f>
        <v>0</v>
      </c>
      <c r="AW2329" s="1">
        <v>2890</v>
      </c>
    </row>
    <row r="2330" spans="1:58" ht="34.5" customHeight="1">
      <c r="A2330" s="8"/>
      <c r="B2330" s="108" t="str">
        <f>IF($C$1="ENG","Panel (1 set) 200 mm","Планка (1 к-т) 200 мм")</f>
        <v>Планка (1 к-т) 200 мм</v>
      </c>
      <c r="C2330" s="432"/>
      <c r="D2330" s="25">
        <f>IF(AC2330="","",(1-$W$2)*(AC2330/1.2))</f>
        <v>1833.3333333333335</v>
      </c>
      <c r="E2330" s="269">
        <f>IF($W$5=0.2,D2330*1.2,D2330)/$W$4</f>
        <v>2200</v>
      </c>
      <c r="F2330" s="272">
        <f>IF(AD2330="","",(1-$W$2)*(AD2330/1.2))</f>
        <v>2383.3333333333335</v>
      </c>
      <c r="G2330" s="69">
        <f>IF($W$5=0.2,F2330*1.2,F2330)/$W$4</f>
        <v>2860</v>
      </c>
      <c r="H2330" s="25">
        <f>IF(AE2330="","",(1-$W$2)*(AE2330/1.2))</f>
        <v>2116.666666666667</v>
      </c>
      <c r="I2330" s="269">
        <f>IF($W$5=0.2,H2330*1.2,H2330)/$W$4</f>
        <v>2540.0000000000005</v>
      </c>
      <c r="J2330" s="272">
        <f>IF(AF2330="","",(1-$W$2)*(AF2330/1.2))</f>
        <v>2750</v>
      </c>
      <c r="K2330" s="69">
        <f>IF($W$5=0.2,J2330*1.2,J2330)/$W$4</f>
        <v>3300</v>
      </c>
      <c r="L2330" s="25">
        <f>IF(AG2330="","",(1-$W$2)*(AG2330/1.2))</f>
        <v>2275</v>
      </c>
      <c r="M2330" s="269">
        <f>IF($W$5=0.2,L2330*1.2,L2330)/$W$4</f>
        <v>2730</v>
      </c>
      <c r="N2330" s="272">
        <f>IF(AH2330="","",(1-$W$2)*(AH2330/1.2))</f>
        <v>2950</v>
      </c>
      <c r="O2330" s="69">
        <f>IF($W$5=0.2,N2330*1.2,N2330)/$W$4</f>
        <v>3540</v>
      </c>
      <c r="P2330" s="25">
        <f>IF(AI2330="","",(1-$W$2)*(AI2330/1.2))</f>
        <v>2391.666666666667</v>
      </c>
      <c r="Q2330" s="269">
        <f>IF($W$5=0.2,P2330*1.2,P2330)/$W$4</f>
        <v>2870.0000000000005</v>
      </c>
      <c r="R2330" s="272">
        <f>IF(AJ2330="","",(1-$W$2)*(AJ2330/1.2))</f>
        <v>3108.3333333333335</v>
      </c>
      <c r="S2330" s="69">
        <f>IF($W$5=0.2,R2330*1.2,R2330)/$W$4</f>
        <v>3730</v>
      </c>
      <c r="T2330" s="25">
        <f>IF(AK2330="","",(1-$W$2)*(AK2330/1.2))</f>
        <v>2600</v>
      </c>
      <c r="U2330" s="269">
        <f>IF($W$5=0.2,T2330*1.2,T2330)/$W$4</f>
        <v>3120</v>
      </c>
      <c r="V2330" s="272">
        <f>IF(AL2330="","",(1-$W$2)*(AL2330/1.2))</f>
        <v>3383.3333333333335</v>
      </c>
      <c r="W2330" s="69">
        <f>IF($W$5=0.2,V2330*1.2,V2330)/$W$4</f>
        <v>4060</v>
      </c>
      <c r="X2330" s="22"/>
      <c r="Y2330" s="22"/>
      <c r="Z2330" s="22"/>
      <c r="AA2330" s="22"/>
      <c r="AB2330" s="22"/>
      <c r="AC2330" s="332">
        <v>2200</v>
      </c>
      <c r="AD2330" s="332">
        <v>2860</v>
      </c>
      <c r="AE2330" s="332">
        <v>2540</v>
      </c>
      <c r="AF2330" s="332">
        <v>3300</v>
      </c>
      <c r="AG2330" s="332">
        <v>2730</v>
      </c>
      <c r="AH2330" s="332">
        <v>3540</v>
      </c>
      <c r="AI2330" s="332">
        <v>2870</v>
      </c>
      <c r="AJ2330" s="332">
        <v>3730</v>
      </c>
      <c r="AK2330" s="332">
        <v>3120</v>
      </c>
      <c r="AL2330" s="332">
        <v>4060</v>
      </c>
      <c r="AM2330" s="334">
        <v>2200</v>
      </c>
      <c r="AN2330" s="310">
        <f t="shared" si="332"/>
        <v>0</v>
      </c>
      <c r="AO2330" s="334">
        <v>2860</v>
      </c>
      <c r="AP2330" s="398">
        <f t="shared" si="333"/>
        <v>0</v>
      </c>
      <c r="AQ2330" s="334">
        <v>2540</v>
      </c>
      <c r="AR2330" s="334">
        <f t="shared" si="334"/>
        <v>0</v>
      </c>
      <c r="AS2330" s="334">
        <v>3300</v>
      </c>
      <c r="AT2330" s="334">
        <f t="shared" si="335"/>
        <v>0</v>
      </c>
      <c r="AU2330" s="334">
        <v>2730</v>
      </c>
      <c r="AV2330" s="334">
        <f t="shared" si="336"/>
        <v>0</v>
      </c>
      <c r="AW2330" s="1">
        <v>3540</v>
      </c>
    </row>
    <row r="2331" spans="1:58">
      <c r="C2331" s="245"/>
      <c r="D2331" s="26"/>
      <c r="E2331" s="57"/>
      <c r="F2331" s="57"/>
      <c r="G2331" s="57"/>
      <c r="H2331" s="57"/>
      <c r="I2331" s="57"/>
      <c r="J2331" s="57"/>
      <c r="K2331" s="57"/>
      <c r="L2331" s="57"/>
      <c r="M2331" s="57"/>
      <c r="N2331" s="57"/>
      <c r="O2331" s="57"/>
      <c r="P2331" s="57"/>
      <c r="Q2331" s="57"/>
      <c r="R2331" s="57"/>
      <c r="S2331" s="57"/>
      <c r="T2331" s="57"/>
      <c r="U2331" s="57"/>
      <c r="V2331" s="57">
        <f t="shared" ref="V2331" si="337">V2329/100*30</f>
        <v>827.50000000000011</v>
      </c>
      <c r="W2331" s="57"/>
      <c r="AD2331" s="1">
        <f>AD2330-AC2330</f>
        <v>660</v>
      </c>
      <c r="AF2331" s="1">
        <f>AF2330-AE2330</f>
        <v>760</v>
      </c>
      <c r="AH2331" s="1">
        <f>AH2330-AG2330</f>
        <v>810</v>
      </c>
      <c r="AJ2331" s="1">
        <f>AJ2330-AI2330</f>
        <v>860</v>
      </c>
      <c r="AL2331" s="1">
        <f>AL2330-AK2330</f>
        <v>940</v>
      </c>
      <c r="AP2331" s="333"/>
      <c r="AQ2331" s="333"/>
      <c r="AR2331" s="333"/>
      <c r="AT2331" s="387"/>
    </row>
    <row r="2332" spans="1:58">
      <c r="B2332" s="212" t="str">
        <f>IF($C$1="ENG","For additonal charge:","Послуги за додаткову плату:")</f>
        <v>Послуги за додаткову плату:</v>
      </c>
      <c r="C2332" s="420"/>
      <c r="D2332" s="213"/>
      <c r="E2332" s="214"/>
      <c r="F2332" s="39"/>
      <c r="G2332" s="39"/>
      <c r="H2332" s="10"/>
      <c r="I2332" s="84"/>
      <c r="J2332" s="8"/>
      <c r="K2332" s="8"/>
      <c r="L2332" s="105"/>
      <c r="N2332" s="105"/>
      <c r="P2332" s="105"/>
      <c r="R2332" s="105"/>
      <c r="U2332" s="20"/>
      <c r="W2332" s="20"/>
      <c r="AP2332" s="333"/>
      <c r="AQ2332" s="333"/>
      <c r="AR2332" s="333"/>
      <c r="AT2332" s="387"/>
    </row>
    <row r="2333" spans="1:58" ht="5.0999999999999996" customHeight="1">
      <c r="B2333" s="27"/>
      <c r="C2333" s="245"/>
      <c r="D2333" s="26"/>
      <c r="E2333" s="57"/>
      <c r="F2333" s="26"/>
      <c r="G2333" s="26"/>
      <c r="H2333" s="10"/>
      <c r="I2333" s="8"/>
      <c r="J2333" s="8"/>
      <c r="K2333" s="8"/>
      <c r="U2333" s="20"/>
      <c r="W2333" s="20"/>
      <c r="AP2333" s="334"/>
      <c r="AQ2333" s="334"/>
      <c r="AR2333" s="334"/>
      <c r="AS2333" s="310"/>
      <c r="AT2333" s="386"/>
    </row>
    <row r="2334" spans="1:58">
      <c r="B2334" s="551" t="str">
        <f>IF($C$1="ENG","third door hindge","третя завіса")</f>
        <v>третя завіса</v>
      </c>
      <c r="C2334" s="552"/>
      <c r="D2334" s="51">
        <f>IF(AC2334="","",(1-$W$2)*(AC2334/1.2))</f>
        <v>66.666666666666671</v>
      </c>
      <c r="E2334" s="85">
        <f>IF($W$5=0.2,D2334*1.2,D2334)/$W$4</f>
        <v>80</v>
      </c>
      <c r="F2334" s="26"/>
      <c r="G2334" s="26"/>
      <c r="H2334" s="10"/>
      <c r="I2334" s="84"/>
      <c r="J2334" s="8"/>
      <c r="K2334" s="84"/>
      <c r="U2334" s="20"/>
      <c r="W2334" s="20"/>
      <c r="AC2334" s="298">
        <v>80</v>
      </c>
      <c r="AE2334" s="30"/>
      <c r="AF2334" s="289"/>
      <c r="AG2334" s="289"/>
      <c r="AH2334" s="289"/>
      <c r="AI2334" s="289"/>
      <c r="AJ2334" s="289"/>
      <c r="AK2334" s="289"/>
      <c r="AL2334" s="289"/>
      <c r="AP2334" s="333"/>
      <c r="AQ2334" s="333"/>
      <c r="AR2334" s="333"/>
      <c r="AT2334" s="387"/>
    </row>
    <row r="2335" spans="1:58" ht="14.25" customHeight="1">
      <c r="T2335" s="547" t="str">
        <f>IF($C$1="ENG",CONCATENATE("down to: ",B2385),CONCATENATE("вниз до: ",B2385))</f>
        <v>вниз до: Дверна коробка Verto-FIT Plus</v>
      </c>
      <c r="U2335" s="547"/>
      <c r="V2335" s="547"/>
      <c r="W2335" s="547"/>
      <c r="AP2335" s="333"/>
      <c r="AQ2335" s="333"/>
      <c r="AR2335" s="333"/>
      <c r="AT2335" s="387"/>
    </row>
    <row r="2336" spans="1:58" ht="14.25" customHeight="1">
      <c r="C2336" s="245"/>
      <c r="D2336" s="26"/>
      <c r="E2336" s="26"/>
      <c r="F2336" s="26"/>
      <c r="G2336" s="57"/>
      <c r="H2336" s="5"/>
      <c r="K2336" s="84"/>
      <c r="L2336" s="279"/>
      <c r="O2336" s="57"/>
      <c r="P2336" s="279"/>
      <c r="S2336" s="57"/>
      <c r="T2336" s="279"/>
      <c r="W2336" s="57"/>
      <c r="X2336" s="279"/>
      <c r="Y2336" s="279"/>
      <c r="Z2336" s="279"/>
      <c r="AA2336" s="279"/>
      <c r="AB2336" s="279"/>
      <c r="AP2336" s="333"/>
      <c r="AQ2336" s="333"/>
      <c r="AR2336" s="333"/>
      <c r="AT2336" s="387"/>
    </row>
    <row r="2337" spans="3:49" ht="14.25" customHeight="1">
      <c r="C2337" s="245"/>
      <c r="D2337" s="26"/>
      <c r="E2337" s="26"/>
      <c r="F2337" s="26"/>
      <c r="G2337" s="57"/>
      <c r="H2337" s="279"/>
      <c r="K2337" s="57"/>
      <c r="L2337" s="279"/>
      <c r="M2337" s="249"/>
      <c r="N2337" s="245"/>
      <c r="O2337" s="249"/>
      <c r="P2337" s="279"/>
      <c r="Q2337" s="249"/>
      <c r="R2337" s="245"/>
      <c r="S2337" s="249"/>
      <c r="T2337" s="279"/>
      <c r="U2337" s="249"/>
      <c r="V2337" s="245"/>
      <c r="W2337" s="249"/>
      <c r="X2337" s="279"/>
      <c r="Y2337" s="279"/>
      <c r="Z2337" s="279"/>
      <c r="AA2337" s="279"/>
      <c r="AB2337" s="279"/>
      <c r="AP2337" s="333"/>
      <c r="AQ2337" s="333"/>
      <c r="AR2337" s="333"/>
      <c r="AT2337" s="387"/>
    </row>
    <row r="2338" spans="3:49" ht="14.25" customHeight="1">
      <c r="C2338" s="245"/>
      <c r="D2338" s="245"/>
      <c r="F2338" s="245"/>
      <c r="G2338" s="249"/>
      <c r="H2338" s="279"/>
      <c r="I2338" s="249"/>
      <c r="J2338" s="245"/>
      <c r="K2338" s="249"/>
      <c r="L2338" s="279"/>
      <c r="M2338" s="284"/>
      <c r="N2338" s="245"/>
      <c r="O2338" s="249"/>
      <c r="P2338" s="279"/>
      <c r="Q2338" s="284"/>
      <c r="R2338" s="245"/>
      <c r="S2338" s="249"/>
      <c r="T2338" s="279"/>
      <c r="U2338" s="284"/>
      <c r="V2338" s="245"/>
      <c r="W2338" s="249"/>
      <c r="X2338" s="279"/>
      <c r="Y2338" s="279"/>
      <c r="Z2338" s="279"/>
      <c r="AA2338" s="279"/>
      <c r="AB2338" s="279"/>
    </row>
    <row r="2339" spans="3:49" ht="14.25" customHeight="1">
      <c r="C2339" s="245"/>
      <c r="D2339" s="245"/>
      <c r="E2339" s="284"/>
      <c r="F2339" s="245"/>
      <c r="G2339" s="249"/>
      <c r="H2339" s="279"/>
      <c r="I2339" s="284"/>
      <c r="J2339" s="245"/>
      <c r="K2339" s="249"/>
      <c r="L2339" s="279"/>
      <c r="M2339" s="284"/>
      <c r="N2339" s="245"/>
      <c r="O2339" s="249"/>
      <c r="P2339" s="279"/>
      <c r="Q2339" s="284"/>
      <c r="R2339" s="245"/>
      <c r="S2339" s="249"/>
      <c r="T2339" s="279"/>
      <c r="U2339" s="284"/>
      <c r="V2339" s="245"/>
      <c r="W2339" s="249"/>
      <c r="X2339" s="279"/>
      <c r="Y2339" s="279"/>
      <c r="Z2339" s="279"/>
      <c r="AA2339" s="279"/>
      <c r="AB2339" s="279"/>
    </row>
    <row r="2340" spans="3:49" ht="14.25" customHeight="1">
      <c r="C2340" s="245"/>
      <c r="D2340" s="245"/>
      <c r="E2340" s="284"/>
      <c r="F2340" s="245"/>
      <c r="G2340" s="249"/>
      <c r="H2340" s="279"/>
      <c r="I2340" s="284"/>
      <c r="J2340" s="245"/>
      <c r="K2340" s="249"/>
      <c r="L2340" s="279"/>
      <c r="M2340" s="284"/>
      <c r="N2340" s="245"/>
      <c r="O2340" s="249"/>
      <c r="P2340" s="279"/>
      <c r="Q2340" s="284"/>
      <c r="R2340" s="245"/>
      <c r="S2340" s="249"/>
      <c r="T2340" s="279"/>
      <c r="U2340" s="284"/>
      <c r="V2340" s="245"/>
      <c r="W2340" s="249"/>
      <c r="X2340" s="279"/>
      <c r="Y2340" s="279"/>
      <c r="Z2340" s="279"/>
      <c r="AA2340" s="279"/>
      <c r="AB2340" s="279"/>
    </row>
    <row r="2341" spans="3:49" ht="14.25" customHeight="1">
      <c r="C2341" s="245"/>
      <c r="D2341" s="245"/>
      <c r="E2341" s="284"/>
      <c r="F2341" s="245"/>
      <c r="G2341" s="249"/>
      <c r="H2341" s="279"/>
      <c r="I2341" s="284"/>
      <c r="J2341" s="245"/>
      <c r="K2341" s="249"/>
      <c r="L2341" s="279"/>
      <c r="M2341" s="284"/>
      <c r="N2341" s="245"/>
      <c r="O2341" s="249"/>
      <c r="P2341" s="279"/>
      <c r="Q2341" s="284"/>
      <c r="R2341" s="245"/>
      <c r="S2341" s="249"/>
      <c r="T2341" s="279"/>
      <c r="U2341" s="284"/>
      <c r="V2341" s="245"/>
      <c r="W2341" s="249"/>
      <c r="X2341" s="279"/>
      <c r="Y2341" s="279"/>
      <c r="Z2341" s="279"/>
      <c r="AA2341" s="279"/>
      <c r="AB2341" s="279"/>
    </row>
    <row r="2342" spans="3:49" ht="14.25" customHeight="1">
      <c r="C2342" s="245"/>
      <c r="D2342" s="245"/>
      <c r="E2342" s="284"/>
      <c r="F2342" s="245"/>
      <c r="G2342" s="249"/>
      <c r="H2342" s="279"/>
      <c r="I2342" s="284"/>
      <c r="J2342" s="245"/>
      <c r="K2342" s="249"/>
      <c r="L2342" s="279"/>
      <c r="M2342" s="284"/>
      <c r="N2342" s="245"/>
      <c r="O2342" s="249"/>
      <c r="P2342" s="279"/>
      <c r="Q2342" s="284"/>
      <c r="R2342" s="245"/>
      <c r="S2342" s="249"/>
      <c r="T2342" s="279"/>
      <c r="U2342" s="284"/>
      <c r="V2342" s="245"/>
      <c r="W2342" s="249"/>
      <c r="X2342" s="279"/>
      <c r="Y2342" s="279"/>
      <c r="Z2342" s="279"/>
      <c r="AA2342" s="279"/>
      <c r="AB2342" s="279"/>
      <c r="AM2342" s="1">
        <f>AC2342/100*13+AC2342</f>
        <v>0</v>
      </c>
      <c r="AN2342" s="30" t="e">
        <f>AM2342/AC2342-1</f>
        <v>#DIV/0!</v>
      </c>
      <c r="AO2342" s="30">
        <f>AD2342/100*13+AD2342</f>
        <v>0</v>
      </c>
      <c r="AP2342" s="30" t="e">
        <f>AO2342/AD2342-1</f>
        <v>#DIV/0!</v>
      </c>
      <c r="AQ2342" s="30">
        <f>AE2342/100*13+AE2342</f>
        <v>0</v>
      </c>
      <c r="AR2342" s="30" t="e">
        <f>AQ2342/AE2342-1</f>
        <v>#DIV/0!</v>
      </c>
      <c r="AS2342" s="30">
        <f>AF2342/100*13+AF2342</f>
        <v>0</v>
      </c>
      <c r="AT2342" s="30" t="e">
        <f>AS2342/AF2342-1</f>
        <v>#DIV/0!</v>
      </c>
      <c r="AU2342" s="1">
        <f>AG2342/100*13+AG2342</f>
        <v>0</v>
      </c>
      <c r="AV2342" s="1" t="e">
        <f>AU2342/AG2342-1</f>
        <v>#DIV/0!</v>
      </c>
      <c r="AW2342" s="1">
        <f>AH2342/100*13+AH2342</f>
        <v>0</v>
      </c>
    </row>
    <row r="2343" spans="3:49" ht="14.25" customHeight="1">
      <c r="C2343" s="245"/>
      <c r="D2343" s="245"/>
      <c r="E2343" s="284"/>
      <c r="F2343" s="245"/>
      <c r="G2343" s="249"/>
      <c r="H2343" s="279"/>
      <c r="I2343" s="284"/>
      <c r="J2343" s="245"/>
      <c r="K2343" s="249"/>
      <c r="L2343" s="279"/>
      <c r="M2343" s="284"/>
      <c r="N2343" s="245"/>
      <c r="O2343" s="249"/>
      <c r="P2343" s="279"/>
      <c r="Q2343" s="284"/>
      <c r="R2343" s="245"/>
      <c r="S2343" s="249"/>
      <c r="T2343" s="279"/>
      <c r="U2343" s="284"/>
      <c r="V2343" s="245"/>
      <c r="W2343" s="249"/>
      <c r="X2343" s="279"/>
      <c r="Y2343" s="279"/>
      <c r="Z2343" s="279"/>
      <c r="AA2343" s="279"/>
      <c r="AB2343" s="279"/>
      <c r="AM2343" s="1">
        <f t="shared" ref="AM2343:AM2351" si="338">AC2343/100*13+AC2343</f>
        <v>0</v>
      </c>
      <c r="AN2343" s="30" t="e">
        <f t="shared" ref="AN2343:AN2351" si="339">AM2343/AC2343-1</f>
        <v>#DIV/0!</v>
      </c>
      <c r="AO2343" s="30">
        <f t="shared" ref="AO2343:AO2351" si="340">AD2343/100*13+AD2343</f>
        <v>0</v>
      </c>
      <c r="AP2343" s="30" t="e">
        <f t="shared" ref="AP2343:AP2351" si="341">AO2343/AD2343-1</f>
        <v>#DIV/0!</v>
      </c>
      <c r="AQ2343" s="30">
        <f t="shared" ref="AQ2343:AQ2351" si="342">AE2343/100*13+AE2343</f>
        <v>0</v>
      </c>
      <c r="AR2343" s="30" t="e">
        <f t="shared" ref="AR2343:AR2351" si="343">AQ2343/AE2343-1</f>
        <v>#DIV/0!</v>
      </c>
      <c r="AS2343" s="30">
        <f t="shared" ref="AS2343:AS2351" si="344">AF2343/100*13+AF2343</f>
        <v>0</v>
      </c>
      <c r="AT2343" s="30" t="e">
        <f t="shared" ref="AT2343:AT2351" si="345">AS2343/AF2343-1</f>
        <v>#DIV/0!</v>
      </c>
      <c r="AU2343" s="1">
        <f t="shared" ref="AU2343:AU2351" si="346">AG2343/100*13+AG2343</f>
        <v>0</v>
      </c>
      <c r="AV2343" s="1" t="e">
        <f t="shared" ref="AV2343:AV2351" si="347">AU2343/AG2343-1</f>
        <v>#DIV/0!</v>
      </c>
      <c r="AW2343" s="1">
        <f t="shared" ref="AW2343:AW2351" si="348">AH2343/100*13+AH2343</f>
        <v>0</v>
      </c>
    </row>
    <row r="2344" spans="3:49" ht="14.25" customHeight="1">
      <c r="C2344" s="245"/>
      <c r="D2344" s="245"/>
      <c r="E2344" s="284"/>
      <c r="F2344" s="245"/>
      <c r="G2344" s="249"/>
      <c r="H2344" s="279"/>
      <c r="I2344" s="284"/>
      <c r="J2344" s="245"/>
      <c r="K2344" s="249"/>
      <c r="L2344" s="279"/>
      <c r="M2344" s="284"/>
      <c r="N2344" s="245"/>
      <c r="O2344" s="249"/>
      <c r="P2344" s="279"/>
      <c r="Q2344" s="284"/>
      <c r="R2344" s="245"/>
      <c r="S2344" s="249"/>
      <c r="T2344" s="279"/>
      <c r="U2344" s="284"/>
      <c r="V2344" s="245"/>
      <c r="W2344" s="249"/>
      <c r="X2344" s="279"/>
      <c r="Y2344" s="279"/>
      <c r="Z2344" s="279"/>
      <c r="AA2344" s="279"/>
      <c r="AB2344" s="279"/>
      <c r="AM2344" s="1">
        <f t="shared" si="338"/>
        <v>0</v>
      </c>
      <c r="AN2344" s="30" t="e">
        <f t="shared" si="339"/>
        <v>#DIV/0!</v>
      </c>
      <c r="AO2344" s="30">
        <f t="shared" si="340"/>
        <v>0</v>
      </c>
      <c r="AP2344" s="30" t="e">
        <f t="shared" si="341"/>
        <v>#DIV/0!</v>
      </c>
      <c r="AQ2344" s="30">
        <f t="shared" si="342"/>
        <v>0</v>
      </c>
      <c r="AR2344" s="30" t="e">
        <f t="shared" si="343"/>
        <v>#DIV/0!</v>
      </c>
      <c r="AS2344" s="30">
        <f t="shared" si="344"/>
        <v>0</v>
      </c>
      <c r="AT2344" s="30" t="e">
        <f t="shared" si="345"/>
        <v>#DIV/0!</v>
      </c>
      <c r="AU2344" s="1">
        <f t="shared" si="346"/>
        <v>0</v>
      </c>
      <c r="AV2344" s="1" t="e">
        <f t="shared" si="347"/>
        <v>#DIV/0!</v>
      </c>
      <c r="AW2344" s="1">
        <f t="shared" si="348"/>
        <v>0</v>
      </c>
    </row>
    <row r="2345" spans="3:49" ht="14.25" customHeight="1">
      <c r="C2345" s="245"/>
      <c r="D2345" s="245"/>
      <c r="E2345" s="284"/>
      <c r="F2345" s="245"/>
      <c r="G2345" s="249"/>
      <c r="H2345" s="279"/>
      <c r="I2345" s="284"/>
      <c r="J2345" s="245"/>
      <c r="K2345" s="249"/>
      <c r="L2345" s="279"/>
      <c r="M2345" s="284"/>
      <c r="N2345" s="245"/>
      <c r="O2345" s="249"/>
      <c r="P2345" s="279"/>
      <c r="Q2345" s="284"/>
      <c r="R2345" s="245"/>
      <c r="S2345" s="249"/>
      <c r="T2345" s="279"/>
      <c r="U2345" s="284"/>
      <c r="V2345" s="245"/>
      <c r="W2345" s="249"/>
      <c r="X2345" s="279"/>
      <c r="Y2345" s="279"/>
      <c r="Z2345" s="279"/>
      <c r="AA2345" s="279"/>
      <c r="AB2345" s="279"/>
      <c r="AM2345" s="1">
        <f t="shared" si="338"/>
        <v>0</v>
      </c>
      <c r="AN2345" s="30" t="e">
        <f t="shared" si="339"/>
        <v>#DIV/0!</v>
      </c>
      <c r="AO2345" s="30">
        <f t="shared" si="340"/>
        <v>0</v>
      </c>
      <c r="AP2345" s="30" t="e">
        <f t="shared" si="341"/>
        <v>#DIV/0!</v>
      </c>
      <c r="AQ2345" s="30">
        <f t="shared" si="342"/>
        <v>0</v>
      </c>
      <c r="AR2345" s="30" t="e">
        <f t="shared" si="343"/>
        <v>#DIV/0!</v>
      </c>
      <c r="AS2345" s="30">
        <f t="shared" si="344"/>
        <v>0</v>
      </c>
      <c r="AT2345" s="30" t="e">
        <f t="shared" si="345"/>
        <v>#DIV/0!</v>
      </c>
      <c r="AU2345" s="1">
        <f t="shared" si="346"/>
        <v>0</v>
      </c>
      <c r="AV2345" s="1" t="e">
        <f t="shared" si="347"/>
        <v>#DIV/0!</v>
      </c>
      <c r="AW2345" s="1">
        <f t="shared" si="348"/>
        <v>0</v>
      </c>
    </row>
    <row r="2346" spans="3:49" ht="14.25" customHeight="1">
      <c r="C2346" s="245"/>
      <c r="D2346" s="245"/>
      <c r="E2346" s="284"/>
      <c r="F2346" s="245"/>
      <c r="G2346" s="249"/>
      <c r="H2346" s="279"/>
      <c r="I2346" s="284"/>
      <c r="J2346" s="245"/>
      <c r="K2346" s="249"/>
      <c r="L2346" s="279"/>
      <c r="M2346" s="284"/>
      <c r="N2346" s="245"/>
      <c r="O2346" s="249"/>
      <c r="P2346" s="279"/>
      <c r="Q2346" s="284"/>
      <c r="R2346" s="245"/>
      <c r="S2346" s="249"/>
      <c r="T2346" s="279"/>
      <c r="U2346" s="284"/>
      <c r="V2346" s="245"/>
      <c r="W2346" s="249"/>
      <c r="X2346" s="279"/>
      <c r="Y2346" s="279"/>
      <c r="Z2346" s="279"/>
      <c r="AA2346" s="279"/>
      <c r="AB2346" s="279"/>
      <c r="AM2346" s="1">
        <f t="shared" si="338"/>
        <v>0</v>
      </c>
      <c r="AN2346" s="30" t="e">
        <f t="shared" si="339"/>
        <v>#DIV/0!</v>
      </c>
      <c r="AO2346" s="30">
        <f t="shared" si="340"/>
        <v>0</v>
      </c>
      <c r="AP2346" s="30" t="e">
        <f t="shared" si="341"/>
        <v>#DIV/0!</v>
      </c>
      <c r="AQ2346" s="30">
        <f t="shared" si="342"/>
        <v>0</v>
      </c>
      <c r="AR2346" s="30" t="e">
        <f t="shared" si="343"/>
        <v>#DIV/0!</v>
      </c>
      <c r="AS2346" s="30">
        <f t="shared" si="344"/>
        <v>0</v>
      </c>
      <c r="AT2346" s="30" t="e">
        <f t="shared" si="345"/>
        <v>#DIV/0!</v>
      </c>
      <c r="AU2346" s="1">
        <f t="shared" si="346"/>
        <v>0</v>
      </c>
      <c r="AV2346" s="1" t="e">
        <f t="shared" si="347"/>
        <v>#DIV/0!</v>
      </c>
      <c r="AW2346" s="1">
        <f t="shared" si="348"/>
        <v>0</v>
      </c>
    </row>
    <row r="2347" spans="3:49" ht="14.25" customHeight="1">
      <c r="C2347" s="245"/>
      <c r="D2347" s="245"/>
      <c r="E2347" s="284"/>
      <c r="F2347" s="245"/>
      <c r="G2347" s="249"/>
      <c r="H2347" s="279"/>
      <c r="I2347" s="284"/>
      <c r="J2347" s="245"/>
      <c r="K2347" s="249"/>
      <c r="L2347" s="279"/>
      <c r="M2347" s="284"/>
      <c r="N2347" s="245"/>
      <c r="O2347" s="249"/>
      <c r="P2347" s="279"/>
      <c r="Q2347" s="284"/>
      <c r="R2347" s="245"/>
      <c r="S2347" s="249"/>
      <c r="T2347" s="279"/>
      <c r="U2347" s="284"/>
      <c r="V2347" s="245"/>
      <c r="W2347" s="249"/>
      <c r="X2347" s="279"/>
      <c r="Y2347" s="279"/>
      <c r="Z2347" s="279"/>
      <c r="AA2347" s="279"/>
      <c r="AB2347" s="279"/>
      <c r="AM2347" s="1">
        <f t="shared" si="338"/>
        <v>0</v>
      </c>
      <c r="AN2347" s="30" t="e">
        <f t="shared" si="339"/>
        <v>#DIV/0!</v>
      </c>
      <c r="AO2347" s="30">
        <f t="shared" si="340"/>
        <v>0</v>
      </c>
      <c r="AP2347" s="30" t="e">
        <f t="shared" si="341"/>
        <v>#DIV/0!</v>
      </c>
      <c r="AQ2347" s="30">
        <f t="shared" si="342"/>
        <v>0</v>
      </c>
      <c r="AR2347" s="30" t="e">
        <f t="shared" si="343"/>
        <v>#DIV/0!</v>
      </c>
      <c r="AS2347" s="30">
        <f t="shared" si="344"/>
        <v>0</v>
      </c>
      <c r="AT2347" s="30" t="e">
        <f t="shared" si="345"/>
        <v>#DIV/0!</v>
      </c>
      <c r="AU2347" s="1">
        <f t="shared" si="346"/>
        <v>0</v>
      </c>
      <c r="AV2347" s="1" t="e">
        <f t="shared" si="347"/>
        <v>#DIV/0!</v>
      </c>
      <c r="AW2347" s="1">
        <f t="shared" si="348"/>
        <v>0</v>
      </c>
    </row>
    <row r="2348" spans="3:49" ht="14.25" customHeight="1">
      <c r="C2348" s="245"/>
      <c r="D2348" s="245"/>
      <c r="E2348" s="284"/>
      <c r="F2348" s="245"/>
      <c r="G2348" s="249"/>
      <c r="H2348" s="279"/>
      <c r="I2348" s="284"/>
      <c r="J2348" s="245"/>
      <c r="K2348" s="249"/>
      <c r="L2348" s="279"/>
      <c r="M2348" s="284"/>
      <c r="N2348" s="245"/>
      <c r="O2348" s="249"/>
      <c r="P2348" s="279"/>
      <c r="Q2348" s="284"/>
      <c r="R2348" s="245"/>
      <c r="S2348" s="249"/>
      <c r="T2348" s="279"/>
      <c r="U2348" s="284"/>
      <c r="V2348" s="245"/>
      <c r="W2348" s="249"/>
      <c r="X2348" s="279"/>
      <c r="Y2348" s="279"/>
      <c r="Z2348" s="279"/>
      <c r="AA2348" s="279"/>
      <c r="AB2348" s="279"/>
      <c r="AM2348" s="1">
        <f t="shared" si="338"/>
        <v>0</v>
      </c>
      <c r="AN2348" s="30" t="e">
        <f t="shared" si="339"/>
        <v>#DIV/0!</v>
      </c>
      <c r="AO2348" s="30">
        <f t="shared" si="340"/>
        <v>0</v>
      </c>
      <c r="AP2348" s="30" t="e">
        <f t="shared" si="341"/>
        <v>#DIV/0!</v>
      </c>
      <c r="AQ2348" s="30">
        <f t="shared" si="342"/>
        <v>0</v>
      </c>
      <c r="AR2348" s="30" t="e">
        <f t="shared" si="343"/>
        <v>#DIV/0!</v>
      </c>
      <c r="AS2348" s="30">
        <f t="shared" si="344"/>
        <v>0</v>
      </c>
      <c r="AT2348" s="30" t="e">
        <f t="shared" si="345"/>
        <v>#DIV/0!</v>
      </c>
      <c r="AU2348" s="1">
        <f t="shared" si="346"/>
        <v>0</v>
      </c>
      <c r="AV2348" s="1" t="e">
        <f t="shared" si="347"/>
        <v>#DIV/0!</v>
      </c>
      <c r="AW2348" s="1">
        <f t="shared" si="348"/>
        <v>0</v>
      </c>
    </row>
    <row r="2349" spans="3:49" ht="14.25" customHeight="1">
      <c r="C2349" s="245"/>
      <c r="D2349" s="245"/>
      <c r="E2349" s="284"/>
      <c r="F2349" s="245"/>
      <c r="G2349" s="249"/>
      <c r="H2349" s="279"/>
      <c r="I2349" s="284"/>
      <c r="J2349" s="245"/>
      <c r="K2349" s="249"/>
      <c r="L2349" s="279"/>
      <c r="M2349" s="284"/>
      <c r="N2349" s="245"/>
      <c r="O2349" s="249"/>
      <c r="P2349" s="279"/>
      <c r="Q2349" s="284"/>
      <c r="R2349" s="245"/>
      <c r="S2349" s="249"/>
      <c r="T2349" s="279"/>
      <c r="U2349" s="284"/>
      <c r="V2349" s="245"/>
      <c r="W2349" s="249"/>
      <c r="X2349" s="279"/>
      <c r="Y2349" s="279"/>
      <c r="Z2349" s="279"/>
      <c r="AA2349" s="279"/>
      <c r="AB2349" s="279"/>
      <c r="AM2349" s="1">
        <f t="shared" si="338"/>
        <v>0</v>
      </c>
      <c r="AN2349" s="30" t="e">
        <f t="shared" si="339"/>
        <v>#DIV/0!</v>
      </c>
      <c r="AO2349" s="30">
        <f t="shared" si="340"/>
        <v>0</v>
      </c>
      <c r="AP2349" s="30" t="e">
        <f t="shared" si="341"/>
        <v>#DIV/0!</v>
      </c>
      <c r="AQ2349" s="30">
        <f t="shared" si="342"/>
        <v>0</v>
      </c>
      <c r="AR2349" s="30" t="e">
        <f t="shared" si="343"/>
        <v>#DIV/0!</v>
      </c>
      <c r="AS2349" s="30">
        <f t="shared" si="344"/>
        <v>0</v>
      </c>
      <c r="AT2349" s="30" t="e">
        <f t="shared" si="345"/>
        <v>#DIV/0!</v>
      </c>
      <c r="AU2349" s="1">
        <f t="shared" si="346"/>
        <v>0</v>
      </c>
      <c r="AV2349" s="1" t="e">
        <f t="shared" si="347"/>
        <v>#DIV/0!</v>
      </c>
      <c r="AW2349" s="1">
        <f t="shared" si="348"/>
        <v>0</v>
      </c>
    </row>
    <row r="2350" spans="3:49" ht="14.25" customHeight="1">
      <c r="C2350" s="245"/>
      <c r="D2350" s="245"/>
      <c r="E2350" s="284"/>
      <c r="F2350" s="245"/>
      <c r="G2350" s="249"/>
      <c r="H2350" s="279"/>
      <c r="I2350" s="284"/>
      <c r="J2350" s="245"/>
      <c r="K2350" s="249"/>
      <c r="L2350" s="279"/>
      <c r="M2350" s="284"/>
      <c r="N2350" s="245"/>
      <c r="O2350" s="249"/>
      <c r="P2350" s="279"/>
      <c r="Q2350" s="284"/>
      <c r="R2350" s="245"/>
      <c r="S2350" s="249"/>
      <c r="T2350" s="279"/>
      <c r="U2350" s="284"/>
      <c r="V2350" s="245"/>
      <c r="W2350" s="249"/>
      <c r="X2350" s="279"/>
      <c r="Y2350" s="279"/>
      <c r="Z2350" s="279"/>
      <c r="AA2350" s="279"/>
      <c r="AB2350" s="279"/>
      <c r="AM2350" s="1">
        <f t="shared" si="338"/>
        <v>0</v>
      </c>
      <c r="AN2350" s="30" t="e">
        <f t="shared" si="339"/>
        <v>#DIV/0!</v>
      </c>
      <c r="AO2350" s="30">
        <f t="shared" si="340"/>
        <v>0</v>
      </c>
      <c r="AP2350" s="30" t="e">
        <f t="shared" si="341"/>
        <v>#DIV/0!</v>
      </c>
      <c r="AQ2350" s="30">
        <f t="shared" si="342"/>
        <v>0</v>
      </c>
      <c r="AR2350" s="30" t="e">
        <f t="shared" si="343"/>
        <v>#DIV/0!</v>
      </c>
      <c r="AS2350" s="30">
        <f t="shared" si="344"/>
        <v>0</v>
      </c>
      <c r="AT2350" s="30" t="e">
        <f t="shared" si="345"/>
        <v>#DIV/0!</v>
      </c>
      <c r="AU2350" s="1">
        <f t="shared" si="346"/>
        <v>0</v>
      </c>
      <c r="AV2350" s="1" t="e">
        <f t="shared" si="347"/>
        <v>#DIV/0!</v>
      </c>
      <c r="AW2350" s="1">
        <f t="shared" si="348"/>
        <v>0</v>
      </c>
    </row>
    <row r="2351" spans="3:49" ht="14.25" customHeight="1">
      <c r="C2351" s="245"/>
      <c r="D2351" s="245"/>
      <c r="E2351" s="284"/>
      <c r="F2351" s="245"/>
      <c r="G2351" s="249"/>
      <c r="H2351" s="279"/>
      <c r="I2351" s="284"/>
      <c r="J2351" s="245"/>
      <c r="K2351" s="249"/>
      <c r="L2351" s="279"/>
      <c r="M2351" s="284"/>
      <c r="N2351" s="245"/>
      <c r="O2351" s="249"/>
      <c r="P2351" s="279"/>
      <c r="Q2351" s="284"/>
      <c r="R2351" s="245"/>
      <c r="S2351" s="249"/>
      <c r="T2351" s="279"/>
      <c r="U2351" s="284"/>
      <c r="V2351" s="245"/>
      <c r="W2351" s="249"/>
      <c r="X2351" s="279"/>
      <c r="Y2351" s="279"/>
      <c r="Z2351" s="279"/>
      <c r="AA2351" s="279"/>
      <c r="AB2351" s="279"/>
      <c r="AM2351" s="1">
        <f t="shared" si="338"/>
        <v>0</v>
      </c>
      <c r="AN2351" s="30" t="e">
        <f t="shared" si="339"/>
        <v>#DIV/0!</v>
      </c>
      <c r="AO2351" s="30">
        <f t="shared" si="340"/>
        <v>0</v>
      </c>
      <c r="AP2351" s="30" t="e">
        <f t="shared" si="341"/>
        <v>#DIV/0!</v>
      </c>
      <c r="AQ2351" s="30">
        <f t="shared" si="342"/>
        <v>0</v>
      </c>
      <c r="AR2351" s="30" t="e">
        <f t="shared" si="343"/>
        <v>#DIV/0!</v>
      </c>
      <c r="AS2351" s="30">
        <f t="shared" si="344"/>
        <v>0</v>
      </c>
      <c r="AT2351" s="30" t="e">
        <f t="shared" si="345"/>
        <v>#DIV/0!</v>
      </c>
      <c r="AU2351" s="1">
        <f t="shared" si="346"/>
        <v>0</v>
      </c>
      <c r="AV2351" s="1" t="e">
        <f t="shared" si="347"/>
        <v>#DIV/0!</v>
      </c>
      <c r="AW2351" s="1">
        <f t="shared" si="348"/>
        <v>0</v>
      </c>
    </row>
    <row r="2352" spans="3:49" ht="14.25" customHeight="1">
      <c r="C2352" s="245"/>
      <c r="D2352" s="245"/>
      <c r="E2352" s="284"/>
      <c r="F2352" s="245"/>
      <c r="G2352" s="249"/>
      <c r="H2352" s="279"/>
      <c r="I2352" s="284"/>
      <c r="J2352" s="245"/>
      <c r="K2352" s="249"/>
      <c r="L2352" s="279"/>
      <c r="M2352" s="284"/>
      <c r="N2352" s="245"/>
      <c r="O2352" s="249"/>
      <c r="P2352" s="279"/>
      <c r="Q2352" s="284"/>
      <c r="R2352" s="245"/>
      <c r="S2352" s="249"/>
      <c r="T2352" s="279"/>
      <c r="U2352" s="284"/>
      <c r="V2352" s="245"/>
      <c r="W2352" s="249"/>
      <c r="X2352" s="279"/>
      <c r="Y2352" s="279"/>
      <c r="Z2352" s="279"/>
      <c r="AA2352" s="279"/>
      <c r="AB2352" s="279"/>
    </row>
    <row r="2353" spans="3:28" ht="14.25" customHeight="1">
      <c r="C2353" s="245"/>
      <c r="D2353" s="245"/>
      <c r="E2353" s="284"/>
      <c r="F2353" s="245"/>
      <c r="G2353" s="249"/>
      <c r="H2353" s="279"/>
      <c r="I2353" s="284"/>
      <c r="J2353" s="245"/>
      <c r="K2353" s="249"/>
      <c r="L2353" s="279"/>
      <c r="M2353" s="284"/>
      <c r="N2353" s="245"/>
      <c r="O2353" s="249"/>
      <c r="P2353" s="279"/>
      <c r="Q2353" s="284"/>
      <c r="R2353" s="245"/>
      <c r="S2353" s="249"/>
      <c r="T2353" s="279"/>
      <c r="U2353" s="284"/>
      <c r="V2353" s="245"/>
      <c r="W2353" s="249"/>
      <c r="X2353" s="279"/>
      <c r="Y2353" s="279"/>
      <c r="Z2353" s="279"/>
      <c r="AA2353" s="279"/>
      <c r="AB2353" s="279"/>
    </row>
    <row r="2354" spans="3:28" ht="14.25" customHeight="1">
      <c r="C2354" s="245"/>
      <c r="D2354" s="245"/>
      <c r="E2354" s="284"/>
      <c r="F2354" s="245"/>
      <c r="G2354" s="249"/>
      <c r="H2354" s="279"/>
      <c r="I2354" s="284"/>
      <c r="J2354" s="245"/>
      <c r="K2354" s="249"/>
      <c r="L2354" s="279"/>
      <c r="M2354" s="284"/>
      <c r="N2354" s="245"/>
      <c r="O2354" s="249"/>
      <c r="P2354" s="279"/>
      <c r="Q2354" s="284"/>
      <c r="R2354" s="245"/>
      <c r="S2354" s="249"/>
      <c r="T2354" s="279"/>
      <c r="U2354" s="284"/>
      <c r="V2354" s="245"/>
      <c r="W2354" s="249"/>
      <c r="X2354" s="279"/>
      <c r="Y2354" s="279"/>
      <c r="Z2354" s="279"/>
      <c r="AA2354" s="279"/>
      <c r="AB2354" s="279"/>
    </row>
    <row r="2355" spans="3:28" ht="14.25" customHeight="1">
      <c r="C2355" s="245"/>
      <c r="D2355" s="245"/>
      <c r="E2355" s="284"/>
      <c r="F2355" s="245"/>
      <c r="G2355" s="249"/>
      <c r="H2355" s="279"/>
      <c r="I2355" s="284"/>
      <c r="J2355" s="245"/>
      <c r="K2355" s="249"/>
      <c r="L2355" s="279"/>
      <c r="M2355" s="284"/>
      <c r="N2355" s="245"/>
      <c r="O2355" s="249"/>
      <c r="P2355" s="279"/>
      <c r="Q2355" s="284"/>
      <c r="R2355" s="245"/>
      <c r="S2355" s="249"/>
      <c r="T2355" s="279"/>
      <c r="U2355" s="284"/>
      <c r="V2355" s="245"/>
      <c r="W2355" s="249"/>
      <c r="X2355" s="279"/>
      <c r="Y2355" s="279"/>
      <c r="Z2355" s="279"/>
      <c r="AA2355" s="279"/>
      <c r="AB2355" s="279"/>
    </row>
    <row r="2356" spans="3:28" ht="14.25" customHeight="1">
      <c r="C2356" s="245"/>
      <c r="D2356" s="245"/>
      <c r="E2356" s="284"/>
      <c r="F2356" s="245"/>
      <c r="G2356" s="249"/>
      <c r="H2356" s="279"/>
      <c r="I2356" s="284"/>
      <c r="J2356" s="245"/>
      <c r="K2356" s="249"/>
      <c r="L2356" s="279"/>
      <c r="M2356" s="284"/>
      <c r="N2356" s="245"/>
      <c r="O2356" s="249"/>
      <c r="P2356" s="279"/>
      <c r="Q2356" s="284"/>
      <c r="R2356" s="245"/>
      <c r="S2356" s="249"/>
      <c r="T2356" s="279"/>
      <c r="U2356" s="284"/>
      <c r="V2356" s="245"/>
      <c r="W2356" s="249"/>
      <c r="X2356" s="279"/>
      <c r="Y2356" s="279"/>
      <c r="Z2356" s="279"/>
      <c r="AA2356" s="279"/>
      <c r="AB2356" s="279"/>
    </row>
    <row r="2357" spans="3:28" ht="14.25" customHeight="1">
      <c r="C2357" s="245"/>
      <c r="D2357" s="245"/>
      <c r="E2357" s="284"/>
      <c r="F2357" s="245"/>
      <c r="G2357" s="249"/>
      <c r="H2357" s="279"/>
      <c r="I2357" s="284"/>
      <c r="J2357" s="245"/>
      <c r="K2357" s="249"/>
      <c r="L2357" s="279"/>
      <c r="M2357" s="284"/>
      <c r="N2357" s="245"/>
      <c r="O2357" s="249"/>
      <c r="P2357" s="279"/>
      <c r="Q2357" s="284"/>
      <c r="R2357" s="245"/>
      <c r="S2357" s="249"/>
      <c r="T2357" s="279"/>
      <c r="U2357" s="284"/>
      <c r="V2357" s="245"/>
      <c r="W2357" s="249"/>
      <c r="X2357" s="279"/>
      <c r="Y2357" s="279"/>
      <c r="Z2357" s="279"/>
      <c r="AA2357" s="279"/>
      <c r="AB2357" s="279"/>
    </row>
    <row r="2358" spans="3:28" ht="14.25" customHeight="1">
      <c r="C2358" s="245"/>
      <c r="D2358" s="245"/>
      <c r="E2358" s="284"/>
      <c r="F2358" s="245"/>
      <c r="G2358" s="249"/>
      <c r="H2358" s="279"/>
      <c r="I2358" s="284"/>
      <c r="J2358" s="245"/>
      <c r="K2358" s="249"/>
      <c r="L2358" s="279"/>
      <c r="M2358" s="284"/>
      <c r="N2358" s="245"/>
      <c r="O2358" s="249"/>
      <c r="P2358" s="279"/>
      <c r="Q2358" s="284"/>
      <c r="R2358" s="245"/>
      <c r="S2358" s="249"/>
      <c r="T2358" s="279"/>
      <c r="U2358" s="284"/>
      <c r="V2358" s="245"/>
      <c r="W2358" s="249"/>
      <c r="X2358" s="279"/>
      <c r="Y2358" s="279"/>
      <c r="Z2358" s="279"/>
      <c r="AA2358" s="279"/>
      <c r="AB2358" s="279"/>
    </row>
    <row r="2359" spans="3:28" ht="14.25" customHeight="1">
      <c r="C2359" s="245"/>
      <c r="D2359" s="245"/>
      <c r="E2359" s="284"/>
      <c r="F2359" s="245"/>
      <c r="G2359" s="249"/>
      <c r="H2359" s="279"/>
      <c r="I2359" s="284"/>
      <c r="J2359" s="245"/>
      <c r="K2359" s="249"/>
      <c r="L2359" s="279"/>
      <c r="M2359" s="284"/>
      <c r="N2359" s="245"/>
      <c r="O2359" s="249"/>
      <c r="P2359" s="279"/>
      <c r="Q2359" s="284"/>
      <c r="R2359" s="245"/>
      <c r="S2359" s="249"/>
      <c r="T2359" s="279"/>
      <c r="U2359" s="284"/>
      <c r="V2359" s="245"/>
      <c r="W2359" s="249"/>
      <c r="X2359" s="279"/>
      <c r="Y2359" s="279"/>
      <c r="Z2359" s="279"/>
      <c r="AA2359" s="279"/>
      <c r="AB2359" s="279"/>
    </row>
    <row r="2360" spans="3:28" ht="14.25" customHeight="1">
      <c r="C2360" s="245"/>
      <c r="D2360" s="245"/>
      <c r="E2360" s="284"/>
      <c r="F2360" s="245"/>
      <c r="G2360" s="249"/>
      <c r="H2360" s="279"/>
      <c r="I2360" s="284"/>
      <c r="J2360" s="245"/>
      <c r="K2360" s="249"/>
      <c r="L2360" s="279"/>
      <c r="M2360" s="284"/>
      <c r="N2360" s="245"/>
      <c r="O2360" s="249"/>
      <c r="P2360" s="279"/>
      <c r="Q2360" s="284"/>
      <c r="R2360" s="245"/>
      <c r="S2360" s="249"/>
      <c r="T2360" s="279"/>
      <c r="U2360" s="284"/>
      <c r="V2360" s="245"/>
      <c r="W2360" s="249"/>
      <c r="X2360" s="279"/>
      <c r="Y2360" s="279"/>
      <c r="Z2360" s="279"/>
      <c r="AA2360" s="279"/>
      <c r="AB2360" s="279"/>
    </row>
    <row r="2361" spans="3:28" ht="14.25" customHeight="1">
      <c r="C2361" s="245"/>
      <c r="D2361" s="245"/>
      <c r="E2361" s="284"/>
      <c r="F2361" s="245"/>
      <c r="G2361" s="249"/>
      <c r="H2361" s="279"/>
      <c r="I2361" s="284"/>
      <c r="J2361" s="245"/>
      <c r="K2361" s="249"/>
      <c r="L2361" s="279"/>
      <c r="M2361" s="284"/>
      <c r="N2361" s="245"/>
      <c r="O2361" s="249"/>
      <c r="P2361" s="279"/>
      <c r="Q2361" s="284"/>
      <c r="R2361" s="245"/>
      <c r="S2361" s="249"/>
      <c r="T2361" s="279"/>
      <c r="U2361" s="284"/>
      <c r="V2361" s="245"/>
      <c r="W2361" s="249"/>
      <c r="X2361" s="279"/>
      <c r="Y2361" s="279"/>
      <c r="Z2361" s="279"/>
      <c r="AA2361" s="279"/>
      <c r="AB2361" s="279"/>
    </row>
    <row r="2362" spans="3:28" ht="14.25" customHeight="1">
      <c r="C2362" s="245"/>
      <c r="D2362" s="245"/>
      <c r="E2362" s="284"/>
      <c r="F2362" s="245"/>
      <c r="G2362" s="249"/>
      <c r="H2362" s="279"/>
      <c r="I2362" s="284"/>
      <c r="J2362" s="245"/>
      <c r="K2362" s="249"/>
      <c r="L2362" s="279"/>
      <c r="M2362" s="284"/>
      <c r="N2362" s="245"/>
      <c r="O2362" s="249"/>
      <c r="P2362" s="279"/>
      <c r="Q2362" s="284"/>
      <c r="R2362" s="245"/>
      <c r="S2362" s="249"/>
      <c r="T2362" s="279"/>
      <c r="U2362" s="284"/>
      <c r="V2362" s="245"/>
      <c r="W2362" s="249"/>
      <c r="X2362" s="279"/>
      <c r="Y2362" s="279"/>
      <c r="Z2362" s="279"/>
      <c r="AA2362" s="279"/>
      <c r="AB2362" s="279"/>
    </row>
    <row r="2363" spans="3:28" ht="14.25" customHeight="1">
      <c r="C2363" s="245"/>
      <c r="D2363" s="245"/>
      <c r="E2363" s="284"/>
      <c r="F2363" s="245"/>
      <c r="G2363" s="249"/>
      <c r="H2363" s="279"/>
      <c r="I2363" s="284"/>
      <c r="J2363" s="245"/>
      <c r="K2363" s="249"/>
      <c r="L2363" s="279"/>
      <c r="M2363" s="284"/>
      <c r="N2363" s="245"/>
      <c r="O2363" s="249"/>
      <c r="P2363" s="279"/>
      <c r="Q2363" s="284"/>
      <c r="R2363" s="245"/>
      <c r="S2363" s="249"/>
      <c r="T2363" s="279"/>
      <c r="U2363" s="284"/>
      <c r="V2363" s="245"/>
      <c r="W2363" s="249"/>
      <c r="X2363" s="279"/>
      <c r="Y2363" s="279"/>
      <c r="Z2363" s="279"/>
      <c r="AA2363" s="279"/>
      <c r="AB2363" s="279"/>
    </row>
    <row r="2364" spans="3:28" ht="14.25" customHeight="1">
      <c r="C2364" s="245"/>
      <c r="D2364" s="245"/>
      <c r="E2364" s="284"/>
      <c r="F2364" s="245"/>
      <c r="G2364" s="249"/>
      <c r="H2364" s="279"/>
      <c r="I2364" s="284"/>
      <c r="J2364" s="245"/>
      <c r="K2364" s="249"/>
      <c r="L2364" s="279"/>
      <c r="M2364" s="284"/>
      <c r="N2364" s="245"/>
      <c r="O2364" s="249"/>
      <c r="P2364" s="279"/>
      <c r="Q2364" s="284"/>
      <c r="R2364" s="245"/>
      <c r="S2364" s="249"/>
      <c r="T2364" s="279"/>
      <c r="U2364" s="284"/>
      <c r="V2364" s="245"/>
      <c r="W2364" s="249"/>
      <c r="X2364" s="279"/>
      <c r="Y2364" s="279"/>
      <c r="Z2364" s="279"/>
      <c r="AA2364" s="279"/>
      <c r="AB2364" s="279"/>
    </row>
    <row r="2365" spans="3:28" ht="14.25" customHeight="1">
      <c r="C2365" s="245"/>
      <c r="D2365" s="245"/>
      <c r="E2365" s="284"/>
      <c r="F2365" s="245"/>
      <c r="G2365" s="249"/>
      <c r="H2365" s="279"/>
      <c r="I2365" s="284"/>
      <c r="J2365" s="245"/>
      <c r="K2365" s="249"/>
      <c r="L2365" s="279"/>
      <c r="M2365" s="284"/>
      <c r="N2365" s="245"/>
      <c r="O2365" s="249"/>
      <c r="P2365" s="279"/>
      <c r="Q2365" s="284"/>
      <c r="R2365" s="245"/>
      <c r="S2365" s="249"/>
      <c r="T2365" s="279"/>
      <c r="U2365" s="284"/>
      <c r="V2365" s="245"/>
      <c r="W2365" s="249"/>
      <c r="X2365" s="279"/>
      <c r="Y2365" s="279"/>
      <c r="Z2365" s="279"/>
      <c r="AA2365" s="279"/>
      <c r="AB2365" s="279"/>
    </row>
    <row r="2366" spans="3:28" ht="14.25" customHeight="1">
      <c r="C2366" s="245"/>
      <c r="D2366" s="245"/>
      <c r="E2366" s="284"/>
      <c r="F2366" s="245"/>
      <c r="G2366" s="249"/>
      <c r="H2366" s="279"/>
      <c r="I2366" s="284"/>
      <c r="J2366" s="245"/>
      <c r="K2366" s="249"/>
      <c r="L2366" s="279"/>
      <c r="M2366" s="284"/>
      <c r="N2366" s="245"/>
      <c r="O2366" s="249"/>
      <c r="P2366" s="279"/>
      <c r="Q2366" s="284"/>
      <c r="R2366" s="245"/>
      <c r="S2366" s="249"/>
      <c r="T2366" s="279"/>
      <c r="U2366" s="284"/>
      <c r="V2366" s="245"/>
      <c r="W2366" s="249"/>
      <c r="X2366" s="279"/>
      <c r="Y2366" s="279"/>
      <c r="Z2366" s="279"/>
      <c r="AA2366" s="279"/>
      <c r="AB2366" s="279"/>
    </row>
    <row r="2367" spans="3:28" ht="14.25" customHeight="1">
      <c r="C2367" s="245"/>
      <c r="D2367" s="245"/>
      <c r="E2367" s="284"/>
      <c r="F2367" s="245"/>
      <c r="G2367" s="249"/>
      <c r="H2367" s="279"/>
      <c r="I2367" s="284"/>
      <c r="J2367" s="245"/>
      <c r="K2367" s="249"/>
      <c r="L2367" s="279"/>
      <c r="M2367" s="284"/>
      <c r="N2367" s="245"/>
      <c r="O2367" s="249"/>
      <c r="P2367" s="279"/>
      <c r="Q2367" s="284"/>
      <c r="R2367" s="245"/>
      <c r="S2367" s="249"/>
      <c r="T2367" s="279"/>
      <c r="U2367" s="284"/>
      <c r="V2367" s="245"/>
      <c r="W2367" s="249"/>
      <c r="X2367" s="279"/>
      <c r="Y2367" s="279"/>
      <c r="Z2367" s="279"/>
      <c r="AA2367" s="279"/>
      <c r="AB2367" s="279"/>
    </row>
    <row r="2368" spans="3:28" ht="14.25" customHeight="1">
      <c r="C2368" s="245"/>
      <c r="D2368" s="245"/>
      <c r="E2368" s="284"/>
      <c r="F2368" s="245"/>
      <c r="G2368" s="249"/>
      <c r="H2368" s="279"/>
      <c r="I2368" s="284"/>
      <c r="J2368" s="245"/>
      <c r="K2368" s="249"/>
      <c r="L2368" s="279"/>
      <c r="M2368" s="284"/>
      <c r="N2368" s="245"/>
      <c r="O2368" s="249"/>
      <c r="P2368" s="279"/>
      <c r="Q2368" s="284"/>
      <c r="R2368" s="245"/>
      <c r="S2368" s="249"/>
      <c r="T2368" s="279"/>
      <c r="U2368" s="284"/>
      <c r="V2368" s="245"/>
      <c r="W2368" s="249"/>
      <c r="X2368" s="279"/>
      <c r="Y2368" s="279"/>
      <c r="Z2368" s="279"/>
      <c r="AA2368" s="279"/>
      <c r="AB2368" s="279"/>
    </row>
    <row r="2369" spans="3:28" ht="14.25" customHeight="1">
      <c r="C2369" s="245"/>
      <c r="D2369" s="245"/>
      <c r="E2369" s="284"/>
      <c r="F2369" s="245"/>
      <c r="G2369" s="249"/>
      <c r="H2369" s="279"/>
      <c r="I2369" s="284"/>
      <c r="J2369" s="245"/>
      <c r="K2369" s="249"/>
      <c r="L2369" s="279"/>
      <c r="M2369" s="284"/>
      <c r="N2369" s="245"/>
      <c r="O2369" s="249"/>
      <c r="P2369" s="279"/>
      <c r="Q2369" s="284"/>
      <c r="R2369" s="245"/>
      <c r="S2369" s="249"/>
      <c r="T2369" s="279"/>
      <c r="U2369" s="284"/>
      <c r="V2369" s="245"/>
      <c r="W2369" s="249"/>
      <c r="X2369" s="279"/>
      <c r="Y2369" s="279"/>
      <c r="Z2369" s="279"/>
      <c r="AA2369" s="279"/>
      <c r="AB2369" s="279"/>
    </row>
    <row r="2370" spans="3:28" ht="14.25" customHeight="1">
      <c r="C2370" s="245"/>
      <c r="D2370" s="245"/>
      <c r="E2370" s="284"/>
      <c r="F2370" s="245"/>
      <c r="G2370" s="249"/>
      <c r="H2370" s="279"/>
      <c r="I2370" s="284"/>
      <c r="J2370" s="245"/>
      <c r="K2370" s="249"/>
      <c r="L2370" s="279"/>
      <c r="M2370" s="284"/>
      <c r="N2370" s="245"/>
      <c r="O2370" s="249"/>
      <c r="P2370" s="279"/>
      <c r="Q2370" s="284"/>
      <c r="R2370" s="245"/>
      <c r="S2370" s="249"/>
      <c r="T2370" s="279"/>
      <c r="U2370" s="284"/>
      <c r="V2370" s="245"/>
      <c r="W2370" s="249"/>
      <c r="X2370" s="279"/>
      <c r="Y2370" s="279"/>
      <c r="Z2370" s="279"/>
      <c r="AA2370" s="279"/>
      <c r="AB2370" s="279"/>
    </row>
    <row r="2371" spans="3:28" ht="14.25" customHeight="1">
      <c r="C2371" s="245"/>
      <c r="D2371" s="245"/>
      <c r="E2371" s="284"/>
      <c r="F2371" s="245"/>
      <c r="G2371" s="249"/>
      <c r="H2371" s="279"/>
      <c r="I2371" s="284"/>
      <c r="J2371" s="245"/>
      <c r="K2371" s="249"/>
      <c r="L2371" s="279"/>
      <c r="M2371" s="284"/>
      <c r="N2371" s="245"/>
      <c r="O2371" s="249"/>
      <c r="P2371" s="279"/>
      <c r="Q2371" s="284"/>
      <c r="R2371" s="245"/>
      <c r="S2371" s="249"/>
      <c r="T2371" s="279"/>
      <c r="U2371" s="284"/>
      <c r="V2371" s="245"/>
      <c r="W2371" s="249"/>
      <c r="X2371" s="279"/>
      <c r="Y2371" s="279"/>
      <c r="Z2371" s="279"/>
      <c r="AA2371" s="279"/>
      <c r="AB2371" s="279"/>
    </row>
    <row r="2372" spans="3:28" ht="14.25" customHeight="1">
      <c r="C2372" s="245"/>
      <c r="D2372" s="245"/>
      <c r="E2372" s="284"/>
      <c r="F2372" s="245"/>
      <c r="G2372" s="249"/>
      <c r="H2372" s="279"/>
      <c r="I2372" s="284"/>
      <c r="J2372" s="245"/>
      <c r="K2372" s="249"/>
      <c r="L2372" s="279"/>
      <c r="M2372" s="284"/>
      <c r="N2372" s="245"/>
      <c r="O2372" s="249"/>
      <c r="P2372" s="279"/>
      <c r="Q2372" s="284"/>
      <c r="R2372" s="245"/>
      <c r="S2372" s="249"/>
      <c r="T2372" s="279"/>
      <c r="U2372" s="284"/>
      <c r="V2372" s="245"/>
      <c r="W2372" s="249"/>
      <c r="X2372" s="279"/>
      <c r="Y2372" s="279"/>
      <c r="Z2372" s="279"/>
      <c r="AA2372" s="279"/>
      <c r="AB2372" s="279"/>
    </row>
    <row r="2373" spans="3:28" ht="14.25" customHeight="1">
      <c r="C2373" s="245"/>
      <c r="D2373" s="245"/>
      <c r="E2373" s="284"/>
      <c r="F2373" s="245"/>
      <c r="G2373" s="249"/>
      <c r="H2373" s="279"/>
      <c r="I2373" s="284"/>
      <c r="J2373" s="245"/>
      <c r="K2373" s="249"/>
      <c r="L2373" s="279"/>
      <c r="M2373" s="284"/>
      <c r="N2373" s="245"/>
      <c r="O2373" s="249"/>
      <c r="P2373" s="279"/>
      <c r="Q2373" s="284"/>
      <c r="R2373" s="245"/>
      <c r="S2373" s="249"/>
      <c r="T2373" s="279"/>
      <c r="U2373" s="284"/>
      <c r="V2373" s="245"/>
      <c r="W2373" s="249"/>
      <c r="X2373" s="279"/>
      <c r="Y2373" s="279"/>
      <c r="Z2373" s="279"/>
      <c r="AA2373" s="279"/>
      <c r="AB2373" s="279"/>
    </row>
    <row r="2374" spans="3:28" ht="14.25" customHeight="1">
      <c r="C2374" s="245"/>
      <c r="D2374" s="245"/>
      <c r="E2374" s="284"/>
      <c r="F2374" s="245"/>
      <c r="G2374" s="249"/>
      <c r="H2374" s="279"/>
      <c r="I2374" s="284"/>
      <c r="J2374" s="245"/>
      <c r="K2374" s="249"/>
      <c r="L2374" s="279"/>
      <c r="M2374" s="284"/>
      <c r="N2374" s="245"/>
      <c r="O2374" s="249"/>
      <c r="P2374" s="279"/>
      <c r="Q2374" s="284"/>
      <c r="R2374" s="245"/>
      <c r="S2374" s="249"/>
      <c r="T2374" s="279"/>
      <c r="U2374" s="284"/>
      <c r="V2374" s="245"/>
      <c r="W2374" s="249"/>
      <c r="X2374" s="279"/>
      <c r="Y2374" s="279"/>
      <c r="Z2374" s="279"/>
      <c r="AA2374" s="279"/>
      <c r="AB2374" s="279"/>
    </row>
    <row r="2375" spans="3:28" ht="14.25" customHeight="1">
      <c r="C2375" s="245"/>
      <c r="D2375" s="245"/>
      <c r="E2375" s="284"/>
      <c r="F2375" s="245"/>
      <c r="G2375" s="249"/>
      <c r="H2375" s="279"/>
      <c r="I2375" s="284"/>
      <c r="J2375" s="245"/>
      <c r="K2375" s="249"/>
      <c r="L2375" s="279"/>
      <c r="M2375" s="284"/>
      <c r="N2375" s="245"/>
      <c r="O2375" s="249"/>
      <c r="P2375" s="279"/>
      <c r="Q2375" s="284"/>
      <c r="R2375" s="245"/>
      <c r="S2375" s="249"/>
      <c r="T2375" s="279"/>
      <c r="U2375" s="284"/>
      <c r="V2375" s="245"/>
      <c r="W2375" s="249"/>
      <c r="X2375" s="279"/>
      <c r="Y2375" s="279"/>
      <c r="Z2375" s="279"/>
      <c r="AA2375" s="279"/>
      <c r="AB2375" s="279"/>
    </row>
    <row r="2376" spans="3:28" ht="14.25" customHeight="1">
      <c r="C2376" s="245"/>
      <c r="D2376" s="245"/>
      <c r="E2376" s="284"/>
      <c r="F2376" s="245"/>
      <c r="G2376" s="249"/>
      <c r="H2376" s="279"/>
      <c r="I2376" s="284"/>
      <c r="J2376" s="245"/>
      <c r="K2376" s="249"/>
      <c r="L2376" s="279"/>
      <c r="M2376" s="284"/>
      <c r="N2376" s="245"/>
      <c r="O2376" s="249"/>
      <c r="P2376" s="279"/>
      <c r="Q2376" s="284"/>
      <c r="R2376" s="245"/>
      <c r="S2376" s="249"/>
      <c r="T2376" s="279"/>
      <c r="U2376" s="284"/>
      <c r="V2376" s="245"/>
      <c r="W2376" s="249"/>
      <c r="X2376" s="279"/>
      <c r="Y2376" s="279"/>
      <c r="Z2376" s="279"/>
      <c r="AA2376" s="279"/>
      <c r="AB2376" s="279"/>
    </row>
    <row r="2377" spans="3:28" ht="14.25" customHeight="1">
      <c r="C2377" s="245"/>
      <c r="D2377" s="245"/>
      <c r="E2377" s="284"/>
      <c r="F2377" s="245"/>
      <c r="G2377" s="249"/>
      <c r="H2377" s="279"/>
      <c r="I2377" s="284"/>
      <c r="J2377" s="245"/>
      <c r="K2377" s="249"/>
      <c r="L2377" s="279"/>
      <c r="M2377" s="249"/>
      <c r="N2377" s="207"/>
      <c r="O2377" s="249"/>
      <c r="P2377" s="279"/>
      <c r="Q2377" s="249"/>
      <c r="R2377" s="207"/>
      <c r="S2377" s="249"/>
      <c r="T2377" s="279"/>
      <c r="U2377" s="57"/>
      <c r="V2377" s="57"/>
      <c r="W2377" s="249"/>
      <c r="X2377" s="279"/>
      <c r="Y2377" s="279"/>
      <c r="Z2377" s="279"/>
      <c r="AA2377" s="279"/>
      <c r="AB2377" s="279"/>
    </row>
    <row r="2378" spans="3:28" ht="14.25" customHeight="1">
      <c r="C2378" s="245"/>
      <c r="D2378" s="245"/>
      <c r="E2378" s="249"/>
      <c r="F2378" s="207"/>
      <c r="G2378" s="249"/>
      <c r="H2378" s="279"/>
      <c r="I2378" s="249"/>
      <c r="J2378" s="207"/>
      <c r="K2378" s="249"/>
      <c r="L2378" s="279"/>
      <c r="M2378" s="249"/>
      <c r="N2378" s="207"/>
      <c r="O2378" s="249"/>
      <c r="P2378" s="279"/>
      <c r="Q2378" s="249"/>
      <c r="R2378" s="207"/>
      <c r="S2378" s="249"/>
      <c r="T2378" s="279"/>
      <c r="U2378" s="249"/>
      <c r="V2378" s="57"/>
      <c r="W2378" s="249"/>
      <c r="X2378" s="279"/>
      <c r="Y2378" s="279"/>
      <c r="Z2378" s="279"/>
      <c r="AA2378" s="279"/>
      <c r="AB2378" s="279"/>
    </row>
    <row r="2379" spans="3:28" ht="14.25" customHeight="1">
      <c r="C2379" s="245"/>
      <c r="D2379" s="245"/>
      <c r="E2379" s="249"/>
      <c r="F2379" s="207"/>
      <c r="G2379" s="249"/>
      <c r="H2379" s="279"/>
      <c r="I2379" s="249"/>
      <c r="J2379" s="207"/>
      <c r="K2379" s="249"/>
      <c r="L2379" s="279"/>
      <c r="M2379" s="249"/>
      <c r="N2379" s="251"/>
      <c r="O2379" s="249"/>
      <c r="P2379" s="279"/>
      <c r="Q2379" s="249"/>
      <c r="R2379" s="251"/>
      <c r="S2379" s="249"/>
      <c r="T2379" s="279"/>
      <c r="U2379" s="249"/>
      <c r="V2379" s="57"/>
      <c r="W2379" s="249"/>
      <c r="X2379" s="279"/>
      <c r="Y2379" s="279"/>
      <c r="Z2379" s="279"/>
      <c r="AA2379" s="279"/>
      <c r="AB2379" s="279"/>
    </row>
    <row r="2380" spans="3:28" ht="14.25" customHeight="1">
      <c r="C2380" s="245"/>
      <c r="D2380" s="245"/>
      <c r="E2380" s="249"/>
      <c r="F2380" s="245"/>
      <c r="G2380" s="249"/>
      <c r="H2380" s="279"/>
      <c r="I2380" s="249"/>
      <c r="J2380" s="245"/>
      <c r="K2380" s="249"/>
      <c r="L2380" s="279"/>
      <c r="M2380" s="252"/>
      <c r="N2380" s="251"/>
      <c r="O2380" s="249"/>
      <c r="P2380" s="279"/>
      <c r="Q2380" s="252"/>
      <c r="R2380" s="251"/>
      <c r="S2380" s="249"/>
      <c r="T2380" s="279"/>
      <c r="U2380" s="57"/>
      <c r="V2380" s="57"/>
      <c r="W2380" s="249"/>
      <c r="X2380" s="279"/>
      <c r="Y2380" s="279"/>
      <c r="Z2380" s="279"/>
      <c r="AA2380" s="279"/>
      <c r="AB2380" s="279"/>
    </row>
    <row r="2381" spans="3:28" ht="14.25" customHeight="1">
      <c r="C2381" s="245"/>
      <c r="D2381" s="245"/>
      <c r="E2381" s="249"/>
      <c r="F2381" s="245"/>
      <c r="G2381" s="249"/>
      <c r="H2381" s="279"/>
      <c r="I2381" s="248"/>
      <c r="J2381" s="245"/>
      <c r="K2381" s="249"/>
      <c r="L2381" s="279"/>
      <c r="M2381" s="252"/>
      <c r="N2381" s="251"/>
      <c r="O2381" s="249"/>
      <c r="P2381" s="279"/>
      <c r="Q2381" s="252"/>
      <c r="R2381" s="251"/>
      <c r="S2381" s="249"/>
      <c r="T2381" s="279"/>
      <c r="U2381" s="57"/>
      <c r="V2381" s="57"/>
      <c r="W2381" s="249"/>
      <c r="X2381" s="279"/>
      <c r="Y2381" s="279"/>
      <c r="Z2381" s="279"/>
      <c r="AA2381" s="279"/>
      <c r="AB2381" s="279"/>
    </row>
    <row r="2382" spans="3:28" ht="14.25" customHeight="1">
      <c r="C2382" s="245"/>
      <c r="D2382" s="245"/>
      <c r="E2382" s="249"/>
      <c r="F2382" s="245"/>
      <c r="G2382" s="249"/>
      <c r="H2382" s="279"/>
      <c r="I2382" s="248"/>
      <c r="J2382" s="245"/>
      <c r="K2382" s="249"/>
      <c r="L2382" s="279"/>
      <c r="M2382" s="252"/>
      <c r="N2382" s="251"/>
      <c r="O2382" s="249"/>
      <c r="P2382" s="279"/>
      <c r="Q2382" s="252"/>
      <c r="R2382" s="251"/>
      <c r="S2382" s="249"/>
      <c r="T2382" s="279"/>
      <c r="U2382" s="57"/>
      <c r="V2382" s="57"/>
      <c r="W2382" s="249"/>
      <c r="X2382" s="279"/>
      <c r="Y2382" s="279"/>
      <c r="Z2382" s="279"/>
      <c r="AA2382" s="279"/>
      <c r="AB2382" s="279"/>
    </row>
    <row r="2383" spans="3:28" ht="14.25" customHeight="1">
      <c r="C2383" s="245"/>
      <c r="D2383" s="245"/>
      <c r="E2383" s="249"/>
      <c r="F2383" s="245"/>
      <c r="G2383" s="249"/>
      <c r="H2383" s="279"/>
      <c r="I2383" s="248"/>
      <c r="J2383" s="245"/>
      <c r="K2383" s="249"/>
      <c r="L2383" s="250"/>
      <c r="M2383" s="252"/>
      <c r="N2383" s="251"/>
      <c r="O2383" s="249"/>
      <c r="P2383" s="250"/>
      <c r="Q2383" s="252"/>
      <c r="R2383" s="251"/>
      <c r="S2383" s="249"/>
      <c r="T2383" s="251"/>
      <c r="U2383" s="57"/>
      <c r="V2383" s="57"/>
      <c r="W2383" s="249"/>
    </row>
    <row r="2384" spans="3:28" ht="14.25" customHeight="1">
      <c r="C2384" s="245"/>
      <c r="D2384" s="245"/>
      <c r="E2384" s="58"/>
      <c r="F2384" s="58"/>
      <c r="G2384" s="58"/>
      <c r="H2384" s="58"/>
      <c r="I2384" s="58"/>
      <c r="J2384" s="58"/>
      <c r="K2384" s="58"/>
      <c r="L2384" s="58"/>
      <c r="M2384" s="58"/>
      <c r="N2384" s="58"/>
      <c r="O2384" s="58"/>
      <c r="P2384" s="58"/>
      <c r="Q2384" s="58"/>
      <c r="R2384" s="58"/>
      <c r="S2384" s="58"/>
      <c r="T2384" s="58"/>
      <c r="U2384" s="58"/>
      <c r="V2384" s="58">
        <f t="shared" ref="V2384" si="349">V2393/100*40</f>
        <v>2520</v>
      </c>
      <c r="W2384" s="249"/>
    </row>
    <row r="2385" spans="1:49" s="8" customFormat="1">
      <c r="B2385" s="517" t="str">
        <f>TITLE!$C$46</f>
        <v>Дверна коробка Verto-FIT Plus</v>
      </c>
      <c r="C2385" s="517"/>
      <c r="D2385" s="118"/>
      <c r="E2385" s="519" t="str">
        <f>IF($C$1="ENG","For Door Leafs with Rebbit","Для Дверних Полотен з Фальцем")</f>
        <v>Для Дверних Полотен з Фальцем</v>
      </c>
      <c r="F2385" s="519"/>
      <c r="G2385" s="519"/>
      <c r="H2385" s="519"/>
      <c r="I2385" s="519"/>
      <c r="J2385" s="519"/>
      <c r="K2385" s="519"/>
      <c r="L2385" s="520"/>
      <c r="M2385" s="520"/>
      <c r="N2385" s="520"/>
      <c r="O2385" s="520"/>
      <c r="P2385" s="520"/>
      <c r="Q2385" s="520"/>
      <c r="R2385" s="520"/>
      <c r="S2385" s="520"/>
      <c r="T2385" s="521" t="str">
        <f>IF($C$1="ENG",CONCATENATE("up to: ",B2313),CONCATENATE("вгору до: ",B2313))</f>
        <v>вгору до: Дверна коробка Verto-FIT</v>
      </c>
      <c r="U2385" s="521"/>
      <c r="V2385" s="521"/>
      <c r="W2385" s="521"/>
      <c r="AC2385" s="1"/>
      <c r="AD2385" s="1"/>
      <c r="AE2385" s="1"/>
      <c r="AF2385" s="1"/>
      <c r="AG2385" s="1"/>
      <c r="AH2385" s="1"/>
      <c r="AI2385" s="1"/>
      <c r="AJ2385" s="1"/>
      <c r="AK2385" s="1"/>
      <c r="AL2385" s="1"/>
      <c r="AN2385" s="280"/>
      <c r="AO2385" s="280"/>
      <c r="AP2385" s="280"/>
      <c r="AQ2385" s="280"/>
      <c r="AR2385" s="280"/>
      <c r="AS2385" s="280"/>
      <c r="AT2385" s="280"/>
    </row>
    <row r="2386" spans="1:49" s="8" customFormat="1" ht="5.0999999999999996" customHeight="1">
      <c r="C2386" s="423"/>
      <c r="T2386" s="116"/>
      <c r="U2386" s="116"/>
      <c r="V2386" s="116"/>
      <c r="W2386" s="116"/>
      <c r="AN2386" s="280"/>
      <c r="AO2386" s="280"/>
      <c r="AP2386" s="280"/>
      <c r="AQ2386" s="280"/>
      <c r="AR2386" s="280"/>
      <c r="AS2386" s="280"/>
      <c r="AT2386" s="280"/>
    </row>
    <row r="2387" spans="1:49" ht="12.75" customHeight="1">
      <c r="A2387" s="8"/>
      <c r="B2387" s="307" t="str">
        <f>IF($C$1="ENG","model","модель")</f>
        <v>модель</v>
      </c>
      <c r="C2387" s="122" t="str">
        <f>IF($C$1="ENG","cover:","покриття:")</f>
        <v>покриття:</v>
      </c>
      <c r="D2387" s="522" t="str">
        <f>IF($C$1="ENG","SIMPLEX / VERTO-CELL","SIMPLEX / VERTO-CELL")</f>
        <v>SIMPLEX / VERTO-CELL</v>
      </c>
      <c r="E2387" s="523"/>
      <c r="F2387" s="523"/>
      <c r="G2387" s="524"/>
      <c r="H2387" s="522" t="str">
        <f>IF($C$1="ENG","UNI-MAT","UNI-MAT")</f>
        <v>UNI-MAT</v>
      </c>
      <c r="I2387" s="523"/>
      <c r="J2387" s="523"/>
      <c r="K2387" s="524"/>
      <c r="L2387" s="522" t="str">
        <f>IF($C$1="ENG","RESIST","RESIST")</f>
        <v>RESIST</v>
      </c>
      <c r="M2387" s="523"/>
      <c r="N2387" s="523"/>
      <c r="O2387" s="524"/>
      <c r="P2387" s="522" t="str">
        <f>IF($C$1="ENG","Verto LINE-3D","Verto LINE-3D")</f>
        <v>Verto LINE-3D</v>
      </c>
      <c r="Q2387" s="523"/>
      <c r="R2387" s="523"/>
      <c r="S2387" s="524"/>
      <c r="T2387" s="522" t="str">
        <f>IF($C$1="ENG","ECO Shpon / LOFT","ЕКО Шпон / LOFT")</f>
        <v>ЕКО Шпон / LOFT</v>
      </c>
      <c r="U2387" s="523"/>
      <c r="V2387" s="523"/>
      <c r="W2387" s="524"/>
      <c r="AO2387" s="383"/>
    </row>
    <row r="2388" spans="1:49" ht="12.75" customHeight="1">
      <c r="A2388" s="8"/>
      <c r="B2388" s="309"/>
      <c r="C2388" s="124" t="str">
        <f>IF($C$1="ENG","type:","виконання:")</f>
        <v>виконання:</v>
      </c>
      <c r="D2388" s="513" t="str">
        <f>IF($C$1="ENG","single leaf","одностулкове")</f>
        <v>одностулкове</v>
      </c>
      <c r="E2388" s="514"/>
      <c r="F2388" s="545" t="str">
        <f>IF($C$1="ENG","double leaf","двостулкові")</f>
        <v>двостулкові</v>
      </c>
      <c r="G2388" s="516"/>
      <c r="H2388" s="513" t="str">
        <f>IF($C$1="ENG","single leaf","одностулкове")</f>
        <v>одностулкове</v>
      </c>
      <c r="I2388" s="514"/>
      <c r="J2388" s="545" t="str">
        <f>IF($C$1="ENG","double leaf","двостулкові")</f>
        <v>двостулкові</v>
      </c>
      <c r="K2388" s="516"/>
      <c r="L2388" s="513" t="str">
        <f>IF($C$1="ENG","single leaf","одностулкове")</f>
        <v>одностулкове</v>
      </c>
      <c r="M2388" s="514"/>
      <c r="N2388" s="515" t="str">
        <f>IF($C$1="ENG","double leaf","двостулкові")</f>
        <v>двостулкові</v>
      </c>
      <c r="O2388" s="516"/>
      <c r="P2388" s="513" t="str">
        <f>IF($C$1="ENG","single leaf","одностулкове")</f>
        <v>одностулкове</v>
      </c>
      <c r="Q2388" s="514"/>
      <c r="R2388" s="515" t="str">
        <f>IF($C$1="ENG","double leaf","двостулкові")</f>
        <v>двостулкові</v>
      </c>
      <c r="S2388" s="516"/>
      <c r="T2388" s="513" t="str">
        <f>IF($C$1="ENG","single leaf","одностулкове")</f>
        <v>одностулкове</v>
      </c>
      <c r="U2388" s="514"/>
      <c r="V2388" s="515" t="str">
        <f>IF($C$1="ENG","double leaf","двостулкові")</f>
        <v>двостулкові</v>
      </c>
      <c r="W2388" s="516"/>
    </row>
    <row r="2389" spans="1:49" ht="12.75" customHeight="1">
      <c r="A2389" s="8"/>
      <c r="B2389" s="13" t="str">
        <f>IF($C$1="ENG","A (75 - 95 mm)","A (75 - 95 мм)")</f>
        <v>A (75 - 95 мм)</v>
      </c>
      <c r="C2389" s="425"/>
      <c r="D2389" s="15">
        <f t="shared" ref="D2389:D2398" si="350">IF(AC2389="","",(1-$W$2)*(AC2389/1.2))</f>
        <v>2766.666666666667</v>
      </c>
      <c r="E2389" s="267">
        <f t="shared" ref="E2389:E2398" si="351">IF($W$5=0.2,D2389*1.2,D2389)/$W$4</f>
        <v>3320.0000000000005</v>
      </c>
      <c r="F2389" s="270">
        <f t="shared" ref="F2389:F2398" si="352">IF(AD2389="","",(1-$W$2)*(AD2389/1.2))</f>
        <v>3883.3333333333335</v>
      </c>
      <c r="G2389" s="64">
        <f t="shared" ref="G2389:G2398" si="353">IF($W$5=0.2,F2389*1.2,F2389)/$W$4</f>
        <v>4660</v>
      </c>
      <c r="H2389" s="15">
        <f t="shared" ref="H2389:H2398" si="354">IF(AE2389="","",(1-$W$2)*(AE2389/1.2))</f>
        <v>3183.3333333333335</v>
      </c>
      <c r="I2389" s="267">
        <f t="shared" ref="I2389:I2398" si="355">IF($W$5=0.2,H2389*1.2,H2389)/$W$4</f>
        <v>3820</v>
      </c>
      <c r="J2389" s="270">
        <f t="shared" ref="J2389:J2398" si="356">IF(AF2389="","",(1-$W$2)*(AF2389/1.2))</f>
        <v>4458.3333333333339</v>
      </c>
      <c r="K2389" s="64">
        <f t="shared" ref="K2389:K2398" si="357">IF($W$5=0.2,J2389*1.2,J2389)/$W$4</f>
        <v>5350.0000000000009</v>
      </c>
      <c r="L2389" s="15">
        <f t="shared" ref="L2389:L2398" si="358">IF(AG2389="","",(1-$W$2)*(AG2389/1.2))</f>
        <v>3383.3333333333335</v>
      </c>
      <c r="M2389" s="267">
        <f t="shared" ref="M2389:M2398" si="359">IF($W$5=0.2,L2389*1.2,L2389)/$W$4</f>
        <v>4060</v>
      </c>
      <c r="N2389" s="270">
        <f t="shared" ref="N2389:N2398" si="360">IF(AH2389="","",(1-$W$2)*(AH2389/1.2))</f>
        <v>4741.666666666667</v>
      </c>
      <c r="O2389" s="64">
        <f t="shared" ref="O2389:O2398" si="361">IF($W$5=0.2,N2389*1.2,N2389)/$W$4</f>
        <v>5690</v>
      </c>
      <c r="P2389" s="15">
        <f t="shared" ref="P2389:P2398" si="362">IF(AI2389="","",(1-$W$2)*(AI2389/1.2))</f>
        <v>3616.666666666667</v>
      </c>
      <c r="Q2389" s="267">
        <f t="shared" ref="Q2389:Q2398" si="363">IF($W$5=0.2,P2389*1.2,P2389)/$W$4</f>
        <v>4340</v>
      </c>
      <c r="R2389" s="270">
        <f t="shared" ref="R2389:R2398" si="364">IF(AJ2389="","",(1-$W$2)*(AJ2389/1.2))</f>
        <v>5066.666666666667</v>
      </c>
      <c r="S2389" s="64">
        <f t="shared" ref="S2389:S2398" si="365">IF($W$5=0.2,R2389*1.2,R2389)/$W$4</f>
        <v>6080</v>
      </c>
      <c r="T2389" s="15">
        <f t="shared" ref="T2389:T2398" si="366">IF(AK2389="","",(1-$W$2)*(AK2389/1.2))</f>
        <v>3883.3333333333335</v>
      </c>
      <c r="U2389" s="267">
        <f t="shared" ref="U2389:U2398" si="367">IF($W$5=0.2,T2389*1.2,T2389)/$W$4</f>
        <v>4660</v>
      </c>
      <c r="V2389" s="270">
        <f t="shared" ref="V2389:V2398" si="368">IF(AL2389="","",(1-$W$2)*(AL2389/1.2))</f>
        <v>5433.3333333333339</v>
      </c>
      <c r="W2389" s="64">
        <f t="shared" ref="W2389:W2398" si="369">IF($W$5=0.2,V2389*1.2,V2389)/$W$4</f>
        <v>6520.0000000000009</v>
      </c>
      <c r="X2389" s="22"/>
      <c r="Y2389" s="22"/>
      <c r="Z2389" s="22"/>
      <c r="AA2389" s="22"/>
      <c r="AB2389" s="22"/>
      <c r="AC2389" s="332">
        <v>3320</v>
      </c>
      <c r="AD2389" s="332">
        <v>4660</v>
      </c>
      <c r="AE2389" s="332">
        <v>3820</v>
      </c>
      <c r="AF2389" s="332">
        <v>5350</v>
      </c>
      <c r="AG2389" s="332">
        <v>4060</v>
      </c>
      <c r="AH2389" s="332">
        <v>5690</v>
      </c>
      <c r="AI2389" s="332">
        <v>4340</v>
      </c>
      <c r="AJ2389" s="332">
        <v>6080</v>
      </c>
      <c r="AK2389" s="332">
        <v>4660</v>
      </c>
      <c r="AL2389" s="332">
        <v>6520</v>
      </c>
      <c r="AM2389" s="334">
        <v>3320</v>
      </c>
      <c r="AN2389" s="310">
        <f>AM2389/AC2389-1</f>
        <v>0</v>
      </c>
      <c r="AO2389" s="334">
        <v>4660</v>
      </c>
      <c r="AP2389" s="398">
        <f>AO2389/AD2389-1</f>
        <v>0</v>
      </c>
      <c r="AQ2389" s="334">
        <v>3820</v>
      </c>
      <c r="AR2389" s="334">
        <f>AQ2389/AE2389-1</f>
        <v>0</v>
      </c>
      <c r="AS2389" s="334">
        <v>5350</v>
      </c>
      <c r="AT2389" s="334">
        <f>AS2389/AF2389-1</f>
        <v>0</v>
      </c>
      <c r="AU2389" s="334">
        <v>4060</v>
      </c>
      <c r="AV2389" s="334">
        <f>AU2389/AG2389-1</f>
        <v>0</v>
      </c>
      <c r="AW2389" s="334">
        <v>5690</v>
      </c>
    </row>
    <row r="2390" spans="1:49">
      <c r="A2390" s="8"/>
      <c r="B2390" s="16" t="str">
        <f>IF($C$1="ENG","B (95 - 115 mm)","B (95 - 115 мм)")</f>
        <v>B (95 - 115 мм)</v>
      </c>
      <c r="C2390" s="431"/>
      <c r="D2390" s="18">
        <f t="shared" si="350"/>
        <v>2916.666666666667</v>
      </c>
      <c r="E2390" s="268">
        <f t="shared" si="351"/>
        <v>3500.0000000000005</v>
      </c>
      <c r="F2390" s="271">
        <f t="shared" si="352"/>
        <v>4083.3333333333335</v>
      </c>
      <c r="G2390" s="66">
        <f t="shared" si="353"/>
        <v>4900</v>
      </c>
      <c r="H2390" s="18">
        <f t="shared" si="354"/>
        <v>3366.666666666667</v>
      </c>
      <c r="I2390" s="268">
        <f t="shared" si="355"/>
        <v>4040</v>
      </c>
      <c r="J2390" s="271">
        <f t="shared" si="356"/>
        <v>4708.3333333333339</v>
      </c>
      <c r="K2390" s="66">
        <f t="shared" si="357"/>
        <v>5650.0000000000009</v>
      </c>
      <c r="L2390" s="18">
        <f t="shared" si="358"/>
        <v>3558.3333333333335</v>
      </c>
      <c r="M2390" s="268">
        <f t="shared" si="359"/>
        <v>4270</v>
      </c>
      <c r="N2390" s="271">
        <f t="shared" si="360"/>
        <v>4983.3333333333339</v>
      </c>
      <c r="O2390" s="66">
        <f t="shared" si="361"/>
        <v>5980.0000000000009</v>
      </c>
      <c r="P2390" s="18">
        <f t="shared" si="362"/>
        <v>3816.666666666667</v>
      </c>
      <c r="Q2390" s="268">
        <f t="shared" si="363"/>
        <v>4580</v>
      </c>
      <c r="R2390" s="271">
        <f t="shared" si="364"/>
        <v>5341.666666666667</v>
      </c>
      <c r="S2390" s="66">
        <f t="shared" si="365"/>
        <v>6410</v>
      </c>
      <c r="T2390" s="18">
        <f t="shared" si="366"/>
        <v>4075</v>
      </c>
      <c r="U2390" s="268">
        <f t="shared" si="367"/>
        <v>4890</v>
      </c>
      <c r="V2390" s="271">
        <f t="shared" si="368"/>
        <v>5708.3333333333339</v>
      </c>
      <c r="W2390" s="66">
        <f t="shared" si="369"/>
        <v>6850.0000000000009</v>
      </c>
      <c r="X2390" s="22"/>
      <c r="Y2390" s="22"/>
      <c r="Z2390" s="22"/>
      <c r="AA2390" s="22"/>
      <c r="AB2390" s="22"/>
      <c r="AC2390" s="332">
        <v>3500</v>
      </c>
      <c r="AD2390" s="332">
        <v>4900</v>
      </c>
      <c r="AE2390" s="332">
        <v>4040</v>
      </c>
      <c r="AF2390" s="332">
        <v>5650</v>
      </c>
      <c r="AG2390" s="332">
        <v>4270</v>
      </c>
      <c r="AH2390" s="332">
        <v>5980</v>
      </c>
      <c r="AI2390" s="332">
        <v>4580</v>
      </c>
      <c r="AJ2390" s="332">
        <v>6410</v>
      </c>
      <c r="AK2390" s="332">
        <v>4890</v>
      </c>
      <c r="AL2390" s="332">
        <v>6850</v>
      </c>
      <c r="AM2390" s="334">
        <v>3500</v>
      </c>
      <c r="AN2390" s="310">
        <f t="shared" ref="AN2390:AN2398" si="370">AM2390/AC2390-1</f>
        <v>0</v>
      </c>
      <c r="AO2390" s="334">
        <v>4900</v>
      </c>
      <c r="AP2390" s="398">
        <f t="shared" ref="AP2390:AP2398" si="371">AO2390/AD2390-1</f>
        <v>0</v>
      </c>
      <c r="AQ2390" s="334">
        <v>4040</v>
      </c>
      <c r="AR2390" s="334">
        <f t="shared" ref="AR2390:AR2398" si="372">AQ2390/AE2390-1</f>
        <v>0</v>
      </c>
      <c r="AS2390" s="334">
        <v>5650</v>
      </c>
      <c r="AT2390" s="334">
        <f t="shared" ref="AT2390:AT2398" si="373">AS2390/AF2390-1</f>
        <v>0</v>
      </c>
      <c r="AU2390" s="334">
        <v>4270</v>
      </c>
      <c r="AV2390" s="334">
        <f t="shared" ref="AV2390:AV2398" si="374">AU2390/AG2390-1</f>
        <v>0</v>
      </c>
      <c r="AW2390" s="334">
        <v>5980</v>
      </c>
    </row>
    <row r="2391" spans="1:49">
      <c r="A2391" s="8"/>
      <c r="B2391" s="16" t="str">
        <f>IF($C$1="ENG","B+ (100 - 120 mm)","B+ (100 - 120 мм)")</f>
        <v>B+ (100 - 120 мм)</v>
      </c>
      <c r="C2391" s="431"/>
      <c r="D2391" s="18">
        <f t="shared" si="350"/>
        <v>3000</v>
      </c>
      <c r="E2391" s="268">
        <f t="shared" si="351"/>
        <v>3600</v>
      </c>
      <c r="F2391" s="271">
        <f t="shared" si="352"/>
        <v>4208.3333333333339</v>
      </c>
      <c r="G2391" s="66">
        <f t="shared" si="353"/>
        <v>5050.0000000000009</v>
      </c>
      <c r="H2391" s="18">
        <f t="shared" si="354"/>
        <v>3458.3333333333335</v>
      </c>
      <c r="I2391" s="268">
        <f t="shared" si="355"/>
        <v>4150</v>
      </c>
      <c r="J2391" s="271">
        <f t="shared" si="356"/>
        <v>4841.666666666667</v>
      </c>
      <c r="K2391" s="66">
        <f t="shared" si="357"/>
        <v>5810</v>
      </c>
      <c r="L2391" s="18">
        <f t="shared" si="358"/>
        <v>3658.3333333333335</v>
      </c>
      <c r="M2391" s="268">
        <f t="shared" si="359"/>
        <v>4390</v>
      </c>
      <c r="N2391" s="271">
        <f t="shared" si="360"/>
        <v>5116.666666666667</v>
      </c>
      <c r="O2391" s="66">
        <f t="shared" si="361"/>
        <v>6140</v>
      </c>
      <c r="P2391" s="18">
        <f t="shared" si="362"/>
        <v>3900</v>
      </c>
      <c r="Q2391" s="268">
        <f t="shared" si="363"/>
        <v>4680</v>
      </c>
      <c r="R2391" s="271">
        <f t="shared" si="364"/>
        <v>5450</v>
      </c>
      <c r="S2391" s="66">
        <f t="shared" si="365"/>
        <v>6540</v>
      </c>
      <c r="T2391" s="18">
        <f t="shared" si="366"/>
        <v>4183.3333333333339</v>
      </c>
      <c r="U2391" s="268">
        <f t="shared" si="367"/>
        <v>5020.0000000000009</v>
      </c>
      <c r="V2391" s="271">
        <f t="shared" si="368"/>
        <v>5858.3333333333339</v>
      </c>
      <c r="W2391" s="66">
        <f t="shared" si="369"/>
        <v>7030.0000000000009</v>
      </c>
      <c r="X2391" s="22"/>
      <c r="Y2391" s="22"/>
      <c r="Z2391" s="22"/>
      <c r="AA2391" s="22"/>
      <c r="AB2391" s="22"/>
      <c r="AC2391" s="332">
        <v>3600</v>
      </c>
      <c r="AD2391" s="332">
        <v>5050</v>
      </c>
      <c r="AE2391" s="332">
        <v>4150</v>
      </c>
      <c r="AF2391" s="332">
        <v>5810</v>
      </c>
      <c r="AG2391" s="332">
        <v>4390</v>
      </c>
      <c r="AH2391" s="332">
        <v>6140</v>
      </c>
      <c r="AI2391" s="332">
        <v>4680</v>
      </c>
      <c r="AJ2391" s="332">
        <v>6540</v>
      </c>
      <c r="AK2391" s="332">
        <v>5020</v>
      </c>
      <c r="AL2391" s="332">
        <v>7030</v>
      </c>
      <c r="AM2391" s="334">
        <v>3600</v>
      </c>
      <c r="AN2391" s="310">
        <f t="shared" si="370"/>
        <v>0</v>
      </c>
      <c r="AO2391" s="334">
        <v>5050</v>
      </c>
      <c r="AP2391" s="398">
        <f t="shared" si="371"/>
        <v>0</v>
      </c>
      <c r="AQ2391" s="334">
        <v>4150</v>
      </c>
      <c r="AR2391" s="334">
        <f t="shared" si="372"/>
        <v>0</v>
      </c>
      <c r="AS2391" s="334">
        <v>5810</v>
      </c>
      <c r="AT2391" s="334">
        <f t="shared" si="373"/>
        <v>0</v>
      </c>
      <c r="AU2391" s="334">
        <v>4390</v>
      </c>
      <c r="AV2391" s="334">
        <f t="shared" si="374"/>
        <v>0</v>
      </c>
      <c r="AW2391" s="334">
        <v>6140</v>
      </c>
    </row>
    <row r="2392" spans="1:49">
      <c r="A2392" s="8"/>
      <c r="B2392" s="16" t="str">
        <f>IF($C$1="ENG","C (120 - 140 mm)","C (120 - 140 мм)")</f>
        <v>C (120 - 140 мм)</v>
      </c>
      <c r="C2392" s="431"/>
      <c r="D2392" s="18">
        <f t="shared" si="350"/>
        <v>3075</v>
      </c>
      <c r="E2392" s="268">
        <f t="shared" si="351"/>
        <v>3690</v>
      </c>
      <c r="F2392" s="271">
        <f t="shared" si="352"/>
        <v>4291.666666666667</v>
      </c>
      <c r="G2392" s="66">
        <f t="shared" si="353"/>
        <v>5150</v>
      </c>
      <c r="H2392" s="18">
        <f t="shared" si="354"/>
        <v>3533.3333333333335</v>
      </c>
      <c r="I2392" s="268">
        <f t="shared" si="355"/>
        <v>4240</v>
      </c>
      <c r="J2392" s="271">
        <f t="shared" si="356"/>
        <v>4950</v>
      </c>
      <c r="K2392" s="66">
        <f t="shared" si="357"/>
        <v>5940</v>
      </c>
      <c r="L2392" s="18">
        <f t="shared" si="358"/>
        <v>3741.666666666667</v>
      </c>
      <c r="M2392" s="268">
        <f t="shared" si="359"/>
        <v>4490</v>
      </c>
      <c r="N2392" s="271">
        <f t="shared" si="360"/>
        <v>5241.666666666667</v>
      </c>
      <c r="O2392" s="66">
        <f t="shared" si="361"/>
        <v>6290</v>
      </c>
      <c r="P2392" s="18">
        <f t="shared" si="362"/>
        <v>4000</v>
      </c>
      <c r="Q2392" s="268">
        <f t="shared" si="363"/>
        <v>4800</v>
      </c>
      <c r="R2392" s="271">
        <f t="shared" si="364"/>
        <v>5600</v>
      </c>
      <c r="S2392" s="66">
        <f t="shared" si="365"/>
        <v>6720</v>
      </c>
      <c r="T2392" s="18">
        <f t="shared" si="366"/>
        <v>4291.666666666667</v>
      </c>
      <c r="U2392" s="268">
        <f t="shared" si="367"/>
        <v>5150</v>
      </c>
      <c r="V2392" s="271">
        <f t="shared" si="368"/>
        <v>6008.3333333333339</v>
      </c>
      <c r="W2392" s="66">
        <f t="shared" si="369"/>
        <v>7210.0000000000009</v>
      </c>
      <c r="X2392" s="22"/>
      <c r="Y2392" s="22"/>
      <c r="Z2392" s="22"/>
      <c r="AA2392" s="22"/>
      <c r="AB2392" s="22"/>
      <c r="AC2392" s="332">
        <v>3690</v>
      </c>
      <c r="AD2392" s="332">
        <v>5150</v>
      </c>
      <c r="AE2392" s="332">
        <v>4240</v>
      </c>
      <c r="AF2392" s="332">
        <v>5940</v>
      </c>
      <c r="AG2392" s="332">
        <v>4490</v>
      </c>
      <c r="AH2392" s="332">
        <v>6290</v>
      </c>
      <c r="AI2392" s="332">
        <v>4800</v>
      </c>
      <c r="AJ2392" s="332">
        <v>6720</v>
      </c>
      <c r="AK2392" s="332">
        <v>5150</v>
      </c>
      <c r="AL2392" s="332">
        <v>7210</v>
      </c>
      <c r="AM2392" s="334">
        <v>3690</v>
      </c>
      <c r="AN2392" s="310">
        <f t="shared" si="370"/>
        <v>0</v>
      </c>
      <c r="AO2392" s="334">
        <v>5150</v>
      </c>
      <c r="AP2392" s="398">
        <f t="shared" si="371"/>
        <v>0</v>
      </c>
      <c r="AQ2392" s="334">
        <v>4240</v>
      </c>
      <c r="AR2392" s="334">
        <f t="shared" si="372"/>
        <v>0</v>
      </c>
      <c r="AS2392" s="334">
        <v>5940</v>
      </c>
      <c r="AT2392" s="334">
        <f t="shared" si="373"/>
        <v>0</v>
      </c>
      <c r="AU2392" s="334">
        <v>4490</v>
      </c>
      <c r="AV2392" s="334">
        <f t="shared" si="374"/>
        <v>0</v>
      </c>
      <c r="AW2392" s="334">
        <v>6290</v>
      </c>
    </row>
    <row r="2393" spans="1:49">
      <c r="A2393" s="8"/>
      <c r="B2393" s="16" t="str">
        <f>IF($C$1="ENG","D (140 - 160 mm)","D (140 - 160 мм)")</f>
        <v>D (140 - 160 мм)</v>
      </c>
      <c r="C2393" s="431"/>
      <c r="D2393" s="18">
        <f t="shared" si="350"/>
        <v>3241.666666666667</v>
      </c>
      <c r="E2393" s="268">
        <f t="shared" si="351"/>
        <v>3890</v>
      </c>
      <c r="F2393" s="271">
        <f t="shared" si="352"/>
        <v>4541.666666666667</v>
      </c>
      <c r="G2393" s="66">
        <f t="shared" si="353"/>
        <v>5450</v>
      </c>
      <c r="H2393" s="18">
        <f t="shared" si="354"/>
        <v>3733.3333333333335</v>
      </c>
      <c r="I2393" s="268">
        <f t="shared" si="355"/>
        <v>4480</v>
      </c>
      <c r="J2393" s="271">
        <f t="shared" si="356"/>
        <v>5216.666666666667</v>
      </c>
      <c r="K2393" s="66">
        <f t="shared" si="357"/>
        <v>6260</v>
      </c>
      <c r="L2393" s="18">
        <f t="shared" si="358"/>
        <v>3908.3333333333335</v>
      </c>
      <c r="M2393" s="268">
        <f t="shared" si="359"/>
        <v>4690</v>
      </c>
      <c r="N2393" s="271">
        <f t="shared" si="360"/>
        <v>5558.3333333333339</v>
      </c>
      <c r="O2393" s="66">
        <f t="shared" si="361"/>
        <v>6670.0000000000009</v>
      </c>
      <c r="P2393" s="18">
        <f t="shared" si="362"/>
        <v>4183.3333333333339</v>
      </c>
      <c r="Q2393" s="268">
        <f t="shared" si="363"/>
        <v>5020.0000000000009</v>
      </c>
      <c r="R2393" s="271">
        <f t="shared" si="364"/>
        <v>5858.3333333333339</v>
      </c>
      <c r="S2393" s="66">
        <f t="shared" si="365"/>
        <v>7030.0000000000009</v>
      </c>
      <c r="T2393" s="18">
        <f t="shared" si="366"/>
        <v>4500</v>
      </c>
      <c r="U2393" s="268">
        <f t="shared" si="367"/>
        <v>5400</v>
      </c>
      <c r="V2393" s="271">
        <f t="shared" si="368"/>
        <v>6300</v>
      </c>
      <c r="W2393" s="66">
        <f t="shared" si="369"/>
        <v>7560</v>
      </c>
      <c r="X2393" s="22"/>
      <c r="Y2393" s="22"/>
      <c r="Z2393" s="22"/>
      <c r="AA2393" s="22"/>
      <c r="AB2393" s="22"/>
      <c r="AC2393" s="332">
        <v>3890</v>
      </c>
      <c r="AD2393" s="332">
        <v>5450</v>
      </c>
      <c r="AE2393" s="332">
        <v>4480</v>
      </c>
      <c r="AF2393" s="332">
        <v>6260</v>
      </c>
      <c r="AG2393" s="332">
        <v>4690</v>
      </c>
      <c r="AH2393" s="332">
        <v>6670</v>
      </c>
      <c r="AI2393" s="332">
        <v>5020</v>
      </c>
      <c r="AJ2393" s="332">
        <v>7030</v>
      </c>
      <c r="AK2393" s="332">
        <v>5400</v>
      </c>
      <c r="AL2393" s="332">
        <v>7560</v>
      </c>
      <c r="AM2393" s="334">
        <v>3890</v>
      </c>
      <c r="AN2393" s="310">
        <f t="shared" si="370"/>
        <v>0</v>
      </c>
      <c r="AO2393" s="334">
        <v>5450</v>
      </c>
      <c r="AP2393" s="398">
        <f t="shared" si="371"/>
        <v>0</v>
      </c>
      <c r="AQ2393" s="334">
        <v>4480</v>
      </c>
      <c r="AR2393" s="334">
        <f t="shared" si="372"/>
        <v>0</v>
      </c>
      <c r="AS2393" s="334">
        <v>6260</v>
      </c>
      <c r="AT2393" s="334">
        <f t="shared" si="373"/>
        <v>0</v>
      </c>
      <c r="AU2393" s="334">
        <v>4690</v>
      </c>
      <c r="AV2393" s="334">
        <f t="shared" si="374"/>
        <v>0</v>
      </c>
      <c r="AW2393" s="334">
        <v>6670</v>
      </c>
    </row>
    <row r="2394" spans="1:49">
      <c r="A2394" s="8"/>
      <c r="B2394" s="16" t="str">
        <f>IF($C$1="ENG","E (160 - 180 mm)","E (160 - 180 мм)")</f>
        <v>E (160 - 180 мм)</v>
      </c>
      <c r="C2394" s="431"/>
      <c r="D2394" s="18">
        <f t="shared" si="350"/>
        <v>3383.3333333333335</v>
      </c>
      <c r="E2394" s="268">
        <f>IF($W$5=0.2,D2394*1.2,D2394)/$W$4</f>
        <v>4060</v>
      </c>
      <c r="F2394" s="271">
        <f t="shared" si="352"/>
        <v>4725</v>
      </c>
      <c r="G2394" s="66">
        <f t="shared" si="353"/>
        <v>5670</v>
      </c>
      <c r="H2394" s="18">
        <f t="shared" si="354"/>
        <v>3891.666666666667</v>
      </c>
      <c r="I2394" s="268">
        <f t="shared" si="355"/>
        <v>4670</v>
      </c>
      <c r="J2394" s="271">
        <f t="shared" si="356"/>
        <v>5441.666666666667</v>
      </c>
      <c r="K2394" s="66">
        <f t="shared" si="357"/>
        <v>6530</v>
      </c>
      <c r="L2394" s="18">
        <f t="shared" si="358"/>
        <v>4083.3333333333335</v>
      </c>
      <c r="M2394" s="268">
        <f t="shared" si="359"/>
        <v>4900</v>
      </c>
      <c r="N2394" s="271">
        <f t="shared" si="360"/>
        <v>5725</v>
      </c>
      <c r="O2394" s="66">
        <f t="shared" si="361"/>
        <v>6870</v>
      </c>
      <c r="P2394" s="18">
        <f t="shared" si="362"/>
        <v>4366.666666666667</v>
      </c>
      <c r="Q2394" s="268">
        <f t="shared" si="363"/>
        <v>5240</v>
      </c>
      <c r="R2394" s="271">
        <f t="shared" si="364"/>
        <v>6108.3333333333339</v>
      </c>
      <c r="S2394" s="66">
        <f t="shared" si="365"/>
        <v>7330.0000000000009</v>
      </c>
      <c r="T2394" s="18">
        <f t="shared" si="366"/>
        <v>4716.666666666667</v>
      </c>
      <c r="U2394" s="268">
        <f t="shared" si="367"/>
        <v>5660</v>
      </c>
      <c r="V2394" s="271">
        <f t="shared" si="368"/>
        <v>6600.8333333333339</v>
      </c>
      <c r="W2394" s="66">
        <f t="shared" si="369"/>
        <v>7921</v>
      </c>
      <c r="X2394" s="22"/>
      <c r="Y2394" s="22"/>
      <c r="Z2394" s="22"/>
      <c r="AA2394" s="22"/>
      <c r="AB2394" s="22"/>
      <c r="AC2394" s="332">
        <v>4060</v>
      </c>
      <c r="AD2394" s="332">
        <v>5670</v>
      </c>
      <c r="AE2394" s="332">
        <v>4670</v>
      </c>
      <c r="AF2394" s="332">
        <v>6530</v>
      </c>
      <c r="AG2394" s="332">
        <v>4900</v>
      </c>
      <c r="AH2394" s="332">
        <v>6870</v>
      </c>
      <c r="AI2394" s="332">
        <v>5240</v>
      </c>
      <c r="AJ2394" s="332">
        <v>7330</v>
      </c>
      <c r="AK2394" s="332">
        <v>5660</v>
      </c>
      <c r="AL2394" s="332">
        <v>7921</v>
      </c>
      <c r="AM2394" s="334">
        <v>4060</v>
      </c>
      <c r="AN2394" s="310">
        <f t="shared" si="370"/>
        <v>0</v>
      </c>
      <c r="AO2394" s="334">
        <v>5670</v>
      </c>
      <c r="AP2394" s="398">
        <f t="shared" si="371"/>
        <v>0</v>
      </c>
      <c r="AQ2394" s="334">
        <v>4670</v>
      </c>
      <c r="AR2394" s="334">
        <f t="shared" si="372"/>
        <v>0</v>
      </c>
      <c r="AS2394" s="334">
        <v>6530</v>
      </c>
      <c r="AT2394" s="334">
        <f t="shared" si="373"/>
        <v>0</v>
      </c>
      <c r="AU2394" s="334">
        <v>4900</v>
      </c>
      <c r="AV2394" s="334">
        <f t="shared" si="374"/>
        <v>0</v>
      </c>
      <c r="AW2394" s="334">
        <v>6870</v>
      </c>
    </row>
    <row r="2395" spans="1:49">
      <c r="A2395" s="8"/>
      <c r="B2395" s="16" t="str">
        <f>IF($C$1="ENG","F (180 - 200 mm)","F (180 - 200 мм)")</f>
        <v>F (180 - 200 мм)</v>
      </c>
      <c r="C2395" s="431"/>
      <c r="D2395" s="18">
        <f t="shared" si="350"/>
        <v>3550</v>
      </c>
      <c r="E2395" s="268">
        <f t="shared" si="351"/>
        <v>4260</v>
      </c>
      <c r="F2395" s="271">
        <f t="shared" si="352"/>
        <v>4958.3333333333339</v>
      </c>
      <c r="G2395" s="66">
        <f t="shared" si="353"/>
        <v>5950.0000000000009</v>
      </c>
      <c r="H2395" s="18">
        <f t="shared" si="354"/>
        <v>4075</v>
      </c>
      <c r="I2395" s="268">
        <f t="shared" si="355"/>
        <v>4890</v>
      </c>
      <c r="J2395" s="271">
        <f t="shared" si="356"/>
        <v>5700</v>
      </c>
      <c r="K2395" s="66">
        <f t="shared" si="357"/>
        <v>6840</v>
      </c>
      <c r="L2395" s="18">
        <f t="shared" si="358"/>
        <v>4275</v>
      </c>
      <c r="M2395" s="268">
        <f t="shared" si="359"/>
        <v>5130</v>
      </c>
      <c r="N2395" s="271">
        <f t="shared" si="360"/>
        <v>5991.666666666667</v>
      </c>
      <c r="O2395" s="66">
        <f t="shared" si="361"/>
        <v>7190</v>
      </c>
      <c r="P2395" s="18">
        <f t="shared" si="362"/>
        <v>4566.666666666667</v>
      </c>
      <c r="Q2395" s="268">
        <f t="shared" si="363"/>
        <v>5480</v>
      </c>
      <c r="R2395" s="271">
        <f t="shared" si="364"/>
        <v>6391.666666666667</v>
      </c>
      <c r="S2395" s="66">
        <f t="shared" si="365"/>
        <v>7670</v>
      </c>
      <c r="T2395" s="18">
        <f t="shared" si="366"/>
        <v>4925</v>
      </c>
      <c r="U2395" s="268">
        <f t="shared" si="367"/>
        <v>5910</v>
      </c>
      <c r="V2395" s="271">
        <f t="shared" si="368"/>
        <v>6891.666666666667</v>
      </c>
      <c r="W2395" s="66">
        <f t="shared" si="369"/>
        <v>8270</v>
      </c>
      <c r="X2395" s="22"/>
      <c r="Y2395" s="22"/>
      <c r="Z2395" s="22"/>
      <c r="AA2395" s="22"/>
      <c r="AB2395" s="22"/>
      <c r="AC2395" s="332">
        <v>4260</v>
      </c>
      <c r="AD2395" s="332">
        <v>5950</v>
      </c>
      <c r="AE2395" s="332">
        <v>4890</v>
      </c>
      <c r="AF2395" s="332">
        <v>6840</v>
      </c>
      <c r="AG2395" s="332">
        <v>5130</v>
      </c>
      <c r="AH2395" s="332">
        <v>7190</v>
      </c>
      <c r="AI2395" s="332">
        <v>5480</v>
      </c>
      <c r="AJ2395" s="332">
        <v>7670</v>
      </c>
      <c r="AK2395" s="332">
        <v>5910</v>
      </c>
      <c r="AL2395" s="332">
        <v>8270</v>
      </c>
      <c r="AM2395" s="334">
        <v>4260</v>
      </c>
      <c r="AN2395" s="310">
        <f t="shared" si="370"/>
        <v>0</v>
      </c>
      <c r="AO2395" s="334">
        <v>5950</v>
      </c>
      <c r="AP2395" s="398">
        <f t="shared" si="371"/>
        <v>0</v>
      </c>
      <c r="AQ2395" s="334">
        <v>4890</v>
      </c>
      <c r="AR2395" s="334">
        <f t="shared" si="372"/>
        <v>0</v>
      </c>
      <c r="AS2395" s="334">
        <v>6840</v>
      </c>
      <c r="AT2395" s="334">
        <f t="shared" si="373"/>
        <v>0</v>
      </c>
      <c r="AU2395" s="334">
        <v>5130</v>
      </c>
      <c r="AV2395" s="334">
        <f t="shared" si="374"/>
        <v>0</v>
      </c>
      <c r="AW2395" s="334">
        <v>7190</v>
      </c>
    </row>
    <row r="2396" spans="1:49">
      <c r="A2396" s="8"/>
      <c r="B2396" s="16" t="str">
        <f>IF($C$1="ENG","G (200 - 220 mm)","G (200 - 220 мм)")</f>
        <v>G (200 - 220 мм)</v>
      </c>
      <c r="C2396" s="431"/>
      <c r="D2396" s="18">
        <f t="shared" si="350"/>
        <v>3691.666666666667</v>
      </c>
      <c r="E2396" s="268">
        <f t="shared" si="351"/>
        <v>4430</v>
      </c>
      <c r="F2396" s="271">
        <f t="shared" si="352"/>
        <v>5166.666666666667</v>
      </c>
      <c r="G2396" s="66">
        <f t="shared" si="353"/>
        <v>6200</v>
      </c>
      <c r="H2396" s="18">
        <f t="shared" si="354"/>
        <v>4250</v>
      </c>
      <c r="I2396" s="268">
        <f t="shared" si="355"/>
        <v>5100</v>
      </c>
      <c r="J2396" s="271">
        <f t="shared" si="356"/>
        <v>5941.666666666667</v>
      </c>
      <c r="K2396" s="66">
        <f t="shared" si="357"/>
        <v>7130</v>
      </c>
      <c r="L2396" s="18">
        <f t="shared" si="358"/>
        <v>4450</v>
      </c>
      <c r="M2396" s="268">
        <f t="shared" si="359"/>
        <v>5340</v>
      </c>
      <c r="N2396" s="271">
        <f t="shared" si="360"/>
        <v>6225</v>
      </c>
      <c r="O2396" s="66">
        <f t="shared" si="361"/>
        <v>7470</v>
      </c>
      <c r="P2396" s="18">
        <f t="shared" si="362"/>
        <v>4758.3333333333339</v>
      </c>
      <c r="Q2396" s="268">
        <f t="shared" si="363"/>
        <v>5710.0000000000009</v>
      </c>
      <c r="R2396" s="271">
        <f t="shared" si="364"/>
        <v>6658.3333333333339</v>
      </c>
      <c r="S2396" s="66">
        <f t="shared" si="365"/>
        <v>7990</v>
      </c>
      <c r="T2396" s="18">
        <f t="shared" si="366"/>
        <v>5141.666666666667</v>
      </c>
      <c r="U2396" s="268">
        <f t="shared" si="367"/>
        <v>6170</v>
      </c>
      <c r="V2396" s="271">
        <f t="shared" si="368"/>
        <v>7191.666666666667</v>
      </c>
      <c r="W2396" s="66">
        <f t="shared" si="369"/>
        <v>8630</v>
      </c>
      <c r="X2396" s="22"/>
      <c r="Y2396" s="22"/>
      <c r="Z2396" s="22"/>
      <c r="AA2396" s="22"/>
      <c r="AB2396" s="22"/>
      <c r="AC2396" s="332">
        <v>4430</v>
      </c>
      <c r="AD2396" s="332">
        <v>6200</v>
      </c>
      <c r="AE2396" s="332">
        <v>5100</v>
      </c>
      <c r="AF2396" s="332">
        <v>7130</v>
      </c>
      <c r="AG2396" s="332">
        <v>5340</v>
      </c>
      <c r="AH2396" s="332">
        <v>7470</v>
      </c>
      <c r="AI2396" s="332">
        <v>5710</v>
      </c>
      <c r="AJ2396" s="332">
        <v>7990</v>
      </c>
      <c r="AK2396" s="332">
        <v>6170</v>
      </c>
      <c r="AL2396" s="332">
        <v>8630</v>
      </c>
      <c r="AM2396" s="334">
        <v>4430</v>
      </c>
      <c r="AN2396" s="310">
        <f t="shared" si="370"/>
        <v>0</v>
      </c>
      <c r="AO2396" s="334">
        <v>6200</v>
      </c>
      <c r="AP2396" s="398">
        <f t="shared" si="371"/>
        <v>0</v>
      </c>
      <c r="AQ2396" s="334">
        <v>5100</v>
      </c>
      <c r="AR2396" s="334">
        <f t="shared" si="372"/>
        <v>0</v>
      </c>
      <c r="AS2396" s="334">
        <v>7130</v>
      </c>
      <c r="AT2396" s="334">
        <f t="shared" si="373"/>
        <v>0</v>
      </c>
      <c r="AU2396" s="334">
        <v>5340</v>
      </c>
      <c r="AV2396" s="334">
        <f t="shared" si="374"/>
        <v>0</v>
      </c>
      <c r="AW2396" s="334">
        <v>7470</v>
      </c>
    </row>
    <row r="2397" spans="1:49">
      <c r="A2397" s="8"/>
      <c r="B2397" s="16" t="str">
        <f>IF($C$1="ENG","H (220 - 240 mm)","H (220 - 240 мм)")</f>
        <v>H (220 - 240 мм)</v>
      </c>
      <c r="C2397" s="431"/>
      <c r="D2397" s="18">
        <f t="shared" si="350"/>
        <v>3841.666666666667</v>
      </c>
      <c r="E2397" s="268">
        <f t="shared" si="351"/>
        <v>4610</v>
      </c>
      <c r="F2397" s="271">
        <f t="shared" si="352"/>
        <v>5375</v>
      </c>
      <c r="G2397" s="66">
        <f t="shared" si="353"/>
        <v>6450</v>
      </c>
      <c r="H2397" s="18">
        <f t="shared" si="354"/>
        <v>4416.666666666667</v>
      </c>
      <c r="I2397" s="268">
        <f t="shared" si="355"/>
        <v>5300</v>
      </c>
      <c r="J2397" s="271">
        <f t="shared" si="356"/>
        <v>6191.666666666667</v>
      </c>
      <c r="K2397" s="66">
        <f t="shared" si="357"/>
        <v>7430</v>
      </c>
      <c r="L2397" s="18">
        <f t="shared" si="358"/>
        <v>4625</v>
      </c>
      <c r="M2397" s="268">
        <f t="shared" si="359"/>
        <v>5550</v>
      </c>
      <c r="N2397" s="271">
        <f t="shared" si="360"/>
        <v>6475</v>
      </c>
      <c r="O2397" s="66">
        <f t="shared" si="361"/>
        <v>7770</v>
      </c>
      <c r="P2397" s="18">
        <f t="shared" si="362"/>
        <v>4933.3333333333339</v>
      </c>
      <c r="Q2397" s="268">
        <f t="shared" si="363"/>
        <v>5920.0000000000009</v>
      </c>
      <c r="R2397" s="271">
        <f t="shared" si="364"/>
        <v>6908.3333333333339</v>
      </c>
      <c r="S2397" s="66">
        <f t="shared" si="365"/>
        <v>8290</v>
      </c>
      <c r="T2397" s="18">
        <f t="shared" si="366"/>
        <v>5350</v>
      </c>
      <c r="U2397" s="268">
        <f t="shared" si="367"/>
        <v>6420</v>
      </c>
      <c r="V2397" s="271">
        <f t="shared" si="368"/>
        <v>7483.3333333333339</v>
      </c>
      <c r="W2397" s="66">
        <f t="shared" si="369"/>
        <v>8980</v>
      </c>
      <c r="X2397" s="22"/>
      <c r="Y2397" s="22"/>
      <c r="Z2397" s="22"/>
      <c r="AA2397" s="22"/>
      <c r="AB2397" s="22"/>
      <c r="AC2397" s="332">
        <v>4610</v>
      </c>
      <c r="AD2397" s="332">
        <v>6450</v>
      </c>
      <c r="AE2397" s="332">
        <v>5300</v>
      </c>
      <c r="AF2397" s="332">
        <v>7430</v>
      </c>
      <c r="AG2397" s="332">
        <v>5550</v>
      </c>
      <c r="AH2397" s="332">
        <v>7770</v>
      </c>
      <c r="AI2397" s="332">
        <v>5920</v>
      </c>
      <c r="AJ2397" s="332">
        <v>8290</v>
      </c>
      <c r="AK2397" s="332">
        <v>6420</v>
      </c>
      <c r="AL2397" s="332">
        <v>8980</v>
      </c>
      <c r="AM2397" s="334">
        <v>4610</v>
      </c>
      <c r="AN2397" s="310">
        <f t="shared" si="370"/>
        <v>0</v>
      </c>
      <c r="AO2397" s="334">
        <v>6450</v>
      </c>
      <c r="AP2397" s="398">
        <f t="shared" si="371"/>
        <v>0</v>
      </c>
      <c r="AQ2397" s="334">
        <v>5300</v>
      </c>
      <c r="AR2397" s="334">
        <f t="shared" si="372"/>
        <v>0</v>
      </c>
      <c r="AS2397" s="334">
        <v>7430</v>
      </c>
      <c r="AT2397" s="334">
        <f t="shared" si="373"/>
        <v>0</v>
      </c>
      <c r="AU2397" s="334">
        <v>5550</v>
      </c>
      <c r="AV2397" s="334">
        <f t="shared" si="374"/>
        <v>0</v>
      </c>
      <c r="AW2397" s="334">
        <v>7770</v>
      </c>
    </row>
    <row r="2398" spans="1:49">
      <c r="A2398" s="8"/>
      <c r="B2398" s="23" t="str">
        <f>IF($C$1="ENG","I (240 - 260 mm)","I (240 - 260 мм)")</f>
        <v>I (240 - 260 мм)</v>
      </c>
      <c r="C2398" s="432"/>
      <c r="D2398" s="25">
        <f t="shared" si="350"/>
        <v>4000</v>
      </c>
      <c r="E2398" s="269">
        <f t="shared" si="351"/>
        <v>4800</v>
      </c>
      <c r="F2398" s="272">
        <f t="shared" si="352"/>
        <v>5608.3333333333339</v>
      </c>
      <c r="G2398" s="69">
        <f t="shared" si="353"/>
        <v>6730.0000000000009</v>
      </c>
      <c r="H2398" s="25">
        <f t="shared" si="354"/>
        <v>4608.3333333333339</v>
      </c>
      <c r="I2398" s="269">
        <f t="shared" si="355"/>
        <v>5530.0000000000009</v>
      </c>
      <c r="J2398" s="272">
        <f t="shared" si="356"/>
        <v>6450</v>
      </c>
      <c r="K2398" s="69">
        <f t="shared" si="357"/>
        <v>7740</v>
      </c>
      <c r="L2398" s="25">
        <f t="shared" si="358"/>
        <v>4791.666666666667</v>
      </c>
      <c r="M2398" s="269">
        <f t="shared" si="359"/>
        <v>5750</v>
      </c>
      <c r="N2398" s="272">
        <f t="shared" si="360"/>
        <v>6716.666666666667</v>
      </c>
      <c r="O2398" s="69">
        <f t="shared" si="361"/>
        <v>8060</v>
      </c>
      <c r="P2398" s="25">
        <f t="shared" si="362"/>
        <v>5133.3333333333339</v>
      </c>
      <c r="Q2398" s="269">
        <f t="shared" si="363"/>
        <v>6160.0000000000009</v>
      </c>
      <c r="R2398" s="272">
        <f t="shared" si="364"/>
        <v>7183.3333333333339</v>
      </c>
      <c r="S2398" s="69">
        <f t="shared" si="365"/>
        <v>8620</v>
      </c>
      <c r="T2398" s="25">
        <f t="shared" si="366"/>
        <v>5566.666666666667</v>
      </c>
      <c r="U2398" s="269">
        <f t="shared" si="367"/>
        <v>6680</v>
      </c>
      <c r="V2398" s="272">
        <f t="shared" si="368"/>
        <v>7791.666666666667</v>
      </c>
      <c r="W2398" s="69">
        <f t="shared" si="369"/>
        <v>9350</v>
      </c>
      <c r="X2398" s="22"/>
      <c r="Y2398" s="22"/>
      <c r="Z2398" s="22"/>
      <c r="AA2398" s="22"/>
      <c r="AB2398" s="22"/>
      <c r="AC2398" s="332">
        <v>4800</v>
      </c>
      <c r="AD2398" s="332">
        <v>6730</v>
      </c>
      <c r="AE2398" s="332">
        <v>5530</v>
      </c>
      <c r="AF2398" s="332">
        <v>7740</v>
      </c>
      <c r="AG2398" s="332">
        <v>5750</v>
      </c>
      <c r="AH2398" s="332">
        <v>8060</v>
      </c>
      <c r="AI2398" s="332">
        <v>6160</v>
      </c>
      <c r="AJ2398" s="332">
        <v>8620</v>
      </c>
      <c r="AK2398" s="332">
        <v>6680</v>
      </c>
      <c r="AL2398" s="332">
        <v>9350</v>
      </c>
      <c r="AM2398" s="334">
        <v>4800</v>
      </c>
      <c r="AN2398" s="310">
        <f t="shared" si="370"/>
        <v>0</v>
      </c>
      <c r="AO2398" s="334">
        <v>6730</v>
      </c>
      <c r="AP2398" s="398">
        <f t="shared" si="371"/>
        <v>0</v>
      </c>
      <c r="AQ2398" s="334">
        <v>5530</v>
      </c>
      <c r="AR2398" s="334">
        <f t="shared" si="372"/>
        <v>0</v>
      </c>
      <c r="AS2398" s="334">
        <v>7740</v>
      </c>
      <c r="AT2398" s="334">
        <f t="shared" si="373"/>
        <v>0</v>
      </c>
      <c r="AU2398" s="334">
        <v>5750</v>
      </c>
      <c r="AV2398" s="334">
        <f t="shared" si="374"/>
        <v>0</v>
      </c>
      <c r="AW2398" s="334">
        <v>8060</v>
      </c>
    </row>
    <row r="2399" spans="1:49">
      <c r="C2399" s="245"/>
      <c r="D2399" s="26"/>
      <c r="E2399" s="57"/>
      <c r="F2399" s="26"/>
      <c r="G2399" s="57"/>
      <c r="H2399" s="5"/>
      <c r="K2399" s="20"/>
      <c r="L2399" s="48"/>
      <c r="M2399" s="106"/>
      <c r="N2399" s="48"/>
      <c r="O2399" s="48"/>
      <c r="P2399" s="48"/>
      <c r="Q2399" s="106"/>
      <c r="R2399" s="48"/>
      <c r="S2399" s="48"/>
      <c r="U2399" s="20"/>
      <c r="W2399" s="20"/>
      <c r="AO2399" s="387"/>
      <c r="AP2399" s="387"/>
      <c r="AQ2399" s="387"/>
      <c r="AR2399" s="387"/>
      <c r="AS2399" s="387"/>
      <c r="AT2399" s="387"/>
      <c r="AU2399" s="387"/>
      <c r="AV2399" s="387"/>
    </row>
    <row r="2400" spans="1:49">
      <c r="B2400" s="212" t="str">
        <f>IF($C$1="ENG","For additonal charge:","Послуги за додаткову плату:")</f>
        <v>Послуги за додаткову плату:</v>
      </c>
      <c r="C2400" s="420"/>
      <c r="D2400" s="213"/>
      <c r="E2400" s="214"/>
      <c r="F2400" s="39"/>
      <c r="G2400" s="39"/>
      <c r="H2400" s="10"/>
      <c r="I2400" s="84"/>
      <c r="J2400" s="8"/>
      <c r="K2400" s="8"/>
      <c r="L2400" s="105"/>
      <c r="N2400" s="105"/>
      <c r="P2400" s="105"/>
      <c r="R2400" s="105"/>
      <c r="U2400" s="20"/>
      <c r="W2400" s="20"/>
    </row>
    <row r="2401" spans="2:38" ht="5.0999999999999996" customHeight="1">
      <c r="B2401" s="27"/>
      <c r="C2401" s="245"/>
      <c r="D2401" s="26"/>
      <c r="E2401" s="57"/>
      <c r="F2401" s="26"/>
      <c r="G2401" s="26"/>
      <c r="H2401" s="10"/>
      <c r="I2401" s="8"/>
      <c r="J2401" s="8"/>
      <c r="K2401" s="8"/>
      <c r="U2401" s="20"/>
      <c r="W2401" s="20"/>
    </row>
    <row r="2402" spans="2:38">
      <c r="B2402" s="551" t="str">
        <f>IF($C$1="ENG","third door hindge","третя завіса")</f>
        <v>третя завіса</v>
      </c>
      <c r="C2402" s="552"/>
      <c r="D2402" s="51">
        <f>IF(AC2402="","",(1-$W$2)*(AC2402/1.2))</f>
        <v>66.666666666666671</v>
      </c>
      <c r="E2402" s="85">
        <f>IF($W$5=0.2,D2402*1.2,D2402)/$W$4</f>
        <v>80</v>
      </c>
      <c r="F2402" s="26"/>
      <c r="G2402" s="26"/>
      <c r="H2402" s="10"/>
      <c r="I2402" s="84"/>
      <c r="J2402" s="8"/>
      <c r="K2402" s="84"/>
      <c r="U2402" s="20"/>
      <c r="W2402" s="20"/>
      <c r="AC2402" s="298">
        <v>80</v>
      </c>
      <c r="AD2402" s="289"/>
      <c r="AE2402" s="289"/>
      <c r="AF2402" s="289"/>
      <c r="AG2402" s="289"/>
      <c r="AH2402" s="289"/>
      <c r="AI2402" s="289"/>
      <c r="AJ2402" s="289"/>
      <c r="AK2402" s="289"/>
      <c r="AL2402" s="289"/>
    </row>
    <row r="2403" spans="2:38" ht="14.25" customHeight="1">
      <c r="T2403" s="547" t="str">
        <f>IF($C$1="ENG",CONCATENATE("down to: ",B2453),CONCATENATE("вниз до: ",B2453))</f>
        <v>вниз до: Дверна коробка Verto-FIT Comfort</v>
      </c>
      <c r="U2403" s="547"/>
      <c r="V2403" s="547"/>
      <c r="W2403" s="547"/>
    </row>
    <row r="2404" spans="2:38" ht="14.25" customHeight="1">
      <c r="C2404" s="245"/>
      <c r="D2404" s="26"/>
      <c r="E2404" s="26"/>
      <c r="F2404" s="26"/>
      <c r="G2404" s="57"/>
      <c r="H2404" s="5"/>
      <c r="K2404" s="84"/>
      <c r="L2404" s="279"/>
      <c r="O2404" s="57"/>
      <c r="P2404" s="279"/>
      <c r="S2404" s="57"/>
      <c r="T2404" s="279"/>
      <c r="W2404" s="57"/>
      <c r="X2404" s="279"/>
      <c r="Y2404" s="279"/>
      <c r="Z2404" s="279"/>
      <c r="AA2404" s="279"/>
      <c r="AB2404" s="279"/>
    </row>
    <row r="2405" spans="2:38" ht="14.25" customHeight="1">
      <c r="C2405" s="245"/>
      <c r="D2405" s="26"/>
      <c r="E2405" s="26"/>
      <c r="F2405" s="26"/>
      <c r="G2405" s="57"/>
      <c r="H2405" s="279"/>
      <c r="K2405" s="57"/>
      <c r="L2405" s="245"/>
      <c r="M2405" s="246"/>
      <c r="N2405" s="245"/>
      <c r="O2405" s="245"/>
      <c r="P2405" s="245"/>
      <c r="Q2405" s="246"/>
      <c r="R2405" s="245"/>
      <c r="S2405" s="245"/>
      <c r="T2405" s="245"/>
      <c r="U2405" s="246"/>
      <c r="V2405" s="245"/>
      <c r="W2405" s="245"/>
    </row>
    <row r="2406" spans="2:38" ht="14.25" customHeight="1">
      <c r="C2406" s="245"/>
      <c r="D2406" s="245"/>
      <c r="E2406" s="245"/>
      <c r="F2406" s="245"/>
      <c r="G2406" s="249"/>
      <c r="H2406" s="245"/>
      <c r="I2406" s="246"/>
      <c r="J2406" s="245"/>
      <c r="K2406" s="245"/>
      <c r="L2406" s="245"/>
      <c r="M2406" s="245"/>
      <c r="N2406" s="245"/>
      <c r="O2406" s="245"/>
      <c r="P2406" s="245"/>
      <c r="Q2406" s="245"/>
      <c r="R2406" s="245"/>
      <c r="S2406" s="245"/>
      <c r="T2406" s="245"/>
      <c r="U2406" s="245"/>
      <c r="V2406" s="245"/>
      <c r="W2406" s="245"/>
    </row>
    <row r="2407" spans="2:38" ht="14.25" customHeight="1">
      <c r="C2407" s="245"/>
      <c r="D2407" s="245"/>
      <c r="E2407" s="245"/>
      <c r="F2407" s="245"/>
      <c r="G2407" s="245"/>
      <c r="H2407" s="245"/>
      <c r="I2407" s="245"/>
      <c r="J2407" s="245"/>
      <c r="K2407" s="245"/>
    </row>
    <row r="2408" spans="2:38" ht="14.25" customHeight="1">
      <c r="C2408" s="245"/>
      <c r="D2408" s="26"/>
      <c r="E2408" s="26"/>
      <c r="F2408" s="26"/>
      <c r="G2408" s="26"/>
      <c r="H2408" s="5"/>
    </row>
    <row r="2409" spans="2:38" ht="14.25" customHeight="1">
      <c r="C2409" s="245"/>
      <c r="D2409" s="26"/>
      <c r="E2409" s="26"/>
      <c r="F2409" s="26"/>
      <c r="G2409" s="26"/>
      <c r="H2409" s="5"/>
    </row>
    <row r="2410" spans="2:38" ht="14.25" customHeight="1">
      <c r="C2410" s="245"/>
      <c r="D2410" s="26"/>
      <c r="E2410" s="26"/>
      <c r="F2410" s="26"/>
      <c r="G2410" s="26"/>
      <c r="H2410" s="5"/>
    </row>
    <row r="2411" spans="2:38" ht="14.25" customHeight="1">
      <c r="C2411" s="245"/>
      <c r="D2411" s="26"/>
      <c r="E2411" s="26"/>
      <c r="F2411" s="26"/>
      <c r="G2411" s="26"/>
      <c r="H2411" s="5"/>
    </row>
    <row r="2412" spans="2:38" ht="14.25" customHeight="1">
      <c r="C2412" s="245"/>
      <c r="D2412" s="26"/>
      <c r="E2412" s="26"/>
      <c r="F2412" s="26"/>
      <c r="G2412" s="26"/>
      <c r="H2412" s="5"/>
    </row>
    <row r="2413" spans="2:38" ht="14.25" customHeight="1">
      <c r="C2413" s="245"/>
      <c r="D2413" s="26"/>
      <c r="E2413" s="26"/>
      <c r="F2413" s="26"/>
      <c r="G2413" s="26"/>
      <c r="H2413" s="5"/>
    </row>
    <row r="2414" spans="2:38" ht="14.25" customHeight="1">
      <c r="C2414" s="245"/>
      <c r="D2414" s="26"/>
      <c r="E2414" s="26"/>
      <c r="F2414" s="26"/>
      <c r="G2414" s="26"/>
      <c r="H2414" s="5"/>
    </row>
    <row r="2415" spans="2:38" ht="14.25" customHeight="1">
      <c r="C2415" s="245"/>
      <c r="D2415" s="26"/>
      <c r="E2415" s="26"/>
      <c r="F2415" s="26"/>
      <c r="G2415" s="26"/>
      <c r="H2415" s="5"/>
    </row>
    <row r="2416" spans="2:38" ht="14.25" customHeight="1">
      <c r="C2416" s="245"/>
      <c r="D2416" s="26"/>
      <c r="E2416" s="26"/>
      <c r="F2416" s="26"/>
      <c r="G2416" s="26"/>
      <c r="H2416" s="5"/>
    </row>
    <row r="2417" spans="3:8" ht="14.25" customHeight="1">
      <c r="C2417" s="245"/>
      <c r="D2417" s="26"/>
      <c r="E2417" s="26"/>
      <c r="F2417" s="26"/>
      <c r="G2417" s="26"/>
      <c r="H2417" s="5"/>
    </row>
    <row r="2418" spans="3:8" ht="14.25" customHeight="1">
      <c r="C2418" s="245"/>
      <c r="D2418" s="26"/>
      <c r="E2418" s="26"/>
      <c r="F2418" s="26"/>
      <c r="G2418" s="26"/>
      <c r="H2418" s="5"/>
    </row>
    <row r="2419" spans="3:8" ht="14.25" customHeight="1">
      <c r="C2419" s="245"/>
      <c r="D2419" s="26"/>
      <c r="E2419" s="26"/>
      <c r="F2419" s="26"/>
      <c r="G2419" s="26"/>
      <c r="H2419" s="5"/>
    </row>
    <row r="2420" spans="3:8" ht="14.25" customHeight="1">
      <c r="C2420" s="245"/>
      <c r="D2420" s="26"/>
      <c r="E2420" s="26"/>
      <c r="F2420" s="26"/>
      <c r="G2420" s="26"/>
      <c r="H2420" s="5"/>
    </row>
    <row r="2421" spans="3:8" ht="14.25" customHeight="1">
      <c r="C2421" s="245"/>
      <c r="D2421" s="26"/>
      <c r="E2421" s="26"/>
      <c r="F2421" s="26"/>
      <c r="G2421" s="26"/>
      <c r="H2421" s="5"/>
    </row>
    <row r="2422" spans="3:8" ht="14.25" customHeight="1">
      <c r="C2422" s="245"/>
      <c r="D2422" s="26"/>
      <c r="E2422" s="26"/>
      <c r="F2422" s="26"/>
      <c r="G2422" s="26"/>
      <c r="H2422" s="5"/>
    </row>
    <row r="2423" spans="3:8" ht="14.25" customHeight="1">
      <c r="C2423" s="245"/>
      <c r="D2423" s="26"/>
      <c r="E2423" s="26"/>
      <c r="F2423" s="26"/>
      <c r="G2423" s="26"/>
      <c r="H2423" s="5"/>
    </row>
    <row r="2424" spans="3:8" ht="14.25" customHeight="1">
      <c r="C2424" s="245"/>
      <c r="D2424" s="26"/>
      <c r="E2424" s="26"/>
      <c r="F2424" s="26"/>
      <c r="G2424" s="26"/>
      <c r="H2424" s="5"/>
    </row>
    <row r="2425" spans="3:8" ht="14.25" customHeight="1">
      <c r="C2425" s="245"/>
      <c r="D2425" s="26"/>
      <c r="E2425" s="26"/>
      <c r="F2425" s="26"/>
      <c r="G2425" s="26"/>
      <c r="H2425" s="5"/>
    </row>
    <row r="2426" spans="3:8" ht="14.25" customHeight="1">
      <c r="C2426" s="245"/>
      <c r="D2426" s="26"/>
      <c r="E2426" s="26"/>
      <c r="F2426" s="26"/>
      <c r="G2426" s="26"/>
      <c r="H2426" s="5"/>
    </row>
    <row r="2427" spans="3:8" ht="14.25" customHeight="1">
      <c r="C2427" s="245"/>
      <c r="D2427" s="26"/>
      <c r="E2427" s="26"/>
      <c r="F2427" s="26"/>
      <c r="G2427" s="26"/>
      <c r="H2427" s="5"/>
    </row>
    <row r="2428" spans="3:8" ht="14.25" customHeight="1">
      <c r="C2428" s="245"/>
      <c r="D2428" s="26"/>
      <c r="E2428" s="26"/>
      <c r="F2428" s="26"/>
      <c r="G2428" s="26"/>
      <c r="H2428" s="5"/>
    </row>
    <row r="2429" spans="3:8" ht="14.25" customHeight="1">
      <c r="C2429" s="245"/>
      <c r="D2429" s="26"/>
      <c r="E2429" s="26"/>
      <c r="F2429" s="26"/>
      <c r="G2429" s="26"/>
      <c r="H2429" s="5"/>
    </row>
    <row r="2430" spans="3:8" ht="14.25" customHeight="1">
      <c r="C2430" s="245"/>
      <c r="D2430" s="26"/>
      <c r="E2430" s="26"/>
      <c r="F2430" s="26"/>
      <c r="G2430" s="26"/>
      <c r="H2430" s="5"/>
    </row>
    <row r="2431" spans="3:8" ht="14.25" customHeight="1">
      <c r="C2431" s="245"/>
      <c r="D2431" s="26"/>
      <c r="E2431" s="26"/>
      <c r="F2431" s="26"/>
      <c r="G2431" s="26"/>
      <c r="H2431" s="5"/>
    </row>
    <row r="2432" spans="3:8" ht="14.25" customHeight="1">
      <c r="C2432" s="245"/>
      <c r="D2432" s="26"/>
      <c r="E2432" s="26"/>
      <c r="F2432" s="26"/>
      <c r="G2432" s="26"/>
      <c r="H2432" s="5"/>
    </row>
    <row r="2433" spans="3:34" ht="14.25" customHeight="1">
      <c r="C2433" s="245"/>
      <c r="D2433" s="26"/>
      <c r="E2433" s="26"/>
      <c r="F2433" s="26"/>
      <c r="G2433" s="26"/>
      <c r="H2433" s="5"/>
    </row>
    <row r="2434" spans="3:34" ht="14.25" customHeight="1">
      <c r="C2434" s="245"/>
      <c r="D2434" s="26"/>
      <c r="E2434" s="26"/>
      <c r="F2434" s="26"/>
      <c r="G2434" s="26"/>
      <c r="H2434" s="5"/>
    </row>
    <row r="2435" spans="3:34" ht="14.25" customHeight="1">
      <c r="C2435" s="245"/>
      <c r="D2435" s="26"/>
      <c r="E2435" s="26"/>
      <c r="F2435" s="26"/>
      <c r="G2435" s="26"/>
      <c r="H2435" s="5"/>
    </row>
    <row r="2436" spans="3:34" ht="14.25" customHeight="1">
      <c r="C2436" s="245"/>
      <c r="D2436" s="26"/>
      <c r="E2436" s="26"/>
      <c r="F2436" s="26"/>
      <c r="G2436" s="26"/>
      <c r="H2436" s="5"/>
    </row>
    <row r="2437" spans="3:34" ht="14.25" customHeight="1">
      <c r="C2437" s="245"/>
      <c r="D2437" s="26"/>
      <c r="E2437" s="26"/>
      <c r="F2437" s="26"/>
      <c r="G2437" s="26"/>
      <c r="H2437" s="5"/>
    </row>
    <row r="2438" spans="3:34" ht="14.25" customHeight="1">
      <c r="C2438" s="245"/>
      <c r="D2438" s="26"/>
      <c r="E2438" s="26"/>
      <c r="F2438" s="26"/>
      <c r="G2438" s="26"/>
      <c r="H2438" s="5"/>
    </row>
    <row r="2439" spans="3:34" ht="14.25" customHeight="1">
      <c r="C2439" s="245"/>
      <c r="D2439" s="26"/>
      <c r="E2439" s="26"/>
      <c r="F2439" s="26"/>
      <c r="G2439" s="26"/>
      <c r="H2439" s="5"/>
    </row>
    <row r="2440" spans="3:34" ht="14.25" customHeight="1">
      <c r="C2440" s="245"/>
      <c r="D2440" s="26"/>
      <c r="E2440" s="26"/>
      <c r="F2440" s="26"/>
      <c r="G2440" s="26"/>
      <c r="H2440" s="5"/>
    </row>
    <row r="2441" spans="3:34" ht="14.25" customHeight="1">
      <c r="C2441" s="245"/>
      <c r="D2441" s="26"/>
      <c r="E2441" s="26"/>
      <c r="F2441" s="26"/>
      <c r="G2441" s="26"/>
      <c r="H2441" s="5"/>
    </row>
    <row r="2442" spans="3:34" ht="14.25" customHeight="1">
      <c r="C2442" s="245"/>
      <c r="D2442" s="26"/>
      <c r="E2442" s="26"/>
      <c r="F2442" s="26"/>
      <c r="G2442" s="26"/>
      <c r="H2442" s="5"/>
    </row>
    <row r="2443" spans="3:34" ht="14.25" customHeight="1">
      <c r="C2443" s="245"/>
      <c r="D2443" s="26"/>
      <c r="E2443" s="26"/>
      <c r="F2443" s="26"/>
      <c r="G2443" s="26"/>
      <c r="H2443" s="5"/>
    </row>
    <row r="2444" spans="3:34" ht="14.25" customHeight="1">
      <c r="C2444" s="245"/>
      <c r="D2444" s="26"/>
      <c r="E2444" s="26"/>
      <c r="F2444" s="26"/>
      <c r="G2444" s="26"/>
      <c r="H2444" s="5"/>
    </row>
    <row r="2445" spans="3:34" ht="14.25" customHeight="1">
      <c r="C2445" s="245"/>
      <c r="D2445" s="26"/>
      <c r="E2445" s="26"/>
      <c r="F2445" s="26"/>
      <c r="G2445" s="26"/>
      <c r="H2445" s="5"/>
    </row>
    <row r="2446" spans="3:34" ht="14.25" customHeight="1">
      <c r="C2446" s="245"/>
      <c r="D2446" s="26"/>
      <c r="E2446" s="26"/>
      <c r="F2446" s="26"/>
      <c r="G2446" s="26"/>
      <c r="H2446" s="5"/>
      <c r="AF2446" s="8"/>
      <c r="AH2446" s="8"/>
    </row>
    <row r="2447" spans="3:34" ht="14.25" customHeight="1">
      <c r="C2447" s="245"/>
      <c r="D2447" s="26"/>
      <c r="E2447" s="26"/>
      <c r="F2447" s="26"/>
      <c r="G2447" s="26"/>
      <c r="H2447" s="5"/>
    </row>
    <row r="2448" spans="3:34" ht="14.25" customHeight="1">
      <c r="C2448" s="245"/>
      <c r="D2448" s="26"/>
      <c r="E2448" s="26"/>
      <c r="F2448" s="26"/>
      <c r="G2448" s="26"/>
      <c r="H2448" s="5"/>
    </row>
    <row r="2449" spans="1:49" ht="14.25" customHeight="1">
      <c r="C2449" s="245"/>
      <c r="D2449" s="26"/>
      <c r="E2449" s="26"/>
      <c r="F2449" s="26"/>
      <c r="G2449" s="26"/>
      <c r="H2449" s="5"/>
    </row>
    <row r="2450" spans="1:49" ht="14.25" customHeight="1">
      <c r="C2450" s="245"/>
      <c r="D2450" s="26"/>
      <c r="E2450" s="26"/>
      <c r="F2450" s="26"/>
      <c r="G2450" s="26"/>
      <c r="H2450" s="5"/>
    </row>
    <row r="2451" spans="1:49" ht="14.25" customHeight="1">
      <c r="C2451" s="245"/>
      <c r="D2451" s="26"/>
      <c r="E2451" s="26"/>
      <c r="F2451" s="26"/>
      <c r="G2451" s="26"/>
      <c r="H2451" s="5"/>
    </row>
    <row r="2452" spans="1:49" ht="14.25" customHeight="1">
      <c r="C2452" s="245"/>
      <c r="D2452" s="26"/>
      <c r="E2452" s="26"/>
      <c r="F2452" s="26"/>
      <c r="G2452" s="26"/>
      <c r="H2452" s="5"/>
    </row>
    <row r="2453" spans="1:49" s="8" customFormat="1">
      <c r="B2453" s="517" t="str">
        <f>TITLE!$C$47</f>
        <v>Дверна коробка Verto-FIT Comfort</v>
      </c>
      <c r="C2453" s="518"/>
      <c r="D2453" s="118"/>
      <c r="E2453" s="519" t="str">
        <f>E2277</f>
        <v>Для Дверних Полотен без Фальця</v>
      </c>
      <c r="F2453" s="519"/>
      <c r="G2453" s="519"/>
      <c r="H2453" s="519"/>
      <c r="I2453" s="519"/>
      <c r="J2453" s="519"/>
      <c r="K2453" s="519"/>
      <c r="L2453" s="520"/>
      <c r="M2453" s="520"/>
      <c r="N2453" s="520"/>
      <c r="O2453" s="520"/>
      <c r="P2453" s="520"/>
      <c r="Q2453" s="520"/>
      <c r="R2453" s="520"/>
      <c r="S2453" s="520"/>
      <c r="T2453" s="521" t="str">
        <f>IF($C$1="ENG",CONCATENATE("up to: ",B2385),CONCATENATE("вгору до: ",B2385))</f>
        <v>вгору до: Дверна коробка Verto-FIT Plus</v>
      </c>
      <c r="U2453" s="521"/>
      <c r="V2453" s="521"/>
      <c r="W2453" s="521"/>
      <c r="AC2453" s="1"/>
      <c r="AE2453" s="1"/>
      <c r="AF2453" s="1"/>
      <c r="AG2453" s="1"/>
      <c r="AI2453" s="1"/>
      <c r="AK2453" s="1"/>
      <c r="AN2453" s="280"/>
      <c r="AO2453" s="280"/>
      <c r="AP2453" s="280"/>
      <c r="AQ2453" s="280"/>
      <c r="AR2453" s="280"/>
      <c r="AS2453" s="280"/>
      <c r="AT2453" s="280"/>
    </row>
    <row r="2454" spans="1:49" s="8" customFormat="1" ht="5.0999999999999996" customHeight="1">
      <c r="C2454" s="423"/>
      <c r="T2454" s="116"/>
      <c r="U2454" s="116"/>
      <c r="V2454" s="116"/>
      <c r="W2454" s="116"/>
      <c r="AN2454" s="280"/>
      <c r="AO2454" s="280"/>
      <c r="AP2454" s="280"/>
      <c r="AQ2454" s="280"/>
      <c r="AR2454" s="280"/>
      <c r="AS2454" s="280"/>
      <c r="AT2454" s="280"/>
    </row>
    <row r="2455" spans="1:49" ht="12.75" customHeight="1">
      <c r="A2455" s="8"/>
      <c r="B2455" s="307" t="str">
        <f>IF($C$1="ENG","model","модель")</f>
        <v>модель</v>
      </c>
      <c r="C2455" s="122" t="str">
        <f>IF($C$1="ENG","cover:","покриття:")</f>
        <v>покриття:</v>
      </c>
      <c r="D2455" s="522" t="str">
        <f>IF($C$1="ENG","SIMPLEX / VERTO-CELL","SIMPLEX / VERTO-CELL ")</f>
        <v xml:space="preserve">SIMPLEX / VERTO-CELL </v>
      </c>
      <c r="E2455" s="523"/>
      <c r="F2455" s="523"/>
      <c r="G2455" s="524"/>
      <c r="H2455" s="522" t="str">
        <f>IF($C$1="ENG","UNI-MAT","UNI-MAT")</f>
        <v>UNI-MAT</v>
      </c>
      <c r="I2455" s="523"/>
      <c r="J2455" s="523"/>
      <c r="K2455" s="524"/>
      <c r="L2455" s="522" t="str">
        <f>IF($C$1="ENG","RESIST","RESIST")</f>
        <v>RESIST</v>
      </c>
      <c r="M2455" s="523"/>
      <c r="N2455" s="523"/>
      <c r="O2455" s="524"/>
      <c r="P2455" s="522" t="str">
        <f>IF($C$1="ENG","Verto LINE-3D","Verto LINE-3D")</f>
        <v>Verto LINE-3D</v>
      </c>
      <c r="Q2455" s="523"/>
      <c r="R2455" s="523"/>
      <c r="S2455" s="524"/>
      <c r="T2455" s="522" t="str">
        <f>IF($C$1="ENG","ECO Shpon / LOFT","ЕКО Шпон / LOFT")</f>
        <v>ЕКО Шпон / LOFT</v>
      </c>
      <c r="U2455" s="523"/>
      <c r="V2455" s="523"/>
      <c r="W2455" s="524"/>
      <c r="AO2455" s="383">
        <v>0.15</v>
      </c>
    </row>
    <row r="2456" spans="1:49" ht="12.75" customHeight="1">
      <c r="A2456" s="8"/>
      <c r="B2456" s="308"/>
      <c r="C2456" s="124" t="str">
        <f>IF($C$1="ENG","type:","виконання:")</f>
        <v>виконання:</v>
      </c>
      <c r="D2456" s="513" t="str">
        <f>IF($C$1="ENG","single leaf","одностулкове")</f>
        <v>одностулкове</v>
      </c>
      <c r="E2456" s="514"/>
      <c r="F2456" s="444"/>
      <c r="G2456" s="443"/>
      <c r="H2456" s="513" t="str">
        <f>IF($C$1="ENG","single leaf","одностулкове")</f>
        <v>одностулкове</v>
      </c>
      <c r="I2456" s="514"/>
      <c r="J2456" s="444"/>
      <c r="K2456" s="443"/>
      <c r="L2456" s="513" t="str">
        <f>IF($C$1="ENG","single leaf","одностулкове")</f>
        <v>одностулкове</v>
      </c>
      <c r="M2456" s="514"/>
      <c r="N2456" s="515"/>
      <c r="O2456" s="516"/>
      <c r="P2456" s="513" t="str">
        <f>IF($C$1="ENG","single leaf","одностулкове")</f>
        <v>одностулкове</v>
      </c>
      <c r="Q2456" s="514"/>
      <c r="R2456" s="515"/>
      <c r="S2456" s="516"/>
      <c r="T2456" s="513" t="str">
        <f>IF($C$1="ENG","single leaf","одностулкове")</f>
        <v>одностулкове</v>
      </c>
      <c r="U2456" s="514"/>
      <c r="V2456" s="515"/>
      <c r="W2456" s="516"/>
    </row>
    <row r="2457" spans="1:49" ht="12.75" customHeight="1">
      <c r="A2457" s="8"/>
      <c r="B2457" s="13" t="str">
        <f>IF($C$1="ENG","A (75 - 95 mm)","A (75 - 95 мм)")</f>
        <v>A (75 - 95 мм)</v>
      </c>
      <c r="C2457" s="446"/>
      <c r="D2457" s="15">
        <f t="shared" ref="D2457:D2466" si="375">IF(AC2457="","",(1-$W$2)*(AC2457/1.2))</f>
        <v>2975</v>
      </c>
      <c r="E2457" s="267">
        <f t="shared" ref="E2457:E2466" si="376">IF($W$5=0.2,D2457*1.2,D2457)/$W$4</f>
        <v>3570</v>
      </c>
      <c r="F2457" s="270"/>
      <c r="G2457" s="64"/>
      <c r="H2457" s="15">
        <f t="shared" ref="H2457:H2466" si="377">IF(AE2457="","",(1-$W$2)*(AE2457/1.2))</f>
        <v>3416.666666666667</v>
      </c>
      <c r="I2457" s="267">
        <f t="shared" ref="I2457:I2466" si="378">IF($W$5=0.2,H2457*1.2,H2457)/$W$4</f>
        <v>4100</v>
      </c>
      <c r="J2457" s="270"/>
      <c r="K2457" s="64"/>
      <c r="L2457" s="15">
        <f t="shared" ref="L2457:L2466" si="379">IF(AG2457="","",(1-$W$2)*(AG2457/1.2))</f>
        <v>3600</v>
      </c>
      <c r="M2457" s="267">
        <f t="shared" ref="M2457:M2466" si="380">IF($W$5=0.2,L2457*1.2,L2457)/$W$4</f>
        <v>4320</v>
      </c>
      <c r="N2457" s="270"/>
      <c r="O2457" s="64"/>
      <c r="P2457" s="15">
        <f t="shared" ref="P2457:P2466" si="381">IF(AI2457="","",(1-$W$2)*(AI2457/1.2))</f>
        <v>3841.666666666667</v>
      </c>
      <c r="Q2457" s="267">
        <f t="shared" ref="Q2457:Q2466" si="382">IF($W$5=0.2,P2457*1.2,P2457)/$W$4</f>
        <v>4610</v>
      </c>
      <c r="R2457" s="270"/>
      <c r="S2457" s="64"/>
      <c r="T2457" s="15">
        <f t="shared" ref="T2457:T2466" si="383">IF(AK2457="","",(1-$W$2)*(AK2457/1.2))</f>
        <v>4108.3333333333339</v>
      </c>
      <c r="U2457" s="267">
        <f t="shared" ref="U2457:U2466" si="384">IF($W$5=0.2,T2457*1.2,T2457)/$W$4</f>
        <v>4930.0000000000009</v>
      </c>
      <c r="V2457" s="270"/>
      <c r="W2457" s="64"/>
      <c r="X2457" s="22"/>
      <c r="Y2457" s="22"/>
      <c r="Z2457" s="22"/>
      <c r="AA2457" s="22"/>
      <c r="AB2457" s="22"/>
      <c r="AC2457" s="332">
        <v>3570</v>
      </c>
      <c r="AD2457" s="332"/>
      <c r="AE2457" s="332">
        <v>4100</v>
      </c>
      <c r="AF2457" s="332"/>
      <c r="AG2457" s="332">
        <v>4320</v>
      </c>
      <c r="AH2457" s="332"/>
      <c r="AI2457" s="332">
        <v>4610</v>
      </c>
      <c r="AJ2457" s="332"/>
      <c r="AK2457" s="332">
        <v>4930</v>
      </c>
      <c r="AL2457" s="289"/>
      <c r="AM2457" s="386">
        <v>3570</v>
      </c>
      <c r="AN2457" s="310">
        <f>AM2457/AC2457-1</f>
        <v>0</v>
      </c>
      <c r="AO2457" s="386">
        <f>AD2457/100*13+AD2457</f>
        <v>0</v>
      </c>
      <c r="AP2457" s="30" t="e">
        <f>AO2457/AD2457-1</f>
        <v>#DIV/0!</v>
      </c>
      <c r="AQ2457" s="386">
        <v>4101</v>
      </c>
      <c r="AR2457" s="30">
        <f>AQ2457/AE2457-1</f>
        <v>2.4390243902439046E-4</v>
      </c>
      <c r="AS2457" s="386">
        <f>AF2457/100*13+AF2457</f>
        <v>0</v>
      </c>
      <c r="AT2457" s="30" t="e">
        <f>AS2457/AF2457-1</f>
        <v>#DIV/0!</v>
      </c>
      <c r="AU2457" s="386">
        <v>4320</v>
      </c>
      <c r="AV2457" s="1">
        <f>AU2457/AG2457-1</f>
        <v>0</v>
      </c>
      <c r="AW2457" s="1">
        <f>AH2457/100*13+AH2457</f>
        <v>0</v>
      </c>
    </row>
    <row r="2458" spans="1:49">
      <c r="A2458" s="8"/>
      <c r="B2458" s="16" t="str">
        <f>IF($C$1="ENG","B (95 - 115 mm)","B (95 - 115 мм)")</f>
        <v>B (95 - 115 мм)</v>
      </c>
      <c r="C2458" s="431"/>
      <c r="D2458" s="18">
        <f t="shared" si="375"/>
        <v>3116.666666666667</v>
      </c>
      <c r="E2458" s="268">
        <f t="shared" si="376"/>
        <v>3740</v>
      </c>
      <c r="F2458" s="271"/>
      <c r="G2458" s="66"/>
      <c r="H2458" s="18">
        <f t="shared" si="377"/>
        <v>3591.666666666667</v>
      </c>
      <c r="I2458" s="268">
        <f t="shared" si="378"/>
        <v>4310</v>
      </c>
      <c r="J2458" s="271"/>
      <c r="K2458" s="66"/>
      <c r="L2458" s="18">
        <f t="shared" si="379"/>
        <v>3766.666666666667</v>
      </c>
      <c r="M2458" s="268">
        <f t="shared" si="380"/>
        <v>4520</v>
      </c>
      <c r="N2458" s="271"/>
      <c r="O2458" s="66"/>
      <c r="P2458" s="18">
        <f t="shared" si="381"/>
        <v>4033.3333333333335</v>
      </c>
      <c r="Q2458" s="268">
        <f t="shared" si="382"/>
        <v>4840</v>
      </c>
      <c r="R2458" s="271"/>
      <c r="S2458" s="66"/>
      <c r="T2458" s="18">
        <f t="shared" si="383"/>
        <v>4308.3333333333339</v>
      </c>
      <c r="U2458" s="268">
        <f t="shared" si="384"/>
        <v>5170.0000000000009</v>
      </c>
      <c r="V2458" s="271"/>
      <c r="W2458" s="66"/>
      <c r="X2458" s="22"/>
      <c r="Y2458" s="22"/>
      <c r="Z2458" s="22"/>
      <c r="AA2458" s="22"/>
      <c r="AB2458" s="22"/>
      <c r="AC2458" s="332">
        <v>3740</v>
      </c>
      <c r="AD2458" s="332"/>
      <c r="AE2458" s="332">
        <v>4310</v>
      </c>
      <c r="AF2458" s="332"/>
      <c r="AG2458" s="332">
        <v>4520</v>
      </c>
      <c r="AH2458" s="332"/>
      <c r="AI2458" s="332">
        <v>4840</v>
      </c>
      <c r="AJ2458" s="332"/>
      <c r="AK2458" s="332">
        <v>5170</v>
      </c>
      <c r="AL2458" s="289"/>
      <c r="AM2458" s="386">
        <v>3740</v>
      </c>
      <c r="AN2458" s="30">
        <f t="shared" ref="AN2458:AN2466" si="385">AM2458/AC2458-1</f>
        <v>0</v>
      </c>
      <c r="AO2458" s="386">
        <f t="shared" ref="AO2458:AO2466" si="386">AD2458/100*13+AD2458</f>
        <v>0</v>
      </c>
      <c r="AP2458" s="30" t="e">
        <f t="shared" ref="AP2458:AP2466" si="387">AO2458/AD2458-1</f>
        <v>#DIV/0!</v>
      </c>
      <c r="AQ2458" s="386">
        <v>4310</v>
      </c>
      <c r="AR2458" s="30">
        <f t="shared" ref="AR2458:AR2466" si="388">AQ2458/AE2458-1</f>
        <v>0</v>
      </c>
      <c r="AS2458" s="386">
        <f t="shared" ref="AS2458:AS2466" si="389">AF2458/100*13+AF2458</f>
        <v>0</v>
      </c>
      <c r="AT2458" s="30" t="e">
        <f t="shared" ref="AT2458:AT2466" si="390">AS2458/AF2458-1</f>
        <v>#DIV/0!</v>
      </c>
      <c r="AU2458" s="386">
        <v>4520</v>
      </c>
      <c r="AV2458" s="1">
        <f t="shared" ref="AV2458:AV2466" si="391">AU2458/AG2458-1</f>
        <v>0</v>
      </c>
      <c r="AW2458" s="1">
        <f t="shared" ref="AW2458:AW2466" si="392">AH2458/100*13+AH2458</f>
        <v>0</v>
      </c>
    </row>
    <row r="2459" spans="1:49">
      <c r="A2459" s="8"/>
      <c r="B2459" s="16" t="str">
        <f>IF($C$1="ENG","B+ (115 - 135 mm)","B+ (115 - 135 мм)")</f>
        <v>B+ (115 - 135 мм)</v>
      </c>
      <c r="C2459" s="431"/>
      <c r="D2459" s="18">
        <f t="shared" si="375"/>
        <v>3183.3333333333335</v>
      </c>
      <c r="E2459" s="268">
        <f t="shared" si="376"/>
        <v>3820</v>
      </c>
      <c r="F2459" s="271"/>
      <c r="G2459" s="66"/>
      <c r="H2459" s="18">
        <f t="shared" si="377"/>
        <v>3666.666666666667</v>
      </c>
      <c r="I2459" s="268">
        <f t="shared" si="378"/>
        <v>4400</v>
      </c>
      <c r="J2459" s="271"/>
      <c r="K2459" s="66"/>
      <c r="L2459" s="18">
        <f t="shared" si="379"/>
        <v>3858.3333333333335</v>
      </c>
      <c r="M2459" s="268">
        <f t="shared" si="380"/>
        <v>4630</v>
      </c>
      <c r="N2459" s="271"/>
      <c r="O2459" s="66"/>
      <c r="P2459" s="18">
        <f t="shared" si="381"/>
        <v>4125</v>
      </c>
      <c r="Q2459" s="268">
        <f t="shared" si="382"/>
        <v>4950</v>
      </c>
      <c r="R2459" s="271"/>
      <c r="S2459" s="66"/>
      <c r="T2459" s="18">
        <f t="shared" si="383"/>
        <v>4400</v>
      </c>
      <c r="U2459" s="268">
        <f t="shared" si="384"/>
        <v>5280</v>
      </c>
      <c r="V2459" s="271"/>
      <c r="W2459" s="66"/>
      <c r="X2459" s="22"/>
      <c r="Y2459" s="22"/>
      <c r="Z2459" s="22"/>
      <c r="AA2459" s="22"/>
      <c r="AB2459" s="22"/>
      <c r="AC2459" s="332">
        <v>3820</v>
      </c>
      <c r="AD2459" s="332"/>
      <c r="AE2459" s="332">
        <v>4400</v>
      </c>
      <c r="AF2459" s="332"/>
      <c r="AG2459" s="332">
        <v>4630</v>
      </c>
      <c r="AH2459" s="332"/>
      <c r="AI2459" s="332">
        <v>4950</v>
      </c>
      <c r="AJ2459" s="332"/>
      <c r="AK2459" s="332">
        <v>5280</v>
      </c>
      <c r="AL2459" s="289"/>
      <c r="AM2459" s="386">
        <v>3820</v>
      </c>
      <c r="AN2459" s="310">
        <f t="shared" si="385"/>
        <v>0</v>
      </c>
      <c r="AO2459" s="386">
        <f t="shared" si="386"/>
        <v>0</v>
      </c>
      <c r="AP2459" s="310" t="e">
        <f t="shared" si="387"/>
        <v>#DIV/0!</v>
      </c>
      <c r="AQ2459" s="386">
        <v>4400</v>
      </c>
      <c r="AR2459" s="30">
        <f t="shared" si="388"/>
        <v>0</v>
      </c>
      <c r="AS2459" s="386">
        <f t="shared" si="389"/>
        <v>0</v>
      </c>
      <c r="AT2459" s="30" t="e">
        <f t="shared" si="390"/>
        <v>#DIV/0!</v>
      </c>
      <c r="AU2459" s="386">
        <v>4630</v>
      </c>
      <c r="AV2459" s="1">
        <f t="shared" si="391"/>
        <v>0</v>
      </c>
      <c r="AW2459" s="1">
        <f t="shared" si="392"/>
        <v>0</v>
      </c>
    </row>
    <row r="2460" spans="1:49">
      <c r="A2460" s="8"/>
      <c r="B2460" s="16" t="str">
        <f>IF($C$1="ENG","C (120 - 140 mm)","C (120 - 140 мм)")</f>
        <v>C (120 - 140 мм)</v>
      </c>
      <c r="C2460" s="431"/>
      <c r="D2460" s="18">
        <f t="shared" si="375"/>
        <v>3258.3333333333335</v>
      </c>
      <c r="E2460" s="268">
        <f t="shared" si="376"/>
        <v>3910</v>
      </c>
      <c r="F2460" s="271"/>
      <c r="G2460" s="66"/>
      <c r="H2460" s="18">
        <f t="shared" si="377"/>
        <v>3750</v>
      </c>
      <c r="I2460" s="268">
        <f t="shared" si="378"/>
        <v>4500</v>
      </c>
      <c r="J2460" s="271"/>
      <c r="K2460" s="66"/>
      <c r="L2460" s="18">
        <f t="shared" si="379"/>
        <v>3925</v>
      </c>
      <c r="M2460" s="268">
        <f t="shared" si="380"/>
        <v>4710</v>
      </c>
      <c r="N2460" s="271"/>
      <c r="O2460" s="66"/>
      <c r="P2460" s="18">
        <f t="shared" si="381"/>
        <v>4216.666666666667</v>
      </c>
      <c r="Q2460" s="268">
        <f t="shared" si="382"/>
        <v>5060</v>
      </c>
      <c r="R2460" s="271"/>
      <c r="S2460" s="66"/>
      <c r="T2460" s="18">
        <f t="shared" si="383"/>
        <v>4500</v>
      </c>
      <c r="U2460" s="268">
        <f t="shared" si="384"/>
        <v>5400</v>
      </c>
      <c r="V2460" s="271"/>
      <c r="W2460" s="66"/>
      <c r="X2460" s="22"/>
      <c r="Y2460" s="22"/>
      <c r="Z2460" s="22"/>
      <c r="AA2460" s="22"/>
      <c r="AB2460" s="22"/>
      <c r="AC2460" s="332">
        <v>3910</v>
      </c>
      <c r="AD2460" s="332"/>
      <c r="AE2460" s="332">
        <v>4500</v>
      </c>
      <c r="AF2460" s="332"/>
      <c r="AG2460" s="332">
        <v>4710</v>
      </c>
      <c r="AH2460" s="332"/>
      <c r="AI2460" s="332">
        <v>5060</v>
      </c>
      <c r="AJ2460" s="332"/>
      <c r="AK2460" s="332">
        <v>5400</v>
      </c>
      <c r="AL2460" s="289"/>
      <c r="AM2460" s="386">
        <v>3910</v>
      </c>
      <c r="AN2460" s="310">
        <f t="shared" si="385"/>
        <v>0</v>
      </c>
      <c r="AO2460" s="386">
        <f t="shared" si="386"/>
        <v>0</v>
      </c>
      <c r="AP2460" s="30" t="e">
        <f t="shared" si="387"/>
        <v>#DIV/0!</v>
      </c>
      <c r="AQ2460" s="386">
        <v>4400</v>
      </c>
      <c r="AR2460" s="30">
        <f t="shared" si="388"/>
        <v>-2.2222222222222254E-2</v>
      </c>
      <c r="AS2460" s="386">
        <f t="shared" si="389"/>
        <v>0</v>
      </c>
      <c r="AT2460" s="30" t="e">
        <f t="shared" si="390"/>
        <v>#DIV/0!</v>
      </c>
      <c r="AU2460" s="386">
        <v>4710</v>
      </c>
      <c r="AV2460" s="1">
        <f t="shared" si="391"/>
        <v>0</v>
      </c>
      <c r="AW2460" s="1">
        <f t="shared" si="392"/>
        <v>0</v>
      </c>
    </row>
    <row r="2461" spans="1:49">
      <c r="A2461" s="8"/>
      <c r="B2461" s="16" t="str">
        <f>IF($C$1="ENG","D (140 - 160 mm)","D (140 - 160 мм)")</f>
        <v>D (140 - 160 мм)</v>
      </c>
      <c r="C2461" s="431"/>
      <c r="D2461" s="18">
        <f t="shared" si="375"/>
        <v>3400</v>
      </c>
      <c r="E2461" s="268">
        <f t="shared" si="376"/>
        <v>4080</v>
      </c>
      <c r="F2461" s="271"/>
      <c r="G2461" s="66"/>
      <c r="H2461" s="18">
        <f t="shared" si="377"/>
        <v>3908.3333333333335</v>
      </c>
      <c r="I2461" s="268">
        <f t="shared" si="378"/>
        <v>4690</v>
      </c>
      <c r="J2461" s="271"/>
      <c r="K2461" s="66"/>
      <c r="L2461" s="18">
        <f t="shared" si="379"/>
        <v>4108.3333333333339</v>
      </c>
      <c r="M2461" s="268">
        <f t="shared" si="380"/>
        <v>4930.0000000000009</v>
      </c>
      <c r="N2461" s="271"/>
      <c r="O2461" s="66"/>
      <c r="P2461" s="18">
        <f t="shared" si="381"/>
        <v>4408.3333333333339</v>
      </c>
      <c r="Q2461" s="268">
        <f t="shared" si="382"/>
        <v>5290.0000000000009</v>
      </c>
      <c r="R2461" s="271"/>
      <c r="S2461" s="66"/>
      <c r="T2461" s="18">
        <f t="shared" si="383"/>
        <v>4708.3333333333339</v>
      </c>
      <c r="U2461" s="268">
        <f t="shared" si="384"/>
        <v>5650.0000000000009</v>
      </c>
      <c r="V2461" s="271"/>
      <c r="W2461" s="66"/>
      <c r="X2461" s="22"/>
      <c r="Y2461" s="22"/>
      <c r="Z2461" s="22"/>
      <c r="AA2461" s="22"/>
      <c r="AB2461" s="22"/>
      <c r="AC2461" s="332">
        <v>4080</v>
      </c>
      <c r="AD2461" s="332"/>
      <c r="AE2461" s="332">
        <v>4690</v>
      </c>
      <c r="AF2461" s="332"/>
      <c r="AG2461" s="332">
        <v>4930</v>
      </c>
      <c r="AH2461" s="332"/>
      <c r="AI2461" s="332">
        <v>5290</v>
      </c>
      <c r="AJ2461" s="332"/>
      <c r="AK2461" s="332">
        <v>5650</v>
      </c>
      <c r="AL2461" s="289"/>
      <c r="AM2461" s="386">
        <v>4080</v>
      </c>
      <c r="AN2461" s="310">
        <f t="shared" si="385"/>
        <v>0</v>
      </c>
      <c r="AO2461" s="386">
        <f t="shared" si="386"/>
        <v>0</v>
      </c>
      <c r="AP2461" s="30" t="e">
        <f t="shared" si="387"/>
        <v>#DIV/0!</v>
      </c>
      <c r="AQ2461" s="386">
        <v>4690</v>
      </c>
      <c r="AR2461" s="30">
        <f t="shared" si="388"/>
        <v>0</v>
      </c>
      <c r="AS2461" s="386">
        <f t="shared" si="389"/>
        <v>0</v>
      </c>
      <c r="AT2461" s="30" t="e">
        <f t="shared" si="390"/>
        <v>#DIV/0!</v>
      </c>
      <c r="AU2461" s="386">
        <v>4930</v>
      </c>
      <c r="AV2461" s="1">
        <f t="shared" si="391"/>
        <v>0</v>
      </c>
      <c r="AW2461" s="1">
        <f t="shared" si="392"/>
        <v>0</v>
      </c>
    </row>
    <row r="2462" spans="1:49">
      <c r="A2462" s="8"/>
      <c r="B2462" s="16" t="str">
        <f>IF($C$1="ENG","E (160 - 180 mm)","E (160 - 180 мм)")</f>
        <v>E (160 - 180 мм)</v>
      </c>
      <c r="C2462" s="431"/>
      <c r="D2462" s="18">
        <f t="shared" si="375"/>
        <v>3541.666666666667</v>
      </c>
      <c r="E2462" s="268">
        <f t="shared" si="376"/>
        <v>4250</v>
      </c>
      <c r="F2462" s="271"/>
      <c r="G2462" s="66"/>
      <c r="H2462" s="18">
        <f t="shared" si="377"/>
        <v>4066.666666666667</v>
      </c>
      <c r="I2462" s="268">
        <f t="shared" si="378"/>
        <v>4880</v>
      </c>
      <c r="J2462" s="271"/>
      <c r="K2462" s="66"/>
      <c r="L2462" s="18">
        <f t="shared" si="379"/>
        <v>4283.3333333333339</v>
      </c>
      <c r="M2462" s="268">
        <f t="shared" si="380"/>
        <v>5140.0000000000009</v>
      </c>
      <c r="N2462" s="271"/>
      <c r="O2462" s="66"/>
      <c r="P2462" s="18">
        <f t="shared" si="381"/>
        <v>4600</v>
      </c>
      <c r="Q2462" s="268">
        <f t="shared" si="382"/>
        <v>5520</v>
      </c>
      <c r="R2462" s="271"/>
      <c r="S2462" s="66"/>
      <c r="T2462" s="18">
        <f t="shared" si="383"/>
        <v>4908.3333333333339</v>
      </c>
      <c r="U2462" s="268">
        <f t="shared" si="384"/>
        <v>5890.0000000000009</v>
      </c>
      <c r="V2462" s="271"/>
      <c r="W2462" s="66"/>
      <c r="X2462" s="22"/>
      <c r="Y2462" s="22"/>
      <c r="Z2462" s="22"/>
      <c r="AA2462" s="22"/>
      <c r="AB2462" s="22"/>
      <c r="AC2462" s="332">
        <v>4250</v>
      </c>
      <c r="AD2462" s="332"/>
      <c r="AE2462" s="332">
        <v>4880</v>
      </c>
      <c r="AF2462" s="332"/>
      <c r="AG2462" s="332">
        <v>5140</v>
      </c>
      <c r="AH2462" s="332"/>
      <c r="AI2462" s="332">
        <v>5520</v>
      </c>
      <c r="AJ2462" s="332"/>
      <c r="AK2462" s="332">
        <v>5890</v>
      </c>
      <c r="AL2462" s="289"/>
      <c r="AM2462" s="386">
        <v>4250</v>
      </c>
      <c r="AN2462" s="310">
        <f t="shared" si="385"/>
        <v>0</v>
      </c>
      <c r="AO2462" s="386">
        <f t="shared" si="386"/>
        <v>0</v>
      </c>
      <c r="AP2462" s="30" t="e">
        <f t="shared" si="387"/>
        <v>#DIV/0!</v>
      </c>
      <c r="AQ2462" s="386">
        <v>4880</v>
      </c>
      <c r="AR2462" s="30">
        <f t="shared" si="388"/>
        <v>0</v>
      </c>
      <c r="AS2462" s="386">
        <f t="shared" si="389"/>
        <v>0</v>
      </c>
      <c r="AT2462" s="30" t="e">
        <f t="shared" si="390"/>
        <v>#DIV/0!</v>
      </c>
      <c r="AU2462" s="386">
        <v>5140</v>
      </c>
      <c r="AV2462" s="1">
        <f t="shared" si="391"/>
        <v>0</v>
      </c>
      <c r="AW2462" s="1">
        <f t="shared" si="392"/>
        <v>0</v>
      </c>
    </row>
    <row r="2463" spans="1:49">
      <c r="A2463" s="8"/>
      <c r="B2463" s="16" t="str">
        <f>IF($C$1="ENG","F (180 - 200 mm)","F (180 - 200 мм)")</f>
        <v>F (180 - 200 мм)</v>
      </c>
      <c r="C2463" s="431"/>
      <c r="D2463" s="18">
        <f t="shared" si="375"/>
        <v>3683.3333333333335</v>
      </c>
      <c r="E2463" s="268">
        <f t="shared" si="376"/>
        <v>4420</v>
      </c>
      <c r="F2463" s="271"/>
      <c r="G2463" s="66"/>
      <c r="H2463" s="18">
        <f t="shared" si="377"/>
        <v>4241.666666666667</v>
      </c>
      <c r="I2463" s="268">
        <f t="shared" si="378"/>
        <v>5090</v>
      </c>
      <c r="J2463" s="271"/>
      <c r="K2463" s="66"/>
      <c r="L2463" s="18">
        <f t="shared" si="379"/>
        <v>4458.3333333333339</v>
      </c>
      <c r="M2463" s="268">
        <f t="shared" si="380"/>
        <v>5350.0000000000009</v>
      </c>
      <c r="N2463" s="271"/>
      <c r="O2463" s="66"/>
      <c r="P2463" s="18">
        <f t="shared" si="381"/>
        <v>4783.3333333333339</v>
      </c>
      <c r="Q2463" s="268">
        <f t="shared" si="382"/>
        <v>5740.0000000000009</v>
      </c>
      <c r="R2463" s="271"/>
      <c r="S2463" s="66"/>
      <c r="T2463" s="18">
        <f t="shared" si="383"/>
        <v>5116.666666666667</v>
      </c>
      <c r="U2463" s="268">
        <f t="shared" si="384"/>
        <v>6140</v>
      </c>
      <c r="V2463" s="271"/>
      <c r="W2463" s="66"/>
      <c r="X2463" s="22"/>
      <c r="Y2463" s="22"/>
      <c r="Z2463" s="22"/>
      <c r="AA2463" s="22"/>
      <c r="AB2463" s="22"/>
      <c r="AC2463" s="332">
        <v>4420</v>
      </c>
      <c r="AD2463" s="332"/>
      <c r="AE2463" s="332">
        <v>5090</v>
      </c>
      <c r="AF2463" s="332"/>
      <c r="AG2463" s="332">
        <v>5350</v>
      </c>
      <c r="AH2463" s="332"/>
      <c r="AI2463" s="332">
        <v>5740</v>
      </c>
      <c r="AJ2463" s="332"/>
      <c r="AK2463" s="332">
        <v>6140</v>
      </c>
      <c r="AL2463" s="289"/>
      <c r="AM2463" s="386">
        <v>4420</v>
      </c>
      <c r="AN2463" s="310">
        <f t="shared" si="385"/>
        <v>0</v>
      </c>
      <c r="AO2463" s="386">
        <f t="shared" si="386"/>
        <v>0</v>
      </c>
      <c r="AP2463" s="30" t="e">
        <f t="shared" si="387"/>
        <v>#DIV/0!</v>
      </c>
      <c r="AQ2463" s="386">
        <v>5090</v>
      </c>
      <c r="AR2463" s="30">
        <f t="shared" si="388"/>
        <v>0</v>
      </c>
      <c r="AS2463" s="386">
        <f t="shared" si="389"/>
        <v>0</v>
      </c>
      <c r="AT2463" s="30" t="e">
        <f t="shared" si="390"/>
        <v>#DIV/0!</v>
      </c>
      <c r="AU2463" s="386">
        <v>5350</v>
      </c>
      <c r="AV2463" s="1">
        <f t="shared" si="391"/>
        <v>0</v>
      </c>
      <c r="AW2463" s="1">
        <f t="shared" si="392"/>
        <v>0</v>
      </c>
    </row>
    <row r="2464" spans="1:49">
      <c r="A2464" s="8"/>
      <c r="B2464" s="16" t="str">
        <f>IF($C$1="ENG","G (200 - 220 mm)","G (200 - 220 мм)")</f>
        <v>G (200 - 220 мм)</v>
      </c>
      <c r="C2464" s="431"/>
      <c r="D2464" s="18">
        <f t="shared" si="375"/>
        <v>3825</v>
      </c>
      <c r="E2464" s="268">
        <f t="shared" si="376"/>
        <v>4590</v>
      </c>
      <c r="F2464" s="271"/>
      <c r="G2464" s="66"/>
      <c r="H2464" s="18">
        <f t="shared" si="377"/>
        <v>4400</v>
      </c>
      <c r="I2464" s="268">
        <f t="shared" si="378"/>
        <v>5280</v>
      </c>
      <c r="J2464" s="271"/>
      <c r="K2464" s="66"/>
      <c r="L2464" s="18">
        <f t="shared" si="379"/>
        <v>4633.3333333333339</v>
      </c>
      <c r="M2464" s="268">
        <f t="shared" si="380"/>
        <v>5560.0000000000009</v>
      </c>
      <c r="N2464" s="271"/>
      <c r="O2464" s="66"/>
      <c r="P2464" s="18">
        <f t="shared" si="381"/>
        <v>4975</v>
      </c>
      <c r="Q2464" s="268">
        <f t="shared" si="382"/>
        <v>5970</v>
      </c>
      <c r="R2464" s="271"/>
      <c r="S2464" s="66"/>
      <c r="T2464" s="18">
        <f t="shared" si="383"/>
        <v>5308.3333333333339</v>
      </c>
      <c r="U2464" s="268">
        <f t="shared" si="384"/>
        <v>6370.0000000000009</v>
      </c>
      <c r="V2464" s="271"/>
      <c r="W2464" s="66"/>
      <c r="X2464" s="22"/>
      <c r="Y2464" s="22"/>
      <c r="Z2464" s="22"/>
      <c r="AA2464" s="22"/>
      <c r="AB2464" s="22"/>
      <c r="AC2464" s="332">
        <v>4590</v>
      </c>
      <c r="AD2464" s="332"/>
      <c r="AE2464" s="332">
        <v>5280</v>
      </c>
      <c r="AF2464" s="332"/>
      <c r="AG2464" s="332">
        <v>5560</v>
      </c>
      <c r="AH2464" s="332"/>
      <c r="AI2464" s="332">
        <v>5970</v>
      </c>
      <c r="AJ2464" s="332"/>
      <c r="AK2464" s="332">
        <v>6370</v>
      </c>
      <c r="AL2464" s="289"/>
      <c r="AM2464" s="386">
        <v>4590</v>
      </c>
      <c r="AN2464" s="310">
        <f t="shared" si="385"/>
        <v>0</v>
      </c>
      <c r="AO2464" s="386">
        <f t="shared" si="386"/>
        <v>0</v>
      </c>
      <c r="AP2464" s="30" t="e">
        <f t="shared" si="387"/>
        <v>#DIV/0!</v>
      </c>
      <c r="AQ2464" s="386">
        <v>5280</v>
      </c>
      <c r="AR2464" s="30">
        <f t="shared" si="388"/>
        <v>0</v>
      </c>
      <c r="AS2464" s="386">
        <f t="shared" si="389"/>
        <v>0</v>
      </c>
      <c r="AT2464" s="30" t="e">
        <f t="shared" si="390"/>
        <v>#DIV/0!</v>
      </c>
      <c r="AU2464" s="386">
        <v>5560</v>
      </c>
      <c r="AV2464" s="1">
        <f t="shared" si="391"/>
        <v>0</v>
      </c>
      <c r="AW2464" s="1">
        <f t="shared" si="392"/>
        <v>0</v>
      </c>
    </row>
    <row r="2465" spans="1:49">
      <c r="A2465" s="8"/>
      <c r="B2465" s="16" t="str">
        <f>IF($C$1="ENG","H (220 - 240 mm)","H (220 - 240 мм)")</f>
        <v>H (220 - 240 мм)</v>
      </c>
      <c r="C2465" s="431"/>
      <c r="D2465" s="18">
        <f t="shared" si="375"/>
        <v>3966.666666666667</v>
      </c>
      <c r="E2465" s="268">
        <f t="shared" si="376"/>
        <v>4760</v>
      </c>
      <c r="F2465" s="271"/>
      <c r="G2465" s="66"/>
      <c r="H2465" s="18">
        <f t="shared" si="377"/>
        <v>4558.3333333333339</v>
      </c>
      <c r="I2465" s="268">
        <f t="shared" si="378"/>
        <v>5470.0000000000009</v>
      </c>
      <c r="J2465" s="271"/>
      <c r="K2465" s="66"/>
      <c r="L2465" s="18">
        <f t="shared" si="379"/>
        <v>4800</v>
      </c>
      <c r="M2465" s="268">
        <f t="shared" si="380"/>
        <v>5760</v>
      </c>
      <c r="N2465" s="271"/>
      <c r="O2465" s="66"/>
      <c r="P2465" s="18">
        <f t="shared" si="381"/>
        <v>5158.3333333333339</v>
      </c>
      <c r="Q2465" s="268">
        <f t="shared" si="382"/>
        <v>6190.0000000000009</v>
      </c>
      <c r="R2465" s="271"/>
      <c r="S2465" s="66"/>
      <c r="T2465" s="18">
        <f t="shared" si="383"/>
        <v>5500</v>
      </c>
      <c r="U2465" s="268">
        <f t="shared" si="384"/>
        <v>6600</v>
      </c>
      <c r="V2465" s="271"/>
      <c r="W2465" s="66"/>
      <c r="X2465" s="22"/>
      <c r="Y2465" s="22"/>
      <c r="Z2465" s="22"/>
      <c r="AA2465" s="22"/>
      <c r="AB2465" s="22"/>
      <c r="AC2465" s="332">
        <v>4760</v>
      </c>
      <c r="AD2465" s="332"/>
      <c r="AE2465" s="332">
        <v>5470</v>
      </c>
      <c r="AF2465" s="332"/>
      <c r="AG2465" s="332">
        <v>5760</v>
      </c>
      <c r="AH2465" s="332"/>
      <c r="AI2465" s="332">
        <v>6190</v>
      </c>
      <c r="AJ2465" s="332"/>
      <c r="AK2465" s="332">
        <v>6600</v>
      </c>
      <c r="AL2465" s="289"/>
      <c r="AM2465" s="386">
        <v>4760</v>
      </c>
      <c r="AN2465" s="310">
        <f t="shared" si="385"/>
        <v>0</v>
      </c>
      <c r="AO2465" s="386">
        <f t="shared" si="386"/>
        <v>0</v>
      </c>
      <c r="AP2465" s="30" t="e">
        <f t="shared" si="387"/>
        <v>#DIV/0!</v>
      </c>
      <c r="AQ2465" s="386">
        <v>5470</v>
      </c>
      <c r="AR2465" s="30">
        <f t="shared" si="388"/>
        <v>0</v>
      </c>
      <c r="AS2465" s="386">
        <f t="shared" si="389"/>
        <v>0</v>
      </c>
      <c r="AT2465" s="30" t="e">
        <f t="shared" si="390"/>
        <v>#DIV/0!</v>
      </c>
      <c r="AU2465" s="386">
        <v>5760</v>
      </c>
      <c r="AV2465" s="1">
        <f t="shared" si="391"/>
        <v>0</v>
      </c>
      <c r="AW2465" s="1">
        <f t="shared" si="392"/>
        <v>0</v>
      </c>
    </row>
    <row r="2466" spans="1:49">
      <c r="A2466" s="8"/>
      <c r="B2466" s="23" t="str">
        <f>IF($C$1="ENG","I (240 - 260 mm)","I (240 - 260 мм)")</f>
        <v>I (240 - 260 мм)</v>
      </c>
      <c r="C2466" s="432"/>
      <c r="D2466" s="25">
        <f t="shared" si="375"/>
        <v>4108.3333333333339</v>
      </c>
      <c r="E2466" s="269">
        <f t="shared" si="376"/>
        <v>4930.0000000000009</v>
      </c>
      <c r="F2466" s="272"/>
      <c r="G2466" s="69"/>
      <c r="H2466" s="25">
        <f t="shared" si="377"/>
        <v>4716.666666666667</v>
      </c>
      <c r="I2466" s="269">
        <f t="shared" si="378"/>
        <v>5660</v>
      </c>
      <c r="J2466" s="272"/>
      <c r="K2466" s="69"/>
      <c r="L2466" s="25">
        <f t="shared" si="379"/>
        <v>4991.666666666667</v>
      </c>
      <c r="M2466" s="269">
        <f t="shared" si="380"/>
        <v>5990</v>
      </c>
      <c r="N2466" s="272"/>
      <c r="O2466" s="69"/>
      <c r="P2466" s="25">
        <f t="shared" si="381"/>
        <v>5350</v>
      </c>
      <c r="Q2466" s="269">
        <f t="shared" si="382"/>
        <v>6420</v>
      </c>
      <c r="R2466" s="272"/>
      <c r="S2466" s="69"/>
      <c r="T2466" s="25">
        <f t="shared" si="383"/>
        <v>5708.3333333333339</v>
      </c>
      <c r="U2466" s="269">
        <f t="shared" si="384"/>
        <v>6850.0000000000009</v>
      </c>
      <c r="V2466" s="272"/>
      <c r="W2466" s="69"/>
      <c r="X2466" s="22"/>
      <c r="Y2466" s="22"/>
      <c r="Z2466" s="22"/>
      <c r="AA2466" s="22"/>
      <c r="AB2466" s="22"/>
      <c r="AC2466" s="451">
        <v>4930</v>
      </c>
      <c r="AD2466" s="451"/>
      <c r="AE2466" s="451">
        <v>5660</v>
      </c>
      <c r="AF2466" s="451"/>
      <c r="AG2466" s="451">
        <v>5990</v>
      </c>
      <c r="AH2466" s="451"/>
      <c r="AI2466" s="451">
        <v>6420</v>
      </c>
      <c r="AJ2466" s="451"/>
      <c r="AK2466" s="451">
        <v>6850</v>
      </c>
      <c r="AL2466" s="452"/>
      <c r="AM2466" s="386">
        <v>4930</v>
      </c>
      <c r="AN2466" s="310">
        <f t="shared" si="385"/>
        <v>0</v>
      </c>
      <c r="AO2466" s="386">
        <f t="shared" si="386"/>
        <v>0</v>
      </c>
      <c r="AP2466" s="30" t="e">
        <f t="shared" si="387"/>
        <v>#DIV/0!</v>
      </c>
      <c r="AQ2466" s="386">
        <v>5660</v>
      </c>
      <c r="AR2466" s="30">
        <f t="shared" si="388"/>
        <v>0</v>
      </c>
      <c r="AS2466" s="386">
        <f t="shared" si="389"/>
        <v>0</v>
      </c>
      <c r="AT2466" s="30" t="e">
        <f t="shared" si="390"/>
        <v>#DIV/0!</v>
      </c>
      <c r="AU2466" s="386">
        <v>5990</v>
      </c>
      <c r="AV2466" s="1">
        <f t="shared" si="391"/>
        <v>0</v>
      </c>
      <c r="AW2466" s="1">
        <f t="shared" si="392"/>
        <v>0</v>
      </c>
    </row>
    <row r="2467" spans="1:49" s="8" customFormat="1">
      <c r="B2467" s="450"/>
      <c r="C2467" s="427"/>
      <c r="D2467" s="28"/>
      <c r="E2467" s="59"/>
      <c r="F2467" s="28"/>
      <c r="G2467" s="59"/>
      <c r="H2467" s="28"/>
      <c r="I2467" s="59"/>
      <c r="J2467" s="28"/>
      <c r="K2467" s="59"/>
      <c r="L2467" s="28"/>
      <c r="M2467" s="59"/>
      <c r="N2467" s="28"/>
      <c r="O2467" s="59"/>
      <c r="P2467" s="28"/>
      <c r="Q2467" s="59"/>
      <c r="R2467" s="28"/>
      <c r="S2467" s="59"/>
      <c r="T2467" s="28"/>
      <c r="U2467" s="59"/>
      <c r="V2467" s="28"/>
      <c r="W2467" s="59"/>
      <c r="X2467" s="40"/>
      <c r="Y2467" s="40"/>
      <c r="Z2467" s="40"/>
      <c r="AA2467" s="40"/>
      <c r="AB2467" s="40"/>
      <c r="AC2467" s="48"/>
      <c r="AD2467" s="48"/>
      <c r="AE2467" s="48"/>
      <c r="AF2467" s="48"/>
      <c r="AG2467" s="48"/>
      <c r="AH2467" s="48"/>
      <c r="AI2467" s="48"/>
      <c r="AJ2467" s="48"/>
      <c r="AK2467" s="48"/>
      <c r="AL2467" s="48"/>
      <c r="AM2467" s="455"/>
      <c r="AN2467" s="456"/>
      <c r="AO2467" s="455"/>
      <c r="AP2467" s="280"/>
      <c r="AQ2467" s="455"/>
      <c r="AR2467" s="280"/>
      <c r="AS2467" s="455"/>
      <c r="AT2467" s="280"/>
      <c r="AU2467" s="455"/>
    </row>
    <row r="2468" spans="1:49" s="8" customFormat="1">
      <c r="B2468" s="450"/>
      <c r="C2468" s="427"/>
      <c r="D2468" s="28"/>
      <c r="E2468" s="59"/>
      <c r="F2468" s="28"/>
      <c r="G2468" s="59"/>
      <c r="H2468" s="28"/>
      <c r="I2468" s="59"/>
      <c r="J2468" s="28"/>
      <c r="K2468" s="59"/>
      <c r="L2468" s="28"/>
      <c r="M2468" s="59"/>
      <c r="N2468" s="28"/>
      <c r="O2468" s="59"/>
      <c r="P2468" s="28"/>
      <c r="Q2468" s="59"/>
      <c r="R2468" s="28"/>
      <c r="S2468" s="59"/>
      <c r="T2468" s="28"/>
      <c r="U2468" s="59"/>
      <c r="V2468" s="28"/>
      <c r="W2468" s="59"/>
      <c r="X2468" s="40"/>
      <c r="Y2468" s="40"/>
      <c r="Z2468" s="40"/>
      <c r="AA2468" s="40"/>
      <c r="AB2468" s="40"/>
      <c r="AC2468" s="48"/>
      <c r="AD2468" s="48"/>
      <c r="AE2468" s="48"/>
      <c r="AF2468" s="48"/>
      <c r="AG2468" s="48"/>
      <c r="AH2468" s="48"/>
      <c r="AI2468" s="48"/>
      <c r="AJ2468" s="48"/>
      <c r="AK2468" s="48"/>
      <c r="AL2468" s="48"/>
      <c r="AM2468" s="455"/>
      <c r="AN2468" s="456"/>
      <c r="AO2468" s="455"/>
      <c r="AP2468" s="280"/>
      <c r="AQ2468" s="455"/>
      <c r="AR2468" s="280"/>
      <c r="AS2468" s="455"/>
      <c r="AT2468" s="280"/>
      <c r="AU2468" s="455"/>
    </row>
    <row r="2469" spans="1:49" s="48" customFormat="1" ht="24.95" customHeight="1">
      <c r="B2469" s="54" t="str">
        <f>IF($C$1="ENG","ADJUSTABLE PANELS","ПЛАНКИ РЕГУЛЮВАЛЬНІ")</f>
        <v>ПЛАНКИ РЕГУЛЮВАЛЬНІ</v>
      </c>
      <c r="C2469" s="427"/>
      <c r="D2469" s="28"/>
      <c r="E2469" s="541" t="str">
        <f>IF($C$1="ENG","For Door Frames Verto-FIT Comfort","Для Дверних Коробок Verto-FIT  Comfort")</f>
        <v>Для Дверних Коробок Verto-FIT  Comfort</v>
      </c>
      <c r="F2469" s="541"/>
      <c r="G2469" s="541"/>
      <c r="H2469" s="541"/>
      <c r="I2469" s="541"/>
      <c r="J2469" s="541"/>
      <c r="K2469" s="541"/>
      <c r="L2469" s="28"/>
      <c r="M2469" s="106"/>
      <c r="N2469" s="28"/>
      <c r="O2469" s="29"/>
      <c r="P2469" s="28"/>
      <c r="Q2469" s="106"/>
      <c r="R2469" s="28"/>
      <c r="S2469" s="29"/>
      <c r="T2469" s="153"/>
      <c r="U2469" s="155"/>
      <c r="V2469" s="153"/>
      <c r="W2469" s="154"/>
      <c r="AN2469" s="56"/>
      <c r="AO2469" s="56"/>
      <c r="AP2469" s="56"/>
      <c r="AQ2469" s="56"/>
      <c r="AR2469" s="56"/>
      <c r="AS2469" s="56"/>
      <c r="AT2469" s="56"/>
    </row>
    <row r="2470" spans="1:49" ht="34.5" customHeight="1">
      <c r="A2470" s="8"/>
      <c r="B2470" s="244" t="str">
        <f>IF($C$1="ENG","Panel (1 set) 80 mm","Планка (1 к-т) 80 мм")</f>
        <v>Планка (1 к-т) 80 мм</v>
      </c>
      <c r="C2470" s="433"/>
      <c r="D2470" s="15">
        <f>IF(AC2470="","",(1-$W$2)*(AC2470/1.2))</f>
        <v>991.66666666666674</v>
      </c>
      <c r="E2470" s="299">
        <f>IF($W$5=0.2,D2470*1.2,D2470)/$W$4</f>
        <v>1190</v>
      </c>
      <c r="F2470" s="270"/>
      <c r="G2470" s="64"/>
      <c r="H2470" s="15">
        <f>IF(AE2470="","",(1-$W$2)*(AE2470/1.2))</f>
        <v>1091.6666666666667</v>
      </c>
      <c r="I2470" s="267">
        <f>IF($W$5=0.2,H2470*1.2,H2470)/$W$4</f>
        <v>1310</v>
      </c>
      <c r="J2470" s="270"/>
      <c r="K2470" s="64"/>
      <c r="L2470" s="15">
        <f>IF(AG2470="","",(1-$W$2)*(AG2470/1.2))</f>
        <v>1158.3333333333335</v>
      </c>
      <c r="M2470" s="267">
        <f>IF($W$5=0.2,L2470*1.2,L2470)/$W$4</f>
        <v>1390.0000000000002</v>
      </c>
      <c r="N2470" s="270"/>
      <c r="O2470" s="64"/>
      <c r="P2470" s="15">
        <f>IF(AI2470="","",(1-$W$2)*(AI2470/1.2))</f>
        <v>1225</v>
      </c>
      <c r="Q2470" s="267">
        <f>IF($W$5=0.2,P2470*1.2,P2470)/$W$4</f>
        <v>1470</v>
      </c>
      <c r="R2470" s="270"/>
      <c r="S2470" s="64"/>
      <c r="T2470" s="15">
        <f>IF(AK2470="","",(1-$W$2)*(AK2470/1.2))</f>
        <v>1291.6666666666667</v>
      </c>
      <c r="U2470" s="267">
        <f>IF($W$5=0.2,T2470*1.2,T2470)/$W$4</f>
        <v>1550</v>
      </c>
      <c r="V2470" s="270"/>
      <c r="W2470" s="64"/>
      <c r="AC2470" s="332">
        <v>1190</v>
      </c>
      <c r="AD2470" s="332"/>
      <c r="AE2470" s="332">
        <v>1310</v>
      </c>
      <c r="AF2470" s="332"/>
      <c r="AG2470" s="332">
        <v>1390</v>
      </c>
      <c r="AH2470" s="332"/>
      <c r="AI2470" s="332">
        <v>1470</v>
      </c>
      <c r="AJ2470" s="332"/>
      <c r="AK2470" s="332">
        <v>1550</v>
      </c>
      <c r="AL2470" s="289"/>
      <c r="AM2470" s="386">
        <v>1190</v>
      </c>
      <c r="AN2470" s="310">
        <f>AM2470/AC2470-1</f>
        <v>0</v>
      </c>
      <c r="AO2470" s="386">
        <f>AD2470/100*13+AD2470</f>
        <v>0</v>
      </c>
      <c r="AP2470" s="30" t="e">
        <f>AO2470/AD2470-1</f>
        <v>#DIV/0!</v>
      </c>
      <c r="AQ2470" s="386">
        <v>1310</v>
      </c>
      <c r="AR2470" s="30">
        <f>AQ2470/AE2470-1</f>
        <v>0</v>
      </c>
      <c r="AS2470" s="386">
        <f>AF2470/100*13+AF2470</f>
        <v>0</v>
      </c>
      <c r="AT2470" s="30" t="e">
        <f>AS2470/AF2470-1</f>
        <v>#DIV/0!</v>
      </c>
      <c r="AU2470" s="386">
        <v>1390</v>
      </c>
      <c r="AV2470" s="1">
        <f>AU2470/AG2470-1</f>
        <v>0</v>
      </c>
      <c r="AW2470" s="1">
        <f>AH2470/100*13+AH2470</f>
        <v>0</v>
      </c>
    </row>
    <row r="2471" spans="1:49" ht="34.5" customHeight="1">
      <c r="A2471" s="8"/>
      <c r="B2471" s="312" t="str">
        <f>IF($C$1="ENG","Panel (1 set) 160 mm","Планка (1 к-т) 160 мм")</f>
        <v>Планка (1 к-т) 160 мм</v>
      </c>
      <c r="C2471" s="431"/>
      <c r="D2471" s="18">
        <f>IF(AC2471="","",(1-$W$2)*(AC2471/1.2))</f>
        <v>1650</v>
      </c>
      <c r="E2471" s="268">
        <f>IF($W$5=0.2,D2471*1.2,D2471)/$W$4</f>
        <v>1980</v>
      </c>
      <c r="F2471" s="271"/>
      <c r="G2471" s="66"/>
      <c r="H2471" s="18">
        <f>IF(AE2471="","",(1-$W$2)*(AE2471/1.2))</f>
        <v>1875</v>
      </c>
      <c r="I2471" s="268">
        <f>IF($W$5=0.2,H2471*1.2,H2471)/$W$4</f>
        <v>2250</v>
      </c>
      <c r="J2471" s="271"/>
      <c r="K2471" s="66"/>
      <c r="L2471" s="18">
        <f>IF(AG2471="","",(1-$W$2)*(AG2471/1.2))</f>
        <v>1991.6666666666667</v>
      </c>
      <c r="M2471" s="268">
        <f>IF($W$5=0.2,L2471*1.2,L2471)/$W$4</f>
        <v>2390</v>
      </c>
      <c r="N2471" s="271"/>
      <c r="O2471" s="66"/>
      <c r="P2471" s="18">
        <f>IF(AI2471="","",(1-$W$2)*(AI2471/1.2))</f>
        <v>2116.666666666667</v>
      </c>
      <c r="Q2471" s="268">
        <f>IF($W$5=0.2,P2471*1.2,P2471)/$W$4</f>
        <v>2540.0000000000005</v>
      </c>
      <c r="R2471" s="271"/>
      <c r="S2471" s="66"/>
      <c r="T2471" s="18">
        <f>IF(AK2471="","",(1-$W$2)*(AK2471/1.2))</f>
        <v>2241.666666666667</v>
      </c>
      <c r="U2471" s="268">
        <f>IF($W$5=0.2,T2471*1.2,T2471)/$W$4</f>
        <v>2690.0000000000005</v>
      </c>
      <c r="V2471" s="271"/>
      <c r="W2471" s="66"/>
      <c r="AC2471" s="332">
        <v>1980</v>
      </c>
      <c r="AD2471" s="332"/>
      <c r="AE2471" s="332">
        <v>2250</v>
      </c>
      <c r="AF2471" s="332"/>
      <c r="AG2471" s="332">
        <v>2390</v>
      </c>
      <c r="AH2471" s="332"/>
      <c r="AI2471" s="332">
        <v>2540</v>
      </c>
      <c r="AJ2471" s="332"/>
      <c r="AK2471" s="332">
        <v>2690</v>
      </c>
      <c r="AL2471" s="289"/>
      <c r="AM2471" s="386">
        <v>1980</v>
      </c>
      <c r="AN2471" s="310">
        <f t="shared" ref="AN2471:AN2472" si="393">AM2471/AC2471-1</f>
        <v>0</v>
      </c>
      <c r="AO2471" s="386">
        <f t="shared" ref="AO2471:AO2472" si="394">AD2471/100*13+AD2471</f>
        <v>0</v>
      </c>
      <c r="AP2471" s="30" t="e">
        <f t="shared" ref="AP2471:AP2472" si="395">AO2471/AD2471-1</f>
        <v>#DIV/0!</v>
      </c>
      <c r="AQ2471" s="386">
        <v>2250</v>
      </c>
      <c r="AR2471" s="30">
        <f t="shared" ref="AR2471:AR2472" si="396">AQ2471/AE2471-1</f>
        <v>0</v>
      </c>
      <c r="AS2471" s="386">
        <f t="shared" ref="AS2471:AS2472" si="397">AF2471/100*13+AF2471</f>
        <v>0</v>
      </c>
      <c r="AT2471" s="30" t="e">
        <f t="shared" ref="AT2471:AT2472" si="398">AS2471/AF2471-1</f>
        <v>#DIV/0!</v>
      </c>
      <c r="AU2471" s="386">
        <v>2390</v>
      </c>
      <c r="AV2471" s="1">
        <f t="shared" ref="AV2471:AV2472" si="399">AU2471/AG2471-1</f>
        <v>0</v>
      </c>
      <c r="AW2471" s="1">
        <f t="shared" ref="AW2471:AW2472" si="400">AH2471/100*13+AH2471</f>
        <v>0</v>
      </c>
    </row>
    <row r="2472" spans="1:49" ht="34.5" customHeight="1">
      <c r="A2472" s="8"/>
      <c r="B2472" s="108" t="str">
        <f>IF($C$1="ENG","Panel (1 set) 200 mm","Планка (1 к-т) 200 мм")</f>
        <v>Планка (1 к-т) 200 мм</v>
      </c>
      <c r="C2472" s="432"/>
      <c r="D2472" s="25">
        <f>IF(AC2472="","",(1-$W$2)*(AC2472/1.2))</f>
        <v>1966.6666666666667</v>
      </c>
      <c r="E2472" s="269">
        <f>IF($W$5=0.2,D2472*1.2,D2472)/$W$4</f>
        <v>2360</v>
      </c>
      <c r="F2472" s="272"/>
      <c r="G2472" s="69"/>
      <c r="H2472" s="25">
        <f>IF(AE2472="","",(1-$W$2)*(AE2472/1.2))</f>
        <v>2241.666666666667</v>
      </c>
      <c r="I2472" s="269">
        <f>IF($W$5=0.2,H2472*1.2,H2472)/$W$4</f>
        <v>2690.0000000000005</v>
      </c>
      <c r="J2472" s="272"/>
      <c r="K2472" s="69"/>
      <c r="L2472" s="25">
        <f>IF(AG2472="","",(1-$W$2)*(AG2472/1.2))</f>
        <v>2391.666666666667</v>
      </c>
      <c r="M2472" s="269">
        <f>IF($W$5=0.2,L2472*1.2,L2472)/$W$4</f>
        <v>2870.0000000000005</v>
      </c>
      <c r="N2472" s="272"/>
      <c r="O2472" s="69"/>
      <c r="P2472" s="25">
        <f>IF(AI2472="","",(1-$W$2)*(AI2472/1.2))</f>
        <v>2525</v>
      </c>
      <c r="Q2472" s="269">
        <f>IF($W$5=0.2,P2472*1.2,P2472)/$W$4</f>
        <v>3030</v>
      </c>
      <c r="R2472" s="272"/>
      <c r="S2472" s="69"/>
      <c r="T2472" s="25">
        <f>IF(AK2472="","",(1-$W$2)*(AK2472/1.2))</f>
        <v>2675</v>
      </c>
      <c r="U2472" s="269">
        <f>IF($W$5=0.2,T2472*1.2,T2472)/$W$4</f>
        <v>3210</v>
      </c>
      <c r="V2472" s="272"/>
      <c r="W2472" s="69"/>
      <c r="AC2472" s="332">
        <v>2360</v>
      </c>
      <c r="AD2472" s="332"/>
      <c r="AE2472" s="332">
        <v>2690</v>
      </c>
      <c r="AF2472" s="332"/>
      <c r="AG2472" s="332">
        <v>2870</v>
      </c>
      <c r="AH2472" s="332"/>
      <c r="AI2472" s="332">
        <v>3030</v>
      </c>
      <c r="AJ2472" s="332"/>
      <c r="AK2472" s="332">
        <v>3210</v>
      </c>
      <c r="AL2472" s="289"/>
      <c r="AM2472" s="386">
        <v>2360</v>
      </c>
      <c r="AN2472" s="310">
        <f t="shared" si="393"/>
        <v>0</v>
      </c>
      <c r="AO2472" s="386">
        <f t="shared" si="394"/>
        <v>0</v>
      </c>
      <c r="AP2472" s="30" t="e">
        <f t="shared" si="395"/>
        <v>#DIV/0!</v>
      </c>
      <c r="AQ2472" s="386">
        <v>2690</v>
      </c>
      <c r="AR2472" s="30">
        <f t="shared" si="396"/>
        <v>0</v>
      </c>
      <c r="AS2472" s="386">
        <f t="shared" si="397"/>
        <v>0</v>
      </c>
      <c r="AT2472" s="30" t="e">
        <f t="shared" si="398"/>
        <v>#DIV/0!</v>
      </c>
      <c r="AU2472" s="386">
        <v>2870</v>
      </c>
      <c r="AV2472" s="1">
        <f t="shared" si="399"/>
        <v>0</v>
      </c>
      <c r="AW2472" s="1">
        <f t="shared" si="400"/>
        <v>0</v>
      </c>
    </row>
    <row r="2473" spans="1:49">
      <c r="C2473" s="245"/>
      <c r="D2473" s="26"/>
      <c r="E2473" s="57"/>
      <c r="F2473" s="26"/>
      <c r="G2473" s="57"/>
      <c r="H2473" s="5"/>
      <c r="K2473" s="20"/>
      <c r="L2473" s="48"/>
      <c r="M2473" s="106"/>
      <c r="N2473" s="48"/>
      <c r="O2473" s="48"/>
      <c r="P2473" s="48"/>
      <c r="Q2473" s="106"/>
      <c r="R2473" s="48"/>
      <c r="S2473" s="48"/>
      <c r="U2473" s="20"/>
      <c r="W2473" s="20"/>
    </row>
    <row r="2474" spans="1:49">
      <c r="B2474" s="212" t="str">
        <f>IF($C$1="ENG","For additonal charge:","Послуги за додаткову плату:")</f>
        <v>Послуги за додаткову плату:</v>
      </c>
      <c r="C2474" s="420"/>
      <c r="D2474" s="213"/>
      <c r="E2474" s="214"/>
      <c r="F2474" s="39"/>
      <c r="G2474" s="39"/>
      <c r="H2474" s="10"/>
      <c r="I2474" s="84"/>
      <c r="J2474" s="8"/>
      <c r="K2474" s="8"/>
      <c r="L2474" s="105"/>
      <c r="N2474" s="105"/>
      <c r="P2474" s="105"/>
      <c r="R2474" s="105"/>
      <c r="U2474" s="20"/>
      <c r="W2474" s="20"/>
    </row>
    <row r="2475" spans="1:49" ht="5.0999999999999996" customHeight="1">
      <c r="B2475" s="27"/>
      <c r="C2475" s="245"/>
      <c r="D2475" s="26"/>
      <c r="E2475" s="57"/>
      <c r="F2475" s="26"/>
      <c r="G2475" s="26"/>
      <c r="H2475" s="10"/>
      <c r="I2475" s="8"/>
      <c r="J2475" s="8"/>
      <c r="K2475" s="8"/>
      <c r="U2475" s="20"/>
      <c r="W2475" s="20"/>
    </row>
    <row r="2476" spans="1:49">
      <c r="B2476" s="551" t="str">
        <f>IF($C$1="ENG","hidden 3D door hindge","прихована 3D завіса хром/чорн.")</f>
        <v>прихована 3D завіса хром/чорн.</v>
      </c>
      <c r="C2476" s="552"/>
      <c r="D2476" s="51">
        <f>IF(AC2476="","",(1-$W$2)*(AC2476/1.2))</f>
        <v>741.66666666666674</v>
      </c>
      <c r="E2476" s="85">
        <f>IF($W$5=0.2,D2476*1.2,D2476)/$W$4</f>
        <v>890.00000000000011</v>
      </c>
      <c r="F2476" s="26"/>
      <c r="G2476" s="26"/>
      <c r="H2476" s="10"/>
      <c r="I2476" s="84"/>
      <c r="J2476" s="8"/>
      <c r="K2476" s="84"/>
      <c r="U2476" s="20"/>
      <c r="W2476" s="20"/>
      <c r="AC2476" s="298">
        <v>890</v>
      </c>
      <c r="AD2476" s="386"/>
      <c r="AE2476" s="30"/>
      <c r="AF2476" s="289"/>
      <c r="AG2476" s="289"/>
      <c r="AH2476" s="289"/>
      <c r="AI2476" s="289"/>
      <c r="AJ2476" s="289"/>
      <c r="AK2476" s="289"/>
      <c r="AL2476" s="289"/>
    </row>
    <row r="2477" spans="1:49" ht="14.25" customHeight="1">
      <c r="T2477" s="547" t="str">
        <f>IF($C$1="ENG",CONCATENATE("down to: ",B2560),CONCATENATE("вниз до: ",B2560))</f>
        <v xml:space="preserve">вниз до: </v>
      </c>
      <c r="U2477" s="547"/>
      <c r="V2477" s="547"/>
      <c r="W2477" s="547"/>
    </row>
    <row r="2478" spans="1:49" s="8" customFormat="1">
      <c r="B2478" s="450"/>
      <c r="C2478" s="427"/>
      <c r="D2478" s="28"/>
      <c r="E2478" s="59"/>
      <c r="F2478" s="28"/>
      <c r="G2478" s="59"/>
      <c r="H2478" s="28"/>
      <c r="I2478" s="59"/>
      <c r="J2478" s="28"/>
      <c r="K2478" s="59"/>
      <c r="L2478" s="28"/>
      <c r="M2478" s="59"/>
      <c r="N2478" s="28"/>
      <c r="O2478" s="59"/>
      <c r="P2478" s="28"/>
      <c r="Q2478" s="59"/>
      <c r="R2478" s="28"/>
      <c r="S2478" s="59"/>
      <c r="T2478" s="28"/>
      <c r="U2478" s="59"/>
      <c r="V2478" s="28"/>
      <c r="W2478" s="59"/>
      <c r="X2478" s="40"/>
      <c r="Y2478" s="40"/>
      <c r="Z2478" s="40"/>
      <c r="AA2478" s="40"/>
      <c r="AB2478" s="40"/>
      <c r="AC2478" s="48"/>
      <c r="AD2478" s="48"/>
      <c r="AE2478" s="48"/>
      <c r="AF2478" s="48"/>
      <c r="AG2478" s="48"/>
      <c r="AH2478" s="48"/>
      <c r="AI2478" s="48"/>
      <c r="AJ2478" s="48"/>
      <c r="AK2478" s="48"/>
      <c r="AL2478" s="48"/>
      <c r="AM2478" s="455"/>
      <c r="AN2478" s="456"/>
      <c r="AO2478" s="455"/>
      <c r="AP2478" s="280"/>
      <c r="AQ2478" s="455"/>
      <c r="AR2478" s="280"/>
      <c r="AS2478" s="455"/>
      <c r="AT2478" s="280"/>
      <c r="AU2478" s="455"/>
    </row>
    <row r="2479" spans="1:49" s="8" customFormat="1">
      <c r="B2479" s="450"/>
      <c r="C2479" s="427"/>
      <c r="D2479" s="28"/>
      <c r="E2479" s="59"/>
      <c r="F2479" s="28"/>
      <c r="G2479" s="59"/>
      <c r="H2479" s="28"/>
      <c r="I2479" s="59"/>
      <c r="J2479" s="28"/>
      <c r="K2479" s="59"/>
      <c r="L2479" s="28"/>
      <c r="M2479" s="59"/>
      <c r="N2479" s="28"/>
      <c r="O2479" s="59"/>
      <c r="P2479" s="28"/>
      <c r="Q2479" s="59"/>
      <c r="R2479" s="28"/>
      <c r="S2479" s="59"/>
      <c r="T2479" s="28"/>
      <c r="U2479" s="59"/>
      <c r="V2479" s="28"/>
      <c r="W2479" s="59"/>
      <c r="X2479" s="40"/>
      <c r="Y2479" s="40"/>
      <c r="Z2479" s="40"/>
      <c r="AA2479" s="40"/>
      <c r="AB2479" s="40"/>
      <c r="AC2479" s="48"/>
      <c r="AD2479" s="48"/>
      <c r="AE2479" s="48"/>
      <c r="AF2479" s="48"/>
      <c r="AG2479" s="48"/>
      <c r="AH2479" s="48"/>
      <c r="AI2479" s="48"/>
      <c r="AJ2479" s="48"/>
      <c r="AK2479" s="48"/>
      <c r="AL2479" s="48"/>
      <c r="AM2479" s="455"/>
      <c r="AN2479" s="456"/>
      <c r="AO2479" s="455"/>
      <c r="AP2479" s="280"/>
      <c r="AQ2479" s="455"/>
      <c r="AR2479" s="280"/>
      <c r="AS2479" s="455"/>
      <c r="AT2479" s="280"/>
      <c r="AU2479" s="455"/>
    </row>
    <row r="2480" spans="1:49" s="8" customFormat="1">
      <c r="B2480" s="450"/>
      <c r="C2480" s="427"/>
      <c r="D2480" s="28"/>
      <c r="E2480" s="59"/>
      <c r="F2480" s="28"/>
      <c r="G2480" s="59"/>
      <c r="H2480" s="28"/>
      <c r="I2480" s="59"/>
      <c r="J2480" s="28"/>
      <c r="K2480" s="59"/>
      <c r="L2480" s="28"/>
      <c r="M2480" s="59"/>
      <c r="N2480" s="28"/>
      <c r="O2480" s="59"/>
      <c r="P2480" s="28"/>
      <c r="Q2480" s="59"/>
      <c r="R2480" s="28"/>
      <c r="S2480" s="59"/>
      <c r="T2480" s="28"/>
      <c r="U2480" s="59"/>
      <c r="V2480" s="28"/>
      <c r="W2480" s="59"/>
      <c r="X2480" s="40"/>
      <c r="Y2480" s="40"/>
      <c r="Z2480" s="40"/>
      <c r="AA2480" s="40"/>
      <c r="AB2480" s="40"/>
      <c r="AC2480" s="48"/>
      <c r="AD2480" s="48"/>
      <c r="AE2480" s="48"/>
      <c r="AF2480" s="48"/>
      <c r="AG2480" s="48"/>
      <c r="AH2480" s="48"/>
      <c r="AI2480" s="48"/>
      <c r="AJ2480" s="48"/>
      <c r="AK2480" s="48"/>
      <c r="AL2480" s="48"/>
      <c r="AM2480" s="455"/>
      <c r="AN2480" s="456"/>
      <c r="AO2480" s="455"/>
      <c r="AP2480" s="280"/>
      <c r="AQ2480" s="455"/>
      <c r="AR2480" s="280"/>
      <c r="AS2480" s="455"/>
      <c r="AT2480" s="280"/>
      <c r="AU2480" s="455"/>
    </row>
    <row r="2481" spans="2:47" s="8" customFormat="1">
      <c r="B2481" s="450"/>
      <c r="C2481" s="427"/>
      <c r="D2481" s="28"/>
      <c r="E2481" s="59"/>
      <c r="F2481" s="28"/>
      <c r="G2481" s="59"/>
      <c r="H2481" s="28"/>
      <c r="I2481" s="59"/>
      <c r="J2481" s="28"/>
      <c r="K2481" s="59"/>
      <c r="L2481" s="28"/>
      <c r="M2481" s="59"/>
      <c r="N2481" s="28"/>
      <c r="O2481" s="59"/>
      <c r="P2481" s="28"/>
      <c r="Q2481" s="59"/>
      <c r="R2481" s="28"/>
      <c r="S2481" s="59"/>
      <c r="T2481" s="28"/>
      <c r="U2481" s="59"/>
      <c r="V2481" s="28"/>
      <c r="W2481" s="59"/>
      <c r="X2481" s="40"/>
      <c r="Y2481" s="40"/>
      <c r="Z2481" s="40"/>
      <c r="AA2481" s="40"/>
      <c r="AB2481" s="40"/>
      <c r="AC2481" s="48"/>
      <c r="AD2481" s="48"/>
      <c r="AE2481" s="48"/>
      <c r="AF2481" s="48"/>
      <c r="AG2481" s="48"/>
      <c r="AH2481" s="48"/>
      <c r="AI2481" s="48"/>
      <c r="AJ2481" s="48"/>
      <c r="AK2481" s="48"/>
      <c r="AL2481" s="48"/>
      <c r="AM2481" s="455"/>
      <c r="AN2481" s="456"/>
      <c r="AO2481" s="455"/>
      <c r="AP2481" s="280"/>
      <c r="AQ2481" s="455"/>
      <c r="AR2481" s="280"/>
      <c r="AS2481" s="455"/>
      <c r="AT2481" s="280"/>
      <c r="AU2481" s="455"/>
    </row>
    <row r="2482" spans="2:47" s="8" customFormat="1">
      <c r="B2482" s="450"/>
      <c r="C2482" s="427"/>
      <c r="D2482" s="28"/>
      <c r="E2482" s="59"/>
      <c r="F2482" s="28"/>
      <c r="G2482" s="59"/>
      <c r="H2482" s="28"/>
      <c r="I2482" s="59"/>
      <c r="J2482" s="28"/>
      <c r="K2482" s="59"/>
      <c r="L2482" s="28"/>
      <c r="M2482" s="59"/>
      <c r="N2482" s="28"/>
      <c r="O2482" s="59"/>
      <c r="P2482" s="28"/>
      <c r="Q2482" s="59"/>
      <c r="R2482" s="28"/>
      <c r="S2482" s="59"/>
      <c r="T2482" s="28"/>
      <c r="U2482" s="59"/>
      <c r="V2482" s="28"/>
      <c r="W2482" s="59"/>
      <c r="X2482" s="40"/>
      <c r="Y2482" s="40"/>
      <c r="Z2482" s="40"/>
      <c r="AA2482" s="40"/>
      <c r="AB2482" s="40"/>
      <c r="AC2482" s="48"/>
      <c r="AD2482" s="48"/>
      <c r="AE2482" s="48"/>
      <c r="AF2482" s="48"/>
      <c r="AG2482" s="48"/>
      <c r="AH2482" s="48"/>
      <c r="AI2482" s="48"/>
      <c r="AJ2482" s="48"/>
      <c r="AK2482" s="48"/>
      <c r="AL2482" s="48"/>
      <c r="AM2482" s="455"/>
      <c r="AN2482" s="456"/>
      <c r="AO2482" s="455"/>
      <c r="AP2482" s="280"/>
      <c r="AQ2482" s="455"/>
      <c r="AR2482" s="280"/>
      <c r="AS2482" s="455"/>
      <c r="AT2482" s="280"/>
      <c r="AU2482" s="455"/>
    </row>
    <row r="2483" spans="2:47" s="8" customFormat="1">
      <c r="B2483" s="450"/>
      <c r="C2483" s="427"/>
      <c r="D2483" s="28"/>
      <c r="E2483" s="59"/>
      <c r="F2483" s="28"/>
      <c r="G2483" s="59"/>
      <c r="H2483" s="28"/>
      <c r="I2483" s="59"/>
      <c r="J2483" s="28"/>
      <c r="K2483" s="59"/>
      <c r="L2483" s="28"/>
      <c r="M2483" s="59"/>
      <c r="N2483" s="28"/>
      <c r="O2483" s="59"/>
      <c r="P2483" s="28"/>
      <c r="Q2483" s="59"/>
      <c r="R2483" s="28"/>
      <c r="S2483" s="59"/>
      <c r="T2483" s="28"/>
      <c r="U2483" s="59"/>
      <c r="V2483" s="28"/>
      <c r="W2483" s="59"/>
      <c r="X2483" s="40"/>
      <c r="Y2483" s="40"/>
      <c r="Z2483" s="40"/>
      <c r="AA2483" s="40"/>
      <c r="AB2483" s="40"/>
      <c r="AC2483" s="48"/>
      <c r="AD2483" s="48"/>
      <c r="AE2483" s="48"/>
      <c r="AF2483" s="48"/>
      <c r="AG2483" s="48"/>
      <c r="AH2483" s="48"/>
      <c r="AI2483" s="48"/>
      <c r="AJ2483" s="48"/>
      <c r="AK2483" s="48"/>
      <c r="AL2483" s="48"/>
      <c r="AM2483" s="455"/>
      <c r="AN2483" s="456"/>
      <c r="AO2483" s="455"/>
      <c r="AP2483" s="280"/>
      <c r="AQ2483" s="455"/>
      <c r="AR2483" s="280"/>
      <c r="AS2483" s="455"/>
      <c r="AT2483" s="280"/>
      <c r="AU2483" s="455"/>
    </row>
    <row r="2484" spans="2:47" s="8" customFormat="1">
      <c r="B2484" s="450"/>
      <c r="C2484" s="427"/>
      <c r="D2484" s="28"/>
      <c r="E2484" s="59"/>
      <c r="F2484" s="28"/>
      <c r="G2484" s="59"/>
      <c r="H2484" s="28"/>
      <c r="I2484" s="59"/>
      <c r="J2484" s="28"/>
      <c r="K2484" s="59"/>
      <c r="L2484" s="28"/>
      <c r="M2484" s="59"/>
      <c r="N2484" s="28"/>
      <c r="O2484" s="59"/>
      <c r="P2484" s="28"/>
      <c r="Q2484" s="59"/>
      <c r="R2484" s="28"/>
      <c r="S2484" s="59"/>
      <c r="T2484" s="28"/>
      <c r="U2484" s="59"/>
      <c r="V2484" s="28"/>
      <c r="W2484" s="59"/>
      <c r="X2484" s="40"/>
      <c r="Y2484" s="40"/>
      <c r="Z2484" s="40"/>
      <c r="AA2484" s="40"/>
      <c r="AB2484" s="40"/>
      <c r="AC2484" s="48"/>
      <c r="AD2484" s="48"/>
      <c r="AE2484" s="48"/>
      <c r="AF2484" s="48"/>
      <c r="AG2484" s="48"/>
      <c r="AH2484" s="48"/>
      <c r="AI2484" s="48"/>
      <c r="AJ2484" s="48"/>
      <c r="AK2484" s="48"/>
      <c r="AL2484" s="48"/>
      <c r="AM2484" s="455"/>
      <c r="AN2484" s="456"/>
      <c r="AO2484" s="455"/>
      <c r="AP2484" s="280"/>
      <c r="AQ2484" s="455"/>
      <c r="AR2484" s="280"/>
      <c r="AS2484" s="455"/>
      <c r="AT2484" s="280"/>
      <c r="AU2484" s="455"/>
    </row>
    <row r="2485" spans="2:47" s="8" customFormat="1">
      <c r="B2485" s="450"/>
      <c r="C2485" s="427"/>
      <c r="D2485" s="28"/>
      <c r="E2485" s="59"/>
      <c r="F2485" s="28"/>
      <c r="G2485" s="59"/>
      <c r="H2485" s="28"/>
      <c r="I2485" s="59"/>
      <c r="J2485" s="28"/>
      <c r="K2485" s="59"/>
      <c r="L2485" s="28"/>
      <c r="M2485" s="59"/>
      <c r="N2485" s="28"/>
      <c r="O2485" s="59"/>
      <c r="P2485" s="28"/>
      <c r="Q2485" s="59"/>
      <c r="R2485" s="28"/>
      <c r="S2485" s="59"/>
      <c r="T2485" s="28"/>
      <c r="U2485" s="59"/>
      <c r="V2485" s="28"/>
      <c r="W2485" s="59"/>
      <c r="X2485" s="40"/>
      <c r="Y2485" s="40"/>
      <c r="Z2485" s="40"/>
      <c r="AA2485" s="40"/>
      <c r="AB2485" s="40"/>
      <c r="AC2485" s="48"/>
      <c r="AD2485" s="48"/>
      <c r="AE2485" s="48"/>
      <c r="AF2485" s="48"/>
      <c r="AG2485" s="48"/>
      <c r="AH2485" s="48"/>
      <c r="AI2485" s="48"/>
      <c r="AJ2485" s="48"/>
      <c r="AK2485" s="48"/>
      <c r="AL2485" s="48"/>
      <c r="AM2485" s="455"/>
      <c r="AN2485" s="456"/>
      <c r="AO2485" s="455"/>
      <c r="AP2485" s="280"/>
      <c r="AQ2485" s="455"/>
      <c r="AR2485" s="280"/>
      <c r="AS2485" s="455"/>
      <c r="AT2485" s="280"/>
      <c r="AU2485" s="455"/>
    </row>
    <row r="2486" spans="2:47" s="8" customFormat="1">
      <c r="B2486" s="450"/>
      <c r="C2486" s="427"/>
      <c r="D2486" s="28"/>
      <c r="E2486" s="59"/>
      <c r="F2486" s="28"/>
      <c r="G2486" s="59"/>
      <c r="H2486" s="28"/>
      <c r="I2486" s="59"/>
      <c r="J2486" s="28"/>
      <c r="K2486" s="59"/>
      <c r="L2486" s="28"/>
      <c r="M2486" s="59"/>
      <c r="N2486" s="28"/>
      <c r="O2486" s="59"/>
      <c r="P2486" s="28"/>
      <c r="Q2486" s="59"/>
      <c r="R2486" s="28"/>
      <c r="S2486" s="59"/>
      <c r="T2486" s="28"/>
      <c r="U2486" s="59"/>
      <c r="V2486" s="28"/>
      <c r="W2486" s="59"/>
      <c r="X2486" s="40"/>
      <c r="Y2486" s="40"/>
      <c r="Z2486" s="40"/>
      <c r="AA2486" s="40"/>
      <c r="AB2486" s="40"/>
      <c r="AC2486" s="48"/>
      <c r="AD2486" s="48"/>
      <c r="AE2486" s="48"/>
      <c r="AF2486" s="48"/>
      <c r="AG2486" s="48"/>
      <c r="AH2486" s="48"/>
      <c r="AI2486" s="48"/>
      <c r="AJ2486" s="48"/>
      <c r="AK2486" s="48"/>
      <c r="AL2486" s="48"/>
      <c r="AM2486" s="455"/>
      <c r="AN2486" s="456"/>
      <c r="AO2486" s="455"/>
      <c r="AP2486" s="280"/>
      <c r="AQ2486" s="455"/>
      <c r="AR2486" s="280"/>
      <c r="AS2486" s="455"/>
      <c r="AT2486" s="280"/>
      <c r="AU2486" s="455"/>
    </row>
    <row r="2487" spans="2:47" s="8" customFormat="1">
      <c r="B2487" s="450"/>
      <c r="C2487" s="427"/>
      <c r="D2487" s="28"/>
      <c r="E2487" s="59"/>
      <c r="F2487" s="28"/>
      <c r="G2487" s="59"/>
      <c r="H2487" s="28"/>
      <c r="I2487" s="59"/>
      <c r="J2487" s="28"/>
      <c r="K2487" s="59"/>
      <c r="L2487" s="28"/>
      <c r="M2487" s="59"/>
      <c r="N2487" s="28"/>
      <c r="O2487" s="59"/>
      <c r="P2487" s="28"/>
      <c r="Q2487" s="59"/>
      <c r="R2487" s="28"/>
      <c r="S2487" s="59"/>
      <c r="T2487" s="28"/>
      <c r="U2487" s="59"/>
      <c r="V2487" s="28"/>
      <c r="W2487" s="59"/>
      <c r="X2487" s="40"/>
      <c r="Y2487" s="40"/>
      <c r="Z2487" s="40"/>
      <c r="AA2487" s="40"/>
      <c r="AB2487" s="40"/>
      <c r="AC2487" s="48"/>
      <c r="AD2487" s="48"/>
      <c r="AE2487" s="48"/>
      <c r="AF2487" s="48"/>
      <c r="AG2487" s="48"/>
      <c r="AH2487" s="48"/>
      <c r="AI2487" s="48"/>
      <c r="AJ2487" s="48"/>
      <c r="AK2487" s="48"/>
      <c r="AL2487" s="48"/>
      <c r="AM2487" s="455"/>
      <c r="AN2487" s="456"/>
      <c r="AO2487" s="455"/>
      <c r="AP2487" s="280"/>
      <c r="AQ2487" s="455"/>
      <c r="AR2487" s="280"/>
      <c r="AS2487" s="455"/>
      <c r="AT2487" s="280"/>
      <c r="AU2487" s="455"/>
    </row>
    <row r="2488" spans="2:47" s="48" customFormat="1">
      <c r="B2488" s="450"/>
      <c r="C2488" s="427"/>
      <c r="D2488" s="28"/>
      <c r="E2488" s="59"/>
      <c r="F2488" s="28"/>
      <c r="G2488" s="59"/>
      <c r="H2488" s="28"/>
      <c r="I2488" s="59"/>
      <c r="J2488" s="28"/>
      <c r="K2488" s="59"/>
      <c r="L2488" s="28"/>
      <c r="M2488" s="59"/>
      <c r="N2488" s="28"/>
      <c r="O2488" s="59"/>
      <c r="P2488" s="28"/>
      <c r="Q2488" s="59"/>
      <c r="R2488" s="28"/>
      <c r="S2488" s="59"/>
      <c r="T2488" s="28"/>
      <c r="U2488" s="59"/>
      <c r="V2488" s="28"/>
      <c r="W2488" s="59"/>
      <c r="X2488" s="400"/>
      <c r="Y2488" s="400"/>
      <c r="Z2488" s="400"/>
      <c r="AA2488" s="400"/>
      <c r="AB2488" s="400"/>
      <c r="AM2488" s="453"/>
      <c r="AN2488" s="454"/>
      <c r="AO2488" s="453"/>
      <c r="AP2488" s="56"/>
      <c r="AQ2488" s="453"/>
      <c r="AR2488" s="56"/>
      <c r="AS2488" s="453"/>
      <c r="AT2488" s="56"/>
      <c r="AU2488" s="453"/>
    </row>
    <row r="2489" spans="2:47" s="48" customFormat="1">
      <c r="B2489" s="450"/>
      <c r="C2489" s="427"/>
      <c r="D2489" s="28"/>
      <c r="E2489" s="59"/>
      <c r="F2489" s="28"/>
      <c r="G2489" s="59"/>
      <c r="H2489" s="28"/>
      <c r="I2489" s="59"/>
      <c r="J2489" s="28"/>
      <c r="K2489" s="59"/>
      <c r="L2489" s="28"/>
      <c r="M2489" s="59"/>
      <c r="N2489" s="28"/>
      <c r="O2489" s="59"/>
      <c r="P2489" s="28"/>
      <c r="Q2489" s="59"/>
      <c r="R2489" s="28"/>
      <c r="S2489" s="59"/>
      <c r="T2489" s="28"/>
      <c r="U2489" s="59"/>
      <c r="V2489" s="28"/>
      <c r="W2489" s="59"/>
      <c r="X2489" s="400"/>
      <c r="Y2489" s="400"/>
      <c r="Z2489" s="400"/>
      <c r="AA2489" s="400"/>
      <c r="AB2489" s="400"/>
      <c r="AM2489" s="453"/>
      <c r="AN2489" s="454"/>
      <c r="AO2489" s="453"/>
      <c r="AP2489" s="56"/>
      <c r="AQ2489" s="453"/>
      <c r="AR2489" s="56"/>
      <c r="AS2489" s="453"/>
      <c r="AT2489" s="56"/>
      <c r="AU2489" s="453"/>
    </row>
    <row r="2490" spans="2:47" s="48" customFormat="1">
      <c r="B2490" s="450"/>
      <c r="C2490" s="427"/>
      <c r="D2490" s="28"/>
      <c r="E2490" s="59"/>
      <c r="F2490" s="28"/>
      <c r="G2490" s="59"/>
      <c r="H2490" s="28"/>
      <c r="I2490" s="59"/>
      <c r="J2490" s="28"/>
      <c r="K2490" s="59"/>
      <c r="L2490" s="28"/>
      <c r="M2490" s="59"/>
      <c r="N2490" s="28"/>
      <c r="O2490" s="59"/>
      <c r="P2490" s="28"/>
      <c r="Q2490" s="59"/>
      <c r="R2490" s="28"/>
      <c r="S2490" s="59"/>
      <c r="T2490" s="28"/>
      <c r="U2490" s="59"/>
      <c r="V2490" s="28"/>
      <c r="W2490" s="59"/>
      <c r="X2490" s="400"/>
      <c r="Y2490" s="400"/>
      <c r="Z2490" s="400"/>
      <c r="AA2490" s="400"/>
      <c r="AB2490" s="400"/>
      <c r="AM2490" s="453"/>
      <c r="AN2490" s="454"/>
      <c r="AO2490" s="453"/>
      <c r="AP2490" s="56"/>
      <c r="AQ2490" s="453"/>
      <c r="AR2490" s="56"/>
      <c r="AS2490" s="453"/>
      <c r="AT2490" s="56"/>
      <c r="AU2490" s="453"/>
    </row>
    <row r="2491" spans="2:47" s="48" customFormat="1">
      <c r="B2491" s="450"/>
      <c r="C2491" s="427"/>
      <c r="D2491" s="28"/>
      <c r="E2491" s="59"/>
      <c r="F2491" s="28"/>
      <c r="G2491" s="59"/>
      <c r="H2491" s="28"/>
      <c r="I2491" s="59"/>
      <c r="J2491" s="28"/>
      <c r="K2491" s="59"/>
      <c r="L2491" s="28"/>
      <c r="M2491" s="59"/>
      <c r="N2491" s="28"/>
      <c r="O2491" s="59"/>
      <c r="P2491" s="28"/>
      <c r="Q2491" s="59"/>
      <c r="R2491" s="28"/>
      <c r="S2491" s="59"/>
      <c r="T2491" s="28"/>
      <c r="U2491" s="59"/>
      <c r="V2491" s="28"/>
      <c r="W2491" s="59"/>
      <c r="X2491" s="400"/>
      <c r="Y2491" s="400"/>
      <c r="Z2491" s="400"/>
      <c r="AA2491" s="400"/>
      <c r="AB2491" s="400"/>
      <c r="AM2491" s="453"/>
      <c r="AN2491" s="454"/>
      <c r="AO2491" s="453"/>
      <c r="AP2491" s="56"/>
      <c r="AQ2491" s="453"/>
      <c r="AR2491" s="56"/>
      <c r="AS2491" s="453"/>
      <c r="AT2491" s="56"/>
      <c r="AU2491" s="453"/>
    </row>
    <row r="2492" spans="2:47" s="48" customFormat="1">
      <c r="B2492" s="450"/>
      <c r="C2492" s="427"/>
      <c r="D2492" s="28"/>
      <c r="E2492" s="59"/>
      <c r="F2492" s="28"/>
      <c r="G2492" s="59"/>
      <c r="H2492" s="28"/>
      <c r="I2492" s="59"/>
      <c r="J2492" s="28"/>
      <c r="K2492" s="59"/>
      <c r="L2492" s="28"/>
      <c r="M2492" s="59"/>
      <c r="N2492" s="28"/>
      <c r="O2492" s="59"/>
      <c r="P2492" s="28"/>
      <c r="Q2492" s="59"/>
      <c r="R2492" s="28"/>
      <c r="S2492" s="59"/>
      <c r="T2492" s="28"/>
      <c r="U2492" s="59"/>
      <c r="V2492" s="28"/>
      <c r="W2492" s="59"/>
      <c r="X2492" s="400"/>
      <c r="Y2492" s="400"/>
      <c r="Z2492" s="400"/>
      <c r="AA2492" s="400"/>
      <c r="AB2492" s="400"/>
      <c r="AM2492" s="453"/>
      <c r="AN2492" s="454"/>
      <c r="AO2492" s="453"/>
      <c r="AP2492" s="56"/>
      <c r="AQ2492" s="453"/>
      <c r="AR2492" s="56"/>
      <c r="AS2492" s="453"/>
      <c r="AT2492" s="56"/>
      <c r="AU2492" s="453"/>
    </row>
    <row r="2493" spans="2:47" s="48" customFormat="1">
      <c r="B2493" s="450"/>
      <c r="C2493" s="427"/>
      <c r="D2493" s="28"/>
      <c r="E2493" s="59"/>
      <c r="F2493" s="28"/>
      <c r="G2493" s="59"/>
      <c r="H2493" s="28"/>
      <c r="I2493" s="59"/>
      <c r="J2493" s="28"/>
      <c r="K2493" s="59"/>
      <c r="L2493" s="28"/>
      <c r="M2493" s="59"/>
      <c r="N2493" s="28"/>
      <c r="O2493" s="59"/>
      <c r="P2493" s="28"/>
      <c r="Q2493" s="59"/>
      <c r="R2493" s="28"/>
      <c r="S2493" s="59"/>
      <c r="T2493" s="28"/>
      <c r="U2493" s="59"/>
      <c r="V2493" s="28"/>
      <c r="W2493" s="59"/>
      <c r="X2493" s="400"/>
      <c r="Y2493" s="400"/>
      <c r="Z2493" s="400"/>
      <c r="AA2493" s="400"/>
      <c r="AB2493" s="400"/>
      <c r="AM2493" s="453"/>
      <c r="AN2493" s="454"/>
      <c r="AO2493" s="453"/>
      <c r="AP2493" s="56"/>
      <c r="AQ2493" s="453"/>
      <c r="AR2493" s="56"/>
      <c r="AS2493" s="453"/>
      <c r="AT2493" s="56"/>
      <c r="AU2493" s="453"/>
    </row>
    <row r="2494" spans="2:47" s="48" customFormat="1">
      <c r="B2494" s="450"/>
      <c r="C2494" s="427"/>
      <c r="D2494" s="28"/>
      <c r="E2494" s="59"/>
      <c r="F2494" s="28"/>
      <c r="G2494" s="59"/>
      <c r="H2494" s="28"/>
      <c r="I2494" s="59"/>
      <c r="J2494" s="28"/>
      <c r="K2494" s="59"/>
      <c r="L2494" s="28"/>
      <c r="M2494" s="59"/>
      <c r="N2494" s="28"/>
      <c r="O2494" s="59"/>
      <c r="P2494" s="28"/>
      <c r="Q2494" s="59"/>
      <c r="R2494" s="28"/>
      <c r="S2494" s="59"/>
      <c r="T2494" s="28"/>
      <c r="U2494" s="59"/>
      <c r="V2494" s="28"/>
      <c r="W2494" s="59"/>
      <c r="X2494" s="400"/>
      <c r="Y2494" s="400"/>
      <c r="Z2494" s="400"/>
      <c r="AA2494" s="400"/>
      <c r="AB2494" s="400"/>
      <c r="AM2494" s="453"/>
      <c r="AN2494" s="454"/>
      <c r="AO2494" s="453"/>
      <c r="AP2494" s="56"/>
      <c r="AQ2494" s="453"/>
      <c r="AR2494" s="56"/>
      <c r="AS2494" s="453"/>
      <c r="AT2494" s="56"/>
      <c r="AU2494" s="453"/>
    </row>
    <row r="2495" spans="2:47" s="8" customFormat="1">
      <c r="B2495" s="517" t="str">
        <f>TITLE!C48</f>
        <v>Дверна коробка Verto-FIT Comfort Inside</v>
      </c>
      <c r="C2495" s="518"/>
      <c r="D2495" s="118"/>
      <c r="E2495" s="519" t="str">
        <f>IF($C$1="ENG","For Door Leafs inside","Для Дверних Полотен Внутрішнього відкривання")</f>
        <v>Для Дверних Полотен Внутрішнього відкривання</v>
      </c>
      <c r="F2495" s="519"/>
      <c r="G2495" s="519"/>
      <c r="H2495" s="519"/>
      <c r="I2495" s="519"/>
      <c r="J2495" s="519"/>
      <c r="K2495" s="519"/>
      <c r="L2495" s="520"/>
      <c r="M2495" s="520"/>
      <c r="N2495" s="520"/>
      <c r="O2495" s="520"/>
      <c r="P2495" s="520"/>
      <c r="Q2495" s="520"/>
      <c r="R2495" s="520"/>
      <c r="S2495" s="520"/>
      <c r="T2495" s="521" t="str">
        <f>IF($C$1="ENG",CONCATENATE("up to: ",B2406),CONCATENATE("вгору до: ",B2406))</f>
        <v xml:space="preserve">вгору до: </v>
      </c>
      <c r="U2495" s="521"/>
      <c r="V2495" s="521"/>
      <c r="W2495" s="521"/>
      <c r="AC2495" s="1"/>
      <c r="AE2495" s="1"/>
      <c r="AF2495" s="1"/>
      <c r="AG2495" s="1"/>
      <c r="AI2495" s="1"/>
      <c r="AK2495" s="1"/>
      <c r="AN2495" s="280"/>
      <c r="AO2495" s="280"/>
      <c r="AP2495" s="280"/>
      <c r="AQ2495" s="280"/>
      <c r="AR2495" s="280"/>
      <c r="AS2495" s="280"/>
      <c r="AT2495" s="280"/>
    </row>
    <row r="2496" spans="2:47" s="8" customFormat="1" ht="5.0999999999999996" customHeight="1">
      <c r="C2496" s="423"/>
      <c r="T2496" s="445"/>
      <c r="U2496" s="445"/>
      <c r="V2496" s="445"/>
      <c r="W2496" s="445"/>
      <c r="AN2496" s="280"/>
      <c r="AO2496" s="280"/>
      <c r="AP2496" s="280"/>
      <c r="AQ2496" s="280"/>
      <c r="AR2496" s="280"/>
      <c r="AS2496" s="280"/>
      <c r="AT2496" s="280"/>
    </row>
    <row r="2497" spans="1:49" ht="12.75" customHeight="1">
      <c r="A2497" s="8"/>
      <c r="B2497" s="307" t="str">
        <f>IF($C$1="ENG","model","модель")</f>
        <v>модель</v>
      </c>
      <c r="C2497" s="122" t="str">
        <f>IF($C$1="ENG","cover:","покриття:")</f>
        <v>покриття:</v>
      </c>
      <c r="D2497" s="522" t="str">
        <f>IF($C$1="ENG","SIMPLEX / VERTO-CELL","SIMPLEX / VERTO-CELL ")</f>
        <v xml:space="preserve">SIMPLEX / VERTO-CELL </v>
      </c>
      <c r="E2497" s="523"/>
      <c r="F2497" s="523"/>
      <c r="G2497" s="524"/>
      <c r="H2497" s="522" t="str">
        <f>IF($C$1="ENG","UNI-MAT","UNI-MAT")</f>
        <v>UNI-MAT</v>
      </c>
      <c r="I2497" s="523"/>
      <c r="J2497" s="523"/>
      <c r="K2497" s="524"/>
      <c r="L2497" s="522" t="str">
        <f>IF($C$1="ENG","RESIST","RESIST")</f>
        <v>RESIST</v>
      </c>
      <c r="M2497" s="523"/>
      <c r="N2497" s="523"/>
      <c r="O2497" s="524"/>
      <c r="AL2497" s="30"/>
      <c r="AM2497" s="383">
        <v>0.15</v>
      </c>
      <c r="AS2497" s="1"/>
      <c r="AT2497" s="1"/>
    </row>
    <row r="2498" spans="1:49" ht="12.75" customHeight="1">
      <c r="A2498" s="8"/>
      <c r="B2498" s="308"/>
      <c r="C2498" s="124" t="str">
        <f>IF($C$1="ENG","type:","виконання:")</f>
        <v>виконання:</v>
      </c>
      <c r="D2498" s="513" t="str">
        <f>IF($C$1="ENG","single leaf","одностулкове")</f>
        <v>одностулкове</v>
      </c>
      <c r="E2498" s="514"/>
      <c r="F2498" s="449"/>
      <c r="G2498" s="447"/>
      <c r="H2498" s="513" t="str">
        <f>IF($C$1="ENG","single leaf","одностулкове")</f>
        <v>одностулкове</v>
      </c>
      <c r="I2498" s="514"/>
      <c r="J2498" s="449"/>
      <c r="K2498" s="447"/>
      <c r="L2498" s="513" t="str">
        <f>IF($C$1="ENG","single leaf","одностулкове")</f>
        <v>одностулкове</v>
      </c>
      <c r="M2498" s="514"/>
      <c r="N2498" s="515"/>
      <c r="O2498" s="516"/>
      <c r="AL2498" s="30"/>
      <c r="AM2498" s="30"/>
      <c r="AS2498" s="1"/>
      <c r="AT2498" s="1"/>
    </row>
    <row r="2499" spans="1:49" ht="12.75" customHeight="1">
      <c r="A2499" s="8"/>
      <c r="B2499" s="13" t="str">
        <f>IF($C$1="ENG","A (75 - 95 mm)","A (75 - 95 мм)")</f>
        <v>A (75 - 95 мм)</v>
      </c>
      <c r="C2499" s="448"/>
      <c r="D2499" s="15">
        <f t="shared" ref="D2499:D2507" si="401">IF(AA2499="","",(1-$W$2)*(AA2499/1.2))</f>
        <v>2908.3333333333335</v>
      </c>
      <c r="E2499" s="267">
        <f t="shared" ref="E2499:E2507" si="402">IF($W$5=0.2,D2499*1.2,D2499)/$W$4</f>
        <v>3490</v>
      </c>
      <c r="F2499" s="270"/>
      <c r="G2499" s="64"/>
      <c r="H2499" s="15">
        <f t="shared" ref="H2499:H2507" si="403">IF(AC2499="","",(1-$W$2)*(AC2499/1.2))</f>
        <v>3341.666666666667</v>
      </c>
      <c r="I2499" s="267">
        <f t="shared" ref="I2499:I2507" si="404">IF($W$5=0.2,H2499*1.2,H2499)/$W$4</f>
        <v>4010</v>
      </c>
      <c r="J2499" s="270"/>
      <c r="K2499" s="64"/>
      <c r="L2499" s="15">
        <f t="shared" ref="L2499:L2507" si="405">IF(AE2499="","",(1-$W$2)*(AE2499/1.2))</f>
        <v>3550</v>
      </c>
      <c r="M2499" s="267">
        <f t="shared" ref="M2499:M2507" si="406">IF($W$5=0.2,L2499*1.2,L2499)/$W$4</f>
        <v>4260</v>
      </c>
      <c r="N2499" s="270"/>
      <c r="O2499" s="64"/>
      <c r="P2499" s="22"/>
      <c r="Q2499" s="22"/>
      <c r="R2499" s="22"/>
      <c r="S2499" s="22"/>
      <c r="T2499" s="22"/>
      <c r="U2499" s="22"/>
      <c r="V2499" s="22"/>
      <c r="W2499" s="22"/>
      <c r="X2499" s="22"/>
      <c r="Y2499" s="22"/>
      <c r="Z2499" s="22"/>
      <c r="AA2499" s="332">
        <v>3490</v>
      </c>
      <c r="AB2499" s="332"/>
      <c r="AC2499" s="332">
        <v>4010</v>
      </c>
      <c r="AD2499" s="332"/>
      <c r="AE2499" s="332">
        <v>4260</v>
      </c>
      <c r="AF2499" s="332"/>
      <c r="AG2499" s="332">
        <v>4610</v>
      </c>
      <c r="AH2499" s="332"/>
      <c r="AI2499" s="332">
        <v>4930</v>
      </c>
      <c r="AJ2499" s="289"/>
      <c r="AK2499" s="386">
        <v>3570</v>
      </c>
      <c r="AL2499" s="310">
        <f>AK2499/AA2499-1</f>
        <v>2.2922636103151817E-2</v>
      </c>
      <c r="AM2499" s="386">
        <f>AB2499/100*13+AB2499</f>
        <v>0</v>
      </c>
      <c r="AN2499" s="30" t="e">
        <f>AM2499/AB2499-1</f>
        <v>#DIV/0!</v>
      </c>
      <c r="AO2499" s="386">
        <v>4101</v>
      </c>
      <c r="AP2499" s="30">
        <f>AO2499/AC2499-1</f>
        <v>2.2693266832917613E-2</v>
      </c>
      <c r="AQ2499" s="386">
        <f>AD2499/100*13+AD2499</f>
        <v>0</v>
      </c>
      <c r="AR2499" s="30" t="e">
        <f>AQ2499/AD2499-1</f>
        <v>#DIV/0!</v>
      </c>
      <c r="AS2499" s="386">
        <v>4320</v>
      </c>
      <c r="AT2499" s="1">
        <f>AS2499/AE2499-1</f>
        <v>1.4084507042253502E-2</v>
      </c>
      <c r="AU2499" s="1">
        <f>AF2499/100*13+AF2499</f>
        <v>0</v>
      </c>
    </row>
    <row r="2500" spans="1:49">
      <c r="A2500" s="8"/>
      <c r="B2500" s="16" t="str">
        <f>IF($C$1="ENG","B (95 - 115 mm)","B (95 - 115 мм)")</f>
        <v>B (95 - 115 мм)</v>
      </c>
      <c r="C2500" s="431"/>
      <c r="D2500" s="18">
        <f t="shared" si="401"/>
        <v>3066.666666666667</v>
      </c>
      <c r="E2500" s="268">
        <f t="shared" si="402"/>
        <v>3680.0000000000005</v>
      </c>
      <c r="F2500" s="271"/>
      <c r="G2500" s="66"/>
      <c r="H2500" s="18">
        <f t="shared" si="403"/>
        <v>3533.3333333333335</v>
      </c>
      <c r="I2500" s="268">
        <f t="shared" si="404"/>
        <v>4240</v>
      </c>
      <c r="J2500" s="271"/>
      <c r="K2500" s="66"/>
      <c r="L2500" s="18">
        <f t="shared" si="405"/>
        <v>3733.3333333333335</v>
      </c>
      <c r="M2500" s="268">
        <f t="shared" si="406"/>
        <v>4480</v>
      </c>
      <c r="N2500" s="271"/>
      <c r="O2500" s="66"/>
      <c r="P2500" s="22"/>
      <c r="Q2500" s="22"/>
      <c r="R2500" s="22"/>
      <c r="S2500" s="22"/>
      <c r="T2500" s="22"/>
      <c r="U2500" s="22"/>
      <c r="V2500" s="22"/>
      <c r="W2500" s="22"/>
      <c r="X2500" s="22"/>
      <c r="Y2500" s="22"/>
      <c r="Z2500" s="22"/>
      <c r="AA2500" s="332">
        <v>3680</v>
      </c>
      <c r="AB2500" s="332"/>
      <c r="AC2500" s="332">
        <v>4240</v>
      </c>
      <c r="AD2500" s="332"/>
      <c r="AE2500" s="332">
        <v>4480</v>
      </c>
      <c r="AF2500" s="332"/>
      <c r="AG2500" s="332">
        <v>4840</v>
      </c>
      <c r="AH2500" s="332"/>
      <c r="AI2500" s="332">
        <v>5170</v>
      </c>
      <c r="AJ2500" s="289"/>
      <c r="AK2500" s="386">
        <v>3740</v>
      </c>
      <c r="AL2500" s="30">
        <f t="shared" ref="AL2500:AL2507" si="407">AK2500/AA2500-1</f>
        <v>1.6304347826086918E-2</v>
      </c>
      <c r="AM2500" s="386">
        <f t="shared" ref="AM2500:AM2507" si="408">AB2500/100*13+AB2500</f>
        <v>0</v>
      </c>
      <c r="AN2500" s="30" t="e">
        <f t="shared" ref="AN2500:AN2507" si="409">AM2500/AB2500-1</f>
        <v>#DIV/0!</v>
      </c>
      <c r="AO2500" s="386">
        <v>4310</v>
      </c>
      <c r="AP2500" s="30">
        <f t="shared" ref="AP2500:AP2507" si="410">AO2500/AC2500-1</f>
        <v>1.6509433962264231E-2</v>
      </c>
      <c r="AQ2500" s="386">
        <f t="shared" ref="AQ2500:AQ2507" si="411">AD2500/100*13+AD2500</f>
        <v>0</v>
      </c>
      <c r="AR2500" s="30" t="e">
        <f t="shared" ref="AR2500:AR2507" si="412">AQ2500/AD2500-1</f>
        <v>#DIV/0!</v>
      </c>
      <c r="AS2500" s="386">
        <v>4520</v>
      </c>
      <c r="AT2500" s="1">
        <f t="shared" ref="AT2500:AT2507" si="413">AS2500/AE2500-1</f>
        <v>8.9285714285713969E-3</v>
      </c>
      <c r="AU2500" s="1">
        <f t="shared" ref="AU2500:AU2507" si="414">AF2500/100*13+AF2500</f>
        <v>0</v>
      </c>
    </row>
    <row r="2501" spans="1:49">
      <c r="A2501" s="8"/>
      <c r="B2501" s="16" t="str">
        <f>IF($C$1="ENG","B+ (100 - 120 mm)","B+ (100 - 120 мм)")</f>
        <v>B+ (100 - 120 мм)</v>
      </c>
      <c r="C2501" s="431"/>
      <c r="D2501" s="18">
        <f t="shared" si="401"/>
        <v>3150</v>
      </c>
      <c r="E2501" s="268">
        <f t="shared" si="402"/>
        <v>3780</v>
      </c>
      <c r="F2501" s="271"/>
      <c r="G2501" s="66"/>
      <c r="H2501" s="18">
        <f t="shared" si="403"/>
        <v>3633.3333333333335</v>
      </c>
      <c r="I2501" s="268">
        <f t="shared" si="404"/>
        <v>4360</v>
      </c>
      <c r="J2501" s="271"/>
      <c r="K2501" s="66"/>
      <c r="L2501" s="18">
        <f t="shared" si="405"/>
        <v>3841.666666666667</v>
      </c>
      <c r="M2501" s="268">
        <f t="shared" si="406"/>
        <v>4610</v>
      </c>
      <c r="N2501" s="271"/>
      <c r="O2501" s="66"/>
      <c r="P2501" s="22"/>
      <c r="Q2501" s="22"/>
      <c r="R2501" s="22"/>
      <c r="S2501" s="22"/>
      <c r="T2501" s="22"/>
      <c r="U2501" s="22"/>
      <c r="V2501" s="22"/>
      <c r="W2501" s="22"/>
      <c r="X2501" s="22"/>
      <c r="Y2501" s="22"/>
      <c r="Z2501" s="22"/>
      <c r="AA2501" s="332">
        <v>3780</v>
      </c>
      <c r="AB2501" s="332"/>
      <c r="AC2501" s="332">
        <v>4360</v>
      </c>
      <c r="AD2501" s="332"/>
      <c r="AE2501" s="332">
        <v>4610</v>
      </c>
      <c r="AF2501" s="332"/>
      <c r="AG2501" s="332">
        <v>4950</v>
      </c>
      <c r="AH2501" s="332"/>
      <c r="AI2501" s="332">
        <v>5280</v>
      </c>
      <c r="AJ2501" s="289"/>
      <c r="AK2501" s="386">
        <v>3820</v>
      </c>
      <c r="AL2501" s="310">
        <f t="shared" si="407"/>
        <v>1.0582010582010692E-2</v>
      </c>
      <c r="AM2501" s="386">
        <f t="shared" si="408"/>
        <v>0</v>
      </c>
      <c r="AN2501" s="310" t="e">
        <f t="shared" si="409"/>
        <v>#DIV/0!</v>
      </c>
      <c r="AO2501" s="386">
        <v>4400</v>
      </c>
      <c r="AP2501" s="30">
        <f t="shared" si="410"/>
        <v>9.1743119266054496E-3</v>
      </c>
      <c r="AQ2501" s="386">
        <f t="shared" si="411"/>
        <v>0</v>
      </c>
      <c r="AR2501" s="30" t="e">
        <f t="shared" si="412"/>
        <v>#DIV/0!</v>
      </c>
      <c r="AS2501" s="386">
        <v>4630</v>
      </c>
      <c r="AT2501" s="1">
        <f t="shared" si="413"/>
        <v>4.3383947939261702E-3</v>
      </c>
      <c r="AU2501" s="1">
        <f t="shared" si="414"/>
        <v>0</v>
      </c>
    </row>
    <row r="2502" spans="1:49">
      <c r="A2502" s="8"/>
      <c r="B2502" s="16" t="str">
        <f>IF($C$1="ENG","C (120 - 140 mm)","C (120 - 140 мм)")</f>
        <v>C (120 - 140 мм)</v>
      </c>
      <c r="C2502" s="431"/>
      <c r="D2502" s="18">
        <f t="shared" si="401"/>
        <v>3225</v>
      </c>
      <c r="E2502" s="268">
        <f t="shared" si="402"/>
        <v>3870</v>
      </c>
      <c r="F2502" s="271"/>
      <c r="G2502" s="66"/>
      <c r="H2502" s="18">
        <f t="shared" si="403"/>
        <v>3708.3333333333335</v>
      </c>
      <c r="I2502" s="268">
        <f t="shared" si="404"/>
        <v>4450</v>
      </c>
      <c r="J2502" s="271"/>
      <c r="K2502" s="66"/>
      <c r="L2502" s="18">
        <f t="shared" si="405"/>
        <v>3925</v>
      </c>
      <c r="M2502" s="268">
        <f t="shared" si="406"/>
        <v>4710</v>
      </c>
      <c r="N2502" s="271"/>
      <c r="O2502" s="66"/>
      <c r="P2502" s="22"/>
      <c r="Q2502" s="22"/>
      <c r="R2502" s="22"/>
      <c r="S2502" s="22"/>
      <c r="T2502" s="22"/>
      <c r="U2502" s="22"/>
      <c r="V2502" s="22"/>
      <c r="W2502" s="22"/>
      <c r="X2502" s="22"/>
      <c r="Y2502" s="22"/>
      <c r="Z2502" s="22"/>
      <c r="AA2502" s="332">
        <v>3870</v>
      </c>
      <c r="AB2502" s="332"/>
      <c r="AC2502" s="332">
        <v>4450</v>
      </c>
      <c r="AD2502" s="332"/>
      <c r="AE2502" s="332">
        <v>4710</v>
      </c>
      <c r="AF2502" s="332"/>
      <c r="AG2502" s="332">
        <v>5060</v>
      </c>
      <c r="AH2502" s="332"/>
      <c r="AI2502" s="332">
        <v>5400</v>
      </c>
      <c r="AJ2502" s="289"/>
      <c r="AK2502" s="386">
        <v>3910</v>
      </c>
      <c r="AL2502" s="310">
        <f t="shared" si="407"/>
        <v>1.0335917312661591E-2</v>
      </c>
      <c r="AM2502" s="386">
        <f t="shared" si="408"/>
        <v>0</v>
      </c>
      <c r="AN2502" s="30" t="e">
        <f t="shared" si="409"/>
        <v>#DIV/0!</v>
      </c>
      <c r="AO2502" s="386">
        <v>4400</v>
      </c>
      <c r="AP2502" s="30">
        <f t="shared" si="410"/>
        <v>-1.1235955056179803E-2</v>
      </c>
      <c r="AQ2502" s="386">
        <f t="shared" si="411"/>
        <v>0</v>
      </c>
      <c r="AR2502" s="30" t="e">
        <f t="shared" si="412"/>
        <v>#DIV/0!</v>
      </c>
      <c r="AS2502" s="386">
        <v>4710</v>
      </c>
      <c r="AT2502" s="1">
        <f t="shared" si="413"/>
        <v>0</v>
      </c>
      <c r="AU2502" s="1">
        <f t="shared" si="414"/>
        <v>0</v>
      </c>
    </row>
    <row r="2503" spans="1:49">
      <c r="A2503" s="8"/>
      <c r="B2503" s="16" t="str">
        <f>IF($C$1="ENG","D (140 - 160 mm)","D (140 - 160 мм)")</f>
        <v>D (140 - 160 мм)</v>
      </c>
      <c r="C2503" s="431"/>
      <c r="D2503" s="18">
        <f t="shared" si="401"/>
        <v>3400</v>
      </c>
      <c r="E2503" s="268">
        <f t="shared" si="402"/>
        <v>4080</v>
      </c>
      <c r="F2503" s="271"/>
      <c r="G2503" s="66"/>
      <c r="H2503" s="18">
        <f t="shared" si="403"/>
        <v>3916.666666666667</v>
      </c>
      <c r="I2503" s="268">
        <f t="shared" si="404"/>
        <v>4700</v>
      </c>
      <c r="J2503" s="271"/>
      <c r="K2503" s="66"/>
      <c r="L2503" s="18">
        <f t="shared" si="405"/>
        <v>4100</v>
      </c>
      <c r="M2503" s="268">
        <f t="shared" si="406"/>
        <v>4920</v>
      </c>
      <c r="N2503" s="271"/>
      <c r="O2503" s="66"/>
      <c r="P2503" s="22"/>
      <c r="Q2503" s="22"/>
      <c r="R2503" s="22"/>
      <c r="S2503" s="22"/>
      <c r="T2503" s="22"/>
      <c r="U2503" s="22"/>
      <c r="V2503" s="22"/>
      <c r="W2503" s="22"/>
      <c r="X2503" s="22"/>
      <c r="Y2503" s="22"/>
      <c r="Z2503" s="22"/>
      <c r="AA2503" s="332">
        <v>4080</v>
      </c>
      <c r="AB2503" s="332"/>
      <c r="AC2503" s="332">
        <v>4700</v>
      </c>
      <c r="AD2503" s="332"/>
      <c r="AE2503" s="332">
        <v>4920</v>
      </c>
      <c r="AF2503" s="332"/>
      <c r="AG2503" s="332">
        <v>5290</v>
      </c>
      <c r="AH2503" s="332"/>
      <c r="AI2503" s="332">
        <v>5650</v>
      </c>
      <c r="AJ2503" s="289"/>
      <c r="AK2503" s="386">
        <v>4080</v>
      </c>
      <c r="AL2503" s="310">
        <f t="shared" si="407"/>
        <v>0</v>
      </c>
      <c r="AM2503" s="386">
        <f t="shared" si="408"/>
        <v>0</v>
      </c>
      <c r="AN2503" s="30" t="e">
        <f t="shared" si="409"/>
        <v>#DIV/0!</v>
      </c>
      <c r="AO2503" s="386">
        <v>4690</v>
      </c>
      <c r="AP2503" s="30">
        <f t="shared" si="410"/>
        <v>-2.1276595744680327E-3</v>
      </c>
      <c r="AQ2503" s="386">
        <f t="shared" si="411"/>
        <v>0</v>
      </c>
      <c r="AR2503" s="30" t="e">
        <f t="shared" si="412"/>
        <v>#DIV/0!</v>
      </c>
      <c r="AS2503" s="386">
        <v>4930</v>
      </c>
      <c r="AT2503" s="1">
        <f t="shared" si="413"/>
        <v>2.0325203252031798E-3</v>
      </c>
      <c r="AU2503" s="1">
        <f t="shared" si="414"/>
        <v>0</v>
      </c>
    </row>
    <row r="2504" spans="1:49">
      <c r="A2504" s="8"/>
      <c r="B2504" s="16" t="str">
        <f>IF($C$1="ENG","E (160 - 180 mm)","E (160 - 180 мм)")</f>
        <v>E (160 - 180 мм)</v>
      </c>
      <c r="C2504" s="431"/>
      <c r="D2504" s="18">
        <f t="shared" si="401"/>
        <v>3550</v>
      </c>
      <c r="E2504" s="268">
        <f t="shared" si="402"/>
        <v>4260</v>
      </c>
      <c r="F2504" s="271"/>
      <c r="G2504" s="66"/>
      <c r="H2504" s="18">
        <f t="shared" si="403"/>
        <v>4083.3333333333335</v>
      </c>
      <c r="I2504" s="268">
        <f t="shared" si="404"/>
        <v>4900</v>
      </c>
      <c r="J2504" s="271"/>
      <c r="K2504" s="66"/>
      <c r="L2504" s="18">
        <f t="shared" si="405"/>
        <v>4283.3333333333339</v>
      </c>
      <c r="M2504" s="268">
        <f t="shared" si="406"/>
        <v>5140.0000000000009</v>
      </c>
      <c r="N2504" s="271"/>
      <c r="O2504" s="66"/>
      <c r="P2504" s="22"/>
      <c r="Q2504" s="22"/>
      <c r="R2504" s="22"/>
      <c r="S2504" s="22"/>
      <c r="T2504" s="22"/>
      <c r="U2504" s="22"/>
      <c r="V2504" s="22"/>
      <c r="W2504" s="22"/>
      <c r="X2504" s="22"/>
      <c r="Y2504" s="22"/>
      <c r="Z2504" s="22"/>
      <c r="AA2504" s="332">
        <v>4260</v>
      </c>
      <c r="AB2504" s="332"/>
      <c r="AC2504" s="332">
        <v>4900</v>
      </c>
      <c r="AD2504" s="332"/>
      <c r="AE2504" s="332">
        <v>5140</v>
      </c>
      <c r="AF2504" s="332"/>
      <c r="AG2504" s="332">
        <v>5520</v>
      </c>
      <c r="AH2504" s="332"/>
      <c r="AI2504" s="332">
        <v>5890</v>
      </c>
      <c r="AJ2504" s="289"/>
      <c r="AK2504" s="386">
        <v>4250</v>
      </c>
      <c r="AL2504" s="310">
        <f t="shared" si="407"/>
        <v>-2.3474178403756207E-3</v>
      </c>
      <c r="AM2504" s="386">
        <f t="shared" si="408"/>
        <v>0</v>
      </c>
      <c r="AN2504" s="30" t="e">
        <f t="shared" si="409"/>
        <v>#DIV/0!</v>
      </c>
      <c r="AO2504" s="386">
        <v>4880</v>
      </c>
      <c r="AP2504" s="30">
        <f t="shared" si="410"/>
        <v>-4.0816326530612734E-3</v>
      </c>
      <c r="AQ2504" s="386">
        <f t="shared" si="411"/>
        <v>0</v>
      </c>
      <c r="AR2504" s="30" t="e">
        <f t="shared" si="412"/>
        <v>#DIV/0!</v>
      </c>
      <c r="AS2504" s="386">
        <v>5140</v>
      </c>
      <c r="AT2504" s="1">
        <f t="shared" si="413"/>
        <v>0</v>
      </c>
      <c r="AU2504" s="1">
        <f t="shared" si="414"/>
        <v>0</v>
      </c>
    </row>
    <row r="2505" spans="1:49">
      <c r="A2505" s="8"/>
      <c r="B2505" s="16" t="str">
        <f>IF($C$1="ENG","F (180 - 200 mm)","F (180 - 200 мм)")</f>
        <v>F (180 - 200 мм)</v>
      </c>
      <c r="C2505" s="431"/>
      <c r="D2505" s="18">
        <f t="shared" si="401"/>
        <v>3725</v>
      </c>
      <c r="E2505" s="268">
        <f t="shared" si="402"/>
        <v>4470</v>
      </c>
      <c r="F2505" s="271"/>
      <c r="G2505" s="66"/>
      <c r="H2505" s="18">
        <f t="shared" si="403"/>
        <v>4275</v>
      </c>
      <c r="I2505" s="268">
        <f t="shared" si="404"/>
        <v>5130</v>
      </c>
      <c r="J2505" s="271"/>
      <c r="K2505" s="66"/>
      <c r="L2505" s="18">
        <f t="shared" si="405"/>
        <v>4491.666666666667</v>
      </c>
      <c r="M2505" s="268">
        <f t="shared" si="406"/>
        <v>5390</v>
      </c>
      <c r="N2505" s="271"/>
      <c r="O2505" s="66"/>
      <c r="P2505" s="22"/>
      <c r="Q2505" s="22"/>
      <c r="R2505" s="22"/>
      <c r="S2505" s="22"/>
      <c r="T2505" s="22"/>
      <c r="U2505" s="22"/>
      <c r="V2505" s="22"/>
      <c r="W2505" s="22"/>
      <c r="X2505" s="22"/>
      <c r="Y2505" s="22"/>
      <c r="Z2505" s="22"/>
      <c r="AA2505" s="332">
        <v>4470</v>
      </c>
      <c r="AB2505" s="332"/>
      <c r="AC2505" s="332">
        <v>5130</v>
      </c>
      <c r="AD2505" s="332"/>
      <c r="AE2505" s="332">
        <v>5390</v>
      </c>
      <c r="AF2505" s="332"/>
      <c r="AG2505" s="332">
        <v>5740</v>
      </c>
      <c r="AH2505" s="332"/>
      <c r="AI2505" s="332">
        <v>6140</v>
      </c>
      <c r="AJ2505" s="289"/>
      <c r="AK2505" s="386">
        <v>4420</v>
      </c>
      <c r="AL2505" s="310">
        <f t="shared" si="407"/>
        <v>-1.1185682326621871E-2</v>
      </c>
      <c r="AM2505" s="386">
        <f t="shared" si="408"/>
        <v>0</v>
      </c>
      <c r="AN2505" s="30" t="e">
        <f t="shared" si="409"/>
        <v>#DIV/0!</v>
      </c>
      <c r="AO2505" s="386">
        <v>5090</v>
      </c>
      <c r="AP2505" s="30">
        <f t="shared" si="410"/>
        <v>-7.7972709551656916E-3</v>
      </c>
      <c r="AQ2505" s="386">
        <f t="shared" si="411"/>
        <v>0</v>
      </c>
      <c r="AR2505" s="30" t="e">
        <f t="shared" si="412"/>
        <v>#DIV/0!</v>
      </c>
      <c r="AS2505" s="386">
        <v>5350</v>
      </c>
      <c r="AT2505" s="1">
        <f t="shared" si="413"/>
        <v>-7.4211502782931538E-3</v>
      </c>
      <c r="AU2505" s="1">
        <f t="shared" si="414"/>
        <v>0</v>
      </c>
    </row>
    <row r="2506" spans="1:49">
      <c r="A2506" s="8"/>
      <c r="B2506" s="16" t="str">
        <f>IF($C$1="ENG","G (200 - 220 mm)","G (200 - 220 мм)")</f>
        <v>G (200 - 220 мм)</v>
      </c>
      <c r="C2506" s="431"/>
      <c r="D2506" s="18">
        <f t="shared" si="401"/>
        <v>3875</v>
      </c>
      <c r="E2506" s="268">
        <f t="shared" si="402"/>
        <v>4650</v>
      </c>
      <c r="F2506" s="271"/>
      <c r="G2506" s="66"/>
      <c r="H2506" s="18">
        <f t="shared" si="403"/>
        <v>4466.666666666667</v>
      </c>
      <c r="I2506" s="268">
        <f t="shared" si="404"/>
        <v>5360</v>
      </c>
      <c r="J2506" s="271"/>
      <c r="K2506" s="66"/>
      <c r="L2506" s="18">
        <f t="shared" si="405"/>
        <v>4675</v>
      </c>
      <c r="M2506" s="268">
        <f t="shared" si="406"/>
        <v>5610</v>
      </c>
      <c r="N2506" s="271"/>
      <c r="O2506" s="66"/>
      <c r="P2506" s="22"/>
      <c r="Q2506" s="22"/>
      <c r="R2506" s="22"/>
      <c r="S2506" s="22"/>
      <c r="T2506" s="22"/>
      <c r="U2506" s="22"/>
      <c r="V2506" s="22"/>
      <c r="W2506" s="22"/>
      <c r="X2506" s="22"/>
      <c r="Y2506" s="22"/>
      <c r="Z2506" s="22"/>
      <c r="AA2506" s="332">
        <v>4650</v>
      </c>
      <c r="AB2506" s="332"/>
      <c r="AC2506" s="332">
        <v>5360</v>
      </c>
      <c r="AD2506" s="332"/>
      <c r="AE2506" s="332">
        <v>5610</v>
      </c>
      <c r="AF2506" s="332"/>
      <c r="AG2506" s="332">
        <v>5970</v>
      </c>
      <c r="AH2506" s="332"/>
      <c r="AI2506" s="332">
        <v>6370</v>
      </c>
      <c r="AJ2506" s="289"/>
      <c r="AK2506" s="386">
        <v>4590</v>
      </c>
      <c r="AL2506" s="310">
        <f t="shared" si="407"/>
        <v>-1.2903225806451646E-2</v>
      </c>
      <c r="AM2506" s="386">
        <f t="shared" si="408"/>
        <v>0</v>
      </c>
      <c r="AN2506" s="30" t="e">
        <f t="shared" si="409"/>
        <v>#DIV/0!</v>
      </c>
      <c r="AO2506" s="386">
        <v>5280</v>
      </c>
      <c r="AP2506" s="30">
        <f t="shared" si="410"/>
        <v>-1.4925373134328401E-2</v>
      </c>
      <c r="AQ2506" s="386">
        <f t="shared" si="411"/>
        <v>0</v>
      </c>
      <c r="AR2506" s="30" t="e">
        <f t="shared" si="412"/>
        <v>#DIV/0!</v>
      </c>
      <c r="AS2506" s="386">
        <v>5560</v>
      </c>
      <c r="AT2506" s="1">
        <f t="shared" si="413"/>
        <v>-8.9126559714794995E-3</v>
      </c>
      <c r="AU2506" s="1">
        <f t="shared" si="414"/>
        <v>0</v>
      </c>
    </row>
    <row r="2507" spans="1:49">
      <c r="A2507" s="8"/>
      <c r="B2507" s="107" t="str">
        <f>IF($C$1="ENG","H (220 - 240 mm)","H (220 - 240 мм)")</f>
        <v>H (220 - 240 мм)</v>
      </c>
      <c r="C2507" s="432"/>
      <c r="D2507" s="25">
        <f t="shared" si="401"/>
        <v>4033.3333333333335</v>
      </c>
      <c r="E2507" s="269">
        <f t="shared" si="402"/>
        <v>4840</v>
      </c>
      <c r="F2507" s="272"/>
      <c r="G2507" s="69"/>
      <c r="H2507" s="25">
        <f t="shared" si="403"/>
        <v>4641.666666666667</v>
      </c>
      <c r="I2507" s="269">
        <f t="shared" si="404"/>
        <v>5570</v>
      </c>
      <c r="J2507" s="272"/>
      <c r="K2507" s="69"/>
      <c r="L2507" s="25">
        <f t="shared" si="405"/>
        <v>4858.3333333333339</v>
      </c>
      <c r="M2507" s="269">
        <f t="shared" si="406"/>
        <v>5830.0000000000009</v>
      </c>
      <c r="N2507" s="272"/>
      <c r="O2507" s="69"/>
      <c r="P2507" s="22"/>
      <c r="Q2507" s="22"/>
      <c r="R2507" s="22"/>
      <c r="S2507" s="22"/>
      <c r="T2507" s="22"/>
      <c r="U2507" s="22"/>
      <c r="V2507" s="22"/>
      <c r="W2507" s="22"/>
      <c r="X2507" s="22"/>
      <c r="Y2507" s="22"/>
      <c r="Z2507" s="22"/>
      <c r="AA2507" s="332">
        <v>4840</v>
      </c>
      <c r="AB2507" s="332"/>
      <c r="AC2507" s="332">
        <v>5570</v>
      </c>
      <c r="AD2507" s="332"/>
      <c r="AE2507" s="332">
        <v>5830</v>
      </c>
      <c r="AF2507" s="332"/>
      <c r="AG2507" s="332">
        <v>6190</v>
      </c>
      <c r="AH2507" s="332"/>
      <c r="AI2507" s="332">
        <v>6600</v>
      </c>
      <c r="AJ2507" s="289"/>
      <c r="AK2507" s="386">
        <v>4760</v>
      </c>
      <c r="AL2507" s="310">
        <f t="shared" si="407"/>
        <v>-1.6528925619834656E-2</v>
      </c>
      <c r="AM2507" s="386">
        <f t="shared" si="408"/>
        <v>0</v>
      </c>
      <c r="AN2507" s="30" t="e">
        <f t="shared" si="409"/>
        <v>#DIV/0!</v>
      </c>
      <c r="AO2507" s="386">
        <v>5470</v>
      </c>
      <c r="AP2507" s="30">
        <f t="shared" si="410"/>
        <v>-1.7953321364452379E-2</v>
      </c>
      <c r="AQ2507" s="386">
        <f t="shared" si="411"/>
        <v>0</v>
      </c>
      <c r="AR2507" s="30" t="e">
        <f t="shared" si="412"/>
        <v>#DIV/0!</v>
      </c>
      <c r="AS2507" s="386">
        <v>5760</v>
      </c>
      <c r="AT2507" s="1">
        <f t="shared" si="413"/>
        <v>-1.2006861063464824E-2</v>
      </c>
      <c r="AU2507" s="1">
        <f t="shared" si="414"/>
        <v>0</v>
      </c>
    </row>
    <row r="2508" spans="1:49" s="48" customFormat="1">
      <c r="B2508" s="313"/>
      <c r="C2508" s="427"/>
      <c r="D2508" s="28"/>
      <c r="E2508" s="59"/>
      <c r="F2508" s="28"/>
      <c r="G2508" s="59"/>
      <c r="H2508" s="28"/>
      <c r="I2508" s="59"/>
      <c r="J2508" s="28"/>
      <c r="K2508" s="59"/>
      <c r="L2508" s="28"/>
      <c r="M2508" s="59"/>
      <c r="N2508" s="28"/>
      <c r="O2508" s="59"/>
      <c r="P2508" s="28"/>
      <c r="Q2508" s="59"/>
      <c r="R2508" s="28"/>
      <c r="S2508" s="59"/>
      <c r="T2508" s="28"/>
      <c r="U2508" s="59"/>
      <c r="V2508" s="28"/>
      <c r="W2508" s="59"/>
      <c r="X2508" s="400"/>
      <c r="Y2508" s="400"/>
      <c r="Z2508" s="400"/>
      <c r="AA2508" s="400"/>
      <c r="AB2508" s="400"/>
      <c r="AM2508" s="453"/>
      <c r="AN2508" s="454"/>
      <c r="AO2508" s="453"/>
      <c r="AP2508" s="56"/>
      <c r="AQ2508" s="453"/>
      <c r="AR2508" s="56"/>
      <c r="AS2508" s="453"/>
      <c r="AT2508" s="56"/>
      <c r="AU2508" s="453"/>
    </row>
    <row r="2509" spans="1:49" s="48" customFormat="1">
      <c r="B2509" s="450"/>
      <c r="C2509" s="427"/>
      <c r="D2509" s="28"/>
      <c r="E2509" s="59"/>
      <c r="F2509" s="28"/>
      <c r="G2509" s="59"/>
      <c r="H2509" s="28"/>
      <c r="I2509" s="59"/>
      <c r="J2509" s="28"/>
      <c r="K2509" s="59"/>
      <c r="L2509" s="28"/>
      <c r="M2509" s="59"/>
      <c r="N2509" s="28"/>
      <c r="O2509" s="59"/>
      <c r="P2509" s="28"/>
      <c r="Q2509" s="59"/>
      <c r="R2509" s="28"/>
      <c r="S2509" s="59"/>
      <c r="T2509" s="28"/>
      <c r="U2509" s="59"/>
      <c r="V2509" s="28"/>
      <c r="W2509" s="59"/>
      <c r="X2509" s="400"/>
      <c r="Y2509" s="400"/>
      <c r="Z2509" s="400"/>
      <c r="AA2509" s="400"/>
      <c r="AB2509" s="400"/>
      <c r="AM2509" s="453"/>
      <c r="AN2509" s="454"/>
      <c r="AO2509" s="453"/>
      <c r="AP2509" s="56"/>
      <c r="AQ2509" s="453"/>
      <c r="AR2509" s="56"/>
      <c r="AS2509" s="453"/>
      <c r="AT2509" s="56"/>
      <c r="AU2509" s="453"/>
    </row>
    <row r="2510" spans="1:49" s="48" customFormat="1" ht="24.95" customHeight="1">
      <c r="B2510" s="54" t="str">
        <f>IF($C$1="ENG","ADJUSTABLE PANELS","ПЛАНКИ РЕГУЛЮВАЛЬНІ")</f>
        <v>ПЛАНКИ РЕГУЛЮВАЛЬНІ</v>
      </c>
      <c r="C2510" s="427"/>
      <c r="D2510" s="28"/>
      <c r="E2510" s="541" t="str">
        <f>IF($C$1="ENG","For Door Frames Verto-FIT Comfort Inside","Для Дверних Коробок Verto-FIT Comfort Inside")</f>
        <v>Для Дверних Коробок Verto-FIT Comfort Inside</v>
      </c>
      <c r="F2510" s="541"/>
      <c r="G2510" s="541"/>
      <c r="H2510" s="541"/>
      <c r="I2510" s="541"/>
      <c r="J2510" s="541"/>
      <c r="K2510" s="541"/>
      <c r="L2510" s="28"/>
      <c r="M2510" s="106"/>
      <c r="N2510" s="28"/>
      <c r="O2510" s="29"/>
      <c r="P2510" s="28"/>
      <c r="Q2510" s="106"/>
      <c r="R2510" s="28"/>
      <c r="S2510" s="29"/>
      <c r="T2510" s="153"/>
      <c r="U2510" s="155"/>
      <c r="V2510" s="153"/>
      <c r="W2510" s="154"/>
      <c r="AN2510" s="56"/>
      <c r="AO2510" s="56"/>
      <c r="AP2510" s="56"/>
      <c r="AQ2510" s="56"/>
      <c r="AR2510" s="56"/>
      <c r="AS2510" s="56"/>
      <c r="AT2510" s="56"/>
    </row>
    <row r="2511" spans="1:49" ht="34.5" customHeight="1">
      <c r="A2511" s="8"/>
      <c r="B2511" s="244" t="str">
        <f>IF($C$1="ENG","Panel (1 set) 80 mm","Планка (1 к-т) 80 мм")</f>
        <v>Планка (1 к-т) 80 мм</v>
      </c>
      <c r="C2511" s="433"/>
      <c r="D2511" s="15">
        <f>IF(AC2511="","",(1-$W$2)*(AC2511/1.2))</f>
        <v>991.66666666666674</v>
      </c>
      <c r="E2511" s="299">
        <f>IF($W$5=0.2,D2511*1.2,D2511)/$W$4</f>
        <v>1190</v>
      </c>
      <c r="F2511" s="270"/>
      <c r="G2511" s="64"/>
      <c r="H2511" s="15">
        <f>IF(AE2511="","",(1-$W$2)*(AE2511/1.2))</f>
        <v>1091.6666666666667</v>
      </c>
      <c r="I2511" s="267">
        <f>IF($W$5=0.2,H2511*1.2,H2511)/$W$4</f>
        <v>1310</v>
      </c>
      <c r="J2511" s="270"/>
      <c r="K2511" s="64"/>
      <c r="L2511" s="15">
        <f>IF(AG2511="","",(1-$W$2)*(AG2511/1.2))</f>
        <v>1158.3333333333335</v>
      </c>
      <c r="M2511" s="267">
        <f>IF($W$5=0.2,L2511*1.2,L2511)/$W$4</f>
        <v>1390.0000000000002</v>
      </c>
      <c r="N2511" s="270"/>
      <c r="O2511" s="64"/>
      <c r="P2511" s="15">
        <f>IF(AI2511="","",(1-$W$2)*(AI2511/1.2))</f>
        <v>1225</v>
      </c>
      <c r="Q2511" s="457"/>
      <c r="R2511" s="28"/>
      <c r="S2511" s="59"/>
      <c r="T2511" s="28"/>
      <c r="U2511" s="59"/>
      <c r="V2511" s="28"/>
      <c r="W2511" s="59"/>
      <c r="AC2511" s="332">
        <v>1190</v>
      </c>
      <c r="AD2511" s="332"/>
      <c r="AE2511" s="332">
        <v>1310</v>
      </c>
      <c r="AF2511" s="332"/>
      <c r="AG2511" s="332">
        <v>1390</v>
      </c>
      <c r="AH2511" s="332"/>
      <c r="AI2511" s="332">
        <v>1470</v>
      </c>
      <c r="AJ2511" s="332"/>
      <c r="AK2511" s="332">
        <v>1550</v>
      </c>
      <c r="AL2511" s="289"/>
      <c r="AM2511" s="386">
        <v>1190</v>
      </c>
      <c r="AN2511" s="310">
        <f>AM2511/AC2511-1</f>
        <v>0</v>
      </c>
      <c r="AO2511" s="386">
        <f>AD2511/100*13+AD2511</f>
        <v>0</v>
      </c>
      <c r="AP2511" s="30" t="e">
        <f>AO2511/AD2511-1</f>
        <v>#DIV/0!</v>
      </c>
      <c r="AQ2511" s="386">
        <v>1310</v>
      </c>
      <c r="AR2511" s="30">
        <f>AQ2511/AE2511-1</f>
        <v>0</v>
      </c>
      <c r="AS2511" s="386">
        <f>AF2511/100*13+AF2511</f>
        <v>0</v>
      </c>
      <c r="AT2511" s="30" t="e">
        <f>AS2511/AF2511-1</f>
        <v>#DIV/0!</v>
      </c>
      <c r="AU2511" s="386">
        <v>1390</v>
      </c>
      <c r="AV2511" s="1">
        <f>AU2511/AG2511-1</f>
        <v>0</v>
      </c>
      <c r="AW2511" s="1">
        <f>AH2511/100*13+AH2511</f>
        <v>0</v>
      </c>
    </row>
    <row r="2512" spans="1:49" ht="34.5" customHeight="1">
      <c r="A2512" s="8"/>
      <c r="B2512" s="312" t="str">
        <f>IF($C$1="ENG","Panel (1 set) 160 mm","Планка (1 к-т) 160 мм")</f>
        <v>Планка (1 к-т) 160 мм</v>
      </c>
      <c r="C2512" s="431"/>
      <c r="D2512" s="18">
        <f>IF(AC2512="","",(1-$W$2)*(AC2512/1.2))</f>
        <v>1650</v>
      </c>
      <c r="E2512" s="268">
        <f>IF($W$5=0.2,D2512*1.2,D2512)/$W$4</f>
        <v>1980</v>
      </c>
      <c r="F2512" s="271"/>
      <c r="G2512" s="66"/>
      <c r="H2512" s="18">
        <f>IF(AE2512="","",(1-$W$2)*(AE2512/1.2))</f>
        <v>1875</v>
      </c>
      <c r="I2512" s="268">
        <f>IF($W$5=0.2,H2512*1.2,H2512)/$W$4</f>
        <v>2250</v>
      </c>
      <c r="J2512" s="271"/>
      <c r="K2512" s="66"/>
      <c r="L2512" s="18">
        <f>IF(AG2512="","",(1-$W$2)*(AG2512/1.2))</f>
        <v>1991.6666666666667</v>
      </c>
      <c r="M2512" s="268">
        <f>IF($W$5=0.2,L2512*1.2,L2512)/$W$4</f>
        <v>2390</v>
      </c>
      <c r="N2512" s="271"/>
      <c r="O2512" s="66"/>
      <c r="P2512" s="18">
        <f>IF(AI2512="","",(1-$W$2)*(AI2512/1.2))</f>
        <v>2116.666666666667</v>
      </c>
      <c r="Q2512" s="457"/>
      <c r="R2512" s="28"/>
      <c r="S2512" s="59"/>
      <c r="T2512" s="28"/>
      <c r="U2512" s="59"/>
      <c r="V2512" s="28"/>
      <c r="W2512" s="59"/>
      <c r="AC2512" s="332">
        <v>1980</v>
      </c>
      <c r="AD2512" s="332"/>
      <c r="AE2512" s="332">
        <v>2250</v>
      </c>
      <c r="AF2512" s="332"/>
      <c r="AG2512" s="332">
        <v>2390</v>
      </c>
      <c r="AH2512" s="332"/>
      <c r="AI2512" s="332">
        <v>2540</v>
      </c>
      <c r="AJ2512" s="332"/>
      <c r="AK2512" s="332">
        <v>2690</v>
      </c>
      <c r="AL2512" s="289"/>
      <c r="AM2512" s="386">
        <v>1980</v>
      </c>
      <c r="AN2512" s="310">
        <f t="shared" ref="AN2512:AN2513" si="415">AM2512/AC2512-1</f>
        <v>0</v>
      </c>
      <c r="AO2512" s="386">
        <f t="shared" ref="AO2512:AO2513" si="416">AD2512/100*13+AD2512</f>
        <v>0</v>
      </c>
      <c r="AP2512" s="30" t="e">
        <f t="shared" ref="AP2512:AP2513" si="417">AO2512/AD2512-1</f>
        <v>#DIV/0!</v>
      </c>
      <c r="AQ2512" s="386">
        <v>2250</v>
      </c>
      <c r="AR2512" s="30">
        <f t="shared" ref="AR2512:AR2513" si="418">AQ2512/AE2512-1</f>
        <v>0</v>
      </c>
      <c r="AS2512" s="386">
        <f t="shared" ref="AS2512:AS2513" si="419">AF2512/100*13+AF2512</f>
        <v>0</v>
      </c>
      <c r="AT2512" s="30" t="e">
        <f t="shared" ref="AT2512:AT2513" si="420">AS2512/AF2512-1</f>
        <v>#DIV/0!</v>
      </c>
      <c r="AU2512" s="386">
        <v>2390</v>
      </c>
      <c r="AV2512" s="1">
        <f t="shared" ref="AV2512:AV2513" si="421">AU2512/AG2512-1</f>
        <v>0</v>
      </c>
      <c r="AW2512" s="1">
        <f t="shared" ref="AW2512:AW2513" si="422">AH2512/100*13+AH2512</f>
        <v>0</v>
      </c>
    </row>
    <row r="2513" spans="1:49" ht="34.5" customHeight="1">
      <c r="A2513" s="8"/>
      <c r="B2513" s="108" t="str">
        <f>IF($C$1="ENG","Panel (1 set) 200 mm","Планка (1 к-т) 200 мм")</f>
        <v>Планка (1 к-т) 200 мм</v>
      </c>
      <c r="C2513" s="432"/>
      <c r="D2513" s="25">
        <f>IF(AC2513="","",(1-$W$2)*(AC2513/1.2))</f>
        <v>1966.6666666666667</v>
      </c>
      <c r="E2513" s="269">
        <f>IF($W$5=0.2,D2513*1.2,D2513)/$W$4</f>
        <v>2360</v>
      </c>
      <c r="F2513" s="272"/>
      <c r="G2513" s="69"/>
      <c r="H2513" s="25">
        <f>IF(AE2513="","",(1-$W$2)*(AE2513/1.2))</f>
        <v>2241.666666666667</v>
      </c>
      <c r="I2513" s="269">
        <f>IF($W$5=0.2,H2513*1.2,H2513)/$W$4</f>
        <v>2690.0000000000005</v>
      </c>
      <c r="J2513" s="272"/>
      <c r="K2513" s="69"/>
      <c r="L2513" s="25">
        <f>IF(AG2513="","",(1-$W$2)*(AG2513/1.2))</f>
        <v>2391.666666666667</v>
      </c>
      <c r="M2513" s="269">
        <f>IF($W$5=0.2,L2513*1.2,L2513)/$W$4</f>
        <v>2870.0000000000005</v>
      </c>
      <c r="N2513" s="272"/>
      <c r="O2513" s="69"/>
      <c r="P2513" s="25">
        <f>IF(AI2513="","",(1-$W$2)*(AI2513/1.2))</f>
        <v>2525</v>
      </c>
      <c r="Q2513" s="457"/>
      <c r="R2513" s="28"/>
      <c r="S2513" s="59"/>
      <c r="T2513" s="28"/>
      <c r="U2513" s="59"/>
      <c r="V2513" s="28"/>
      <c r="W2513" s="59"/>
      <c r="AC2513" s="332">
        <v>2360</v>
      </c>
      <c r="AD2513" s="332"/>
      <c r="AE2513" s="332">
        <v>2690</v>
      </c>
      <c r="AF2513" s="332"/>
      <c r="AG2513" s="332">
        <v>2870</v>
      </c>
      <c r="AH2513" s="332"/>
      <c r="AI2513" s="332">
        <v>3030</v>
      </c>
      <c r="AJ2513" s="332"/>
      <c r="AK2513" s="332">
        <v>3210</v>
      </c>
      <c r="AL2513" s="289"/>
      <c r="AM2513" s="386">
        <v>2360</v>
      </c>
      <c r="AN2513" s="310">
        <f t="shared" si="415"/>
        <v>0</v>
      </c>
      <c r="AO2513" s="386">
        <f t="shared" si="416"/>
        <v>0</v>
      </c>
      <c r="AP2513" s="30" t="e">
        <f t="shared" si="417"/>
        <v>#DIV/0!</v>
      </c>
      <c r="AQ2513" s="386">
        <v>2690</v>
      </c>
      <c r="AR2513" s="30">
        <f t="shared" si="418"/>
        <v>0</v>
      </c>
      <c r="AS2513" s="386">
        <f t="shared" si="419"/>
        <v>0</v>
      </c>
      <c r="AT2513" s="30" t="e">
        <f t="shared" si="420"/>
        <v>#DIV/0!</v>
      </c>
      <c r="AU2513" s="386">
        <v>2870</v>
      </c>
      <c r="AV2513" s="1">
        <f t="shared" si="421"/>
        <v>0</v>
      </c>
      <c r="AW2513" s="1">
        <f t="shared" si="422"/>
        <v>0</v>
      </c>
    </row>
    <row r="2514" spans="1:49">
      <c r="C2514" s="245"/>
      <c r="D2514" s="26"/>
      <c r="E2514" s="57"/>
      <c r="F2514" s="26"/>
      <c r="G2514" s="57"/>
      <c r="H2514" s="5"/>
      <c r="K2514" s="20"/>
      <c r="L2514" s="48"/>
      <c r="M2514" s="106"/>
      <c r="N2514" s="48"/>
      <c r="O2514" s="48"/>
      <c r="P2514" s="48"/>
      <c r="Q2514" s="106"/>
      <c r="R2514" s="48"/>
      <c r="S2514" s="48"/>
      <c r="U2514" s="20"/>
      <c r="W2514" s="20"/>
    </row>
    <row r="2515" spans="1:49">
      <c r="B2515" s="212" t="str">
        <f>IF($C$1="ENG","For additonal charge:","Послуги за додаткову плату:")</f>
        <v>Послуги за додаткову плату:</v>
      </c>
      <c r="C2515" s="420"/>
      <c r="D2515" s="213"/>
      <c r="E2515" s="214"/>
      <c r="F2515" s="39"/>
      <c r="G2515" s="39"/>
      <c r="H2515" s="10"/>
      <c r="I2515" s="84"/>
      <c r="J2515" s="8"/>
      <c r="K2515" s="8"/>
      <c r="L2515" s="105"/>
      <c r="N2515" s="105"/>
      <c r="P2515" s="105"/>
      <c r="R2515" s="105"/>
      <c r="U2515" s="20"/>
      <c r="W2515" s="20"/>
    </row>
    <row r="2516" spans="1:49" ht="5.0999999999999996" customHeight="1">
      <c r="B2516" s="27"/>
      <c r="C2516" s="245"/>
      <c r="D2516" s="26"/>
      <c r="E2516" s="57"/>
      <c r="F2516" s="26"/>
      <c r="G2516" s="26"/>
      <c r="H2516" s="10"/>
      <c r="I2516" s="8"/>
      <c r="J2516" s="8"/>
      <c r="K2516" s="8"/>
      <c r="U2516" s="20"/>
      <c r="W2516" s="20"/>
    </row>
    <row r="2517" spans="1:49">
      <c r="B2517" s="551" t="str">
        <f>IF($C$1="ENG","hidden 3D door hindge Cemom","прихована 3D завіса Cemom хром/чорн.")</f>
        <v>прихована 3D завіса Cemom хром/чорн.</v>
      </c>
      <c r="C2517" s="552"/>
      <c r="D2517" s="51">
        <f>IF(AC2517="","",(1-$W$2)*(AC2517/1.2))</f>
        <v>741.66666666666674</v>
      </c>
      <c r="E2517" s="85">
        <v>1500</v>
      </c>
      <c r="F2517" s="26"/>
      <c r="G2517" s="26"/>
      <c r="H2517" s="10"/>
      <c r="I2517" s="84"/>
      <c r="J2517" s="8"/>
      <c r="K2517" s="84"/>
      <c r="U2517" s="20"/>
      <c r="W2517" s="20"/>
      <c r="AC2517" s="298">
        <v>890</v>
      </c>
      <c r="AD2517" s="386"/>
      <c r="AE2517" s="30"/>
      <c r="AF2517" s="289"/>
      <c r="AG2517" s="289"/>
      <c r="AH2517" s="289"/>
      <c r="AI2517" s="289"/>
      <c r="AJ2517" s="289"/>
      <c r="AK2517" s="289"/>
      <c r="AL2517" s="289"/>
    </row>
    <row r="2518" spans="1:49" ht="14.25" customHeight="1">
      <c r="T2518" s="547" t="str">
        <f>IF($C$1="ENG",CONCATENATE("down to: ",B2603),CONCATENATE("вниз до: ",B2603))</f>
        <v>вниз до: Плінтуси</v>
      </c>
      <c r="U2518" s="547"/>
      <c r="V2518" s="547"/>
      <c r="W2518" s="547"/>
    </row>
    <row r="2519" spans="1:49" ht="14.25" customHeight="1">
      <c r="C2519" s="245"/>
      <c r="D2519" s="26"/>
      <c r="E2519" s="26"/>
      <c r="F2519" s="26"/>
      <c r="G2519" s="57"/>
      <c r="H2519" s="5"/>
      <c r="K2519" s="84"/>
    </row>
    <row r="2520" spans="1:49" ht="14.25" customHeight="1">
      <c r="C2520" s="245"/>
      <c r="D2520" s="26"/>
      <c r="E2520" s="26"/>
      <c r="F2520" s="26"/>
      <c r="G2520" s="26"/>
      <c r="H2520" s="5"/>
    </row>
    <row r="2521" spans="1:49" ht="14.25" customHeight="1">
      <c r="C2521" s="245"/>
      <c r="D2521" s="26"/>
      <c r="E2521" s="26"/>
      <c r="F2521" s="26"/>
      <c r="G2521" s="26"/>
      <c r="H2521" s="5"/>
    </row>
    <row r="2522" spans="1:49" ht="14.25" customHeight="1">
      <c r="C2522" s="245"/>
      <c r="D2522" s="26"/>
      <c r="E2522" s="26"/>
      <c r="F2522" s="26"/>
      <c r="G2522" s="26"/>
      <c r="H2522" s="5"/>
    </row>
    <row r="2523" spans="1:49" ht="14.25" customHeight="1">
      <c r="C2523" s="245"/>
      <c r="D2523" s="26"/>
      <c r="E2523" s="26"/>
      <c r="F2523" s="26"/>
      <c r="G2523" s="26"/>
      <c r="H2523" s="5"/>
    </row>
    <row r="2524" spans="1:49" ht="14.25" customHeight="1">
      <c r="C2524" s="245"/>
      <c r="D2524" s="26"/>
      <c r="E2524" s="26"/>
      <c r="F2524" s="26"/>
      <c r="G2524" s="26"/>
      <c r="H2524" s="5"/>
    </row>
    <row r="2525" spans="1:49" ht="14.25" customHeight="1">
      <c r="C2525" s="245"/>
      <c r="D2525" s="26"/>
      <c r="E2525" s="26"/>
      <c r="F2525" s="26"/>
      <c r="G2525" s="26"/>
      <c r="H2525" s="5"/>
    </row>
    <row r="2526" spans="1:49" ht="14.25" customHeight="1">
      <c r="C2526" s="245"/>
      <c r="D2526" s="26"/>
      <c r="E2526" s="26"/>
      <c r="F2526" s="26"/>
      <c r="G2526" s="26"/>
      <c r="H2526" s="5"/>
    </row>
    <row r="2527" spans="1:49" ht="14.25" customHeight="1">
      <c r="C2527" s="245"/>
      <c r="D2527" s="26"/>
      <c r="E2527" s="26"/>
      <c r="F2527" s="26"/>
      <c r="G2527" s="26"/>
      <c r="H2527" s="5"/>
    </row>
    <row r="2528" spans="1:49" ht="14.25" customHeight="1">
      <c r="C2528" s="245"/>
      <c r="D2528" s="26"/>
      <c r="E2528" s="26"/>
      <c r="F2528" s="26"/>
      <c r="G2528" s="26"/>
      <c r="H2528" s="5"/>
    </row>
    <row r="2529" spans="3:8" ht="14.25" customHeight="1">
      <c r="C2529" s="245"/>
      <c r="D2529" s="26"/>
      <c r="E2529" s="26"/>
      <c r="F2529" s="26"/>
      <c r="G2529" s="26"/>
      <c r="H2529" s="5"/>
    </row>
    <row r="2530" spans="3:8" ht="14.25" customHeight="1">
      <c r="C2530" s="245"/>
      <c r="D2530" s="26"/>
      <c r="E2530" s="26"/>
      <c r="F2530" s="26"/>
      <c r="G2530" s="26"/>
      <c r="H2530" s="5"/>
    </row>
    <row r="2531" spans="3:8" ht="14.25" customHeight="1">
      <c r="C2531" s="245"/>
      <c r="D2531" s="26"/>
      <c r="E2531" s="26"/>
      <c r="F2531" s="26"/>
      <c r="G2531" s="26"/>
      <c r="H2531" s="5"/>
    </row>
    <row r="2532" spans="3:8" ht="14.25" customHeight="1">
      <c r="C2532" s="245"/>
      <c r="D2532" s="26"/>
      <c r="E2532" s="26"/>
      <c r="F2532" s="26"/>
      <c r="G2532" s="26"/>
      <c r="H2532" s="5"/>
    </row>
    <row r="2533" spans="3:8" ht="14.25" customHeight="1">
      <c r="C2533" s="245"/>
      <c r="D2533" s="26"/>
      <c r="E2533" s="26"/>
      <c r="F2533" s="26"/>
      <c r="G2533" s="26"/>
      <c r="H2533" s="5"/>
    </row>
    <row r="2534" spans="3:8" ht="14.25" customHeight="1">
      <c r="C2534" s="245"/>
      <c r="D2534" s="26"/>
      <c r="E2534" s="26"/>
      <c r="F2534" s="26"/>
      <c r="G2534" s="26"/>
      <c r="H2534" s="5"/>
    </row>
    <row r="2535" spans="3:8" ht="14.25" customHeight="1">
      <c r="C2535" s="245"/>
      <c r="D2535" s="26"/>
      <c r="E2535" s="26"/>
      <c r="F2535" s="26"/>
      <c r="G2535" s="26"/>
      <c r="H2535" s="5"/>
    </row>
    <row r="2536" spans="3:8" ht="14.25" customHeight="1">
      <c r="C2536" s="245"/>
      <c r="D2536" s="26"/>
      <c r="E2536" s="26"/>
      <c r="F2536" s="26"/>
      <c r="G2536" s="26"/>
      <c r="H2536" s="5"/>
    </row>
    <row r="2537" spans="3:8" ht="14.25" customHeight="1">
      <c r="C2537" s="245"/>
      <c r="D2537" s="26"/>
      <c r="E2537" s="26"/>
      <c r="F2537" s="26"/>
      <c r="G2537" s="26"/>
      <c r="H2537" s="5"/>
    </row>
    <row r="2538" spans="3:8" ht="14.25" customHeight="1">
      <c r="C2538" s="245"/>
      <c r="D2538" s="26"/>
      <c r="E2538" s="26"/>
      <c r="F2538" s="26"/>
      <c r="G2538" s="26"/>
      <c r="H2538" s="5"/>
    </row>
    <row r="2539" spans="3:8" ht="14.25" customHeight="1">
      <c r="C2539" s="245"/>
      <c r="D2539" s="26"/>
      <c r="E2539" s="26"/>
      <c r="F2539" s="26"/>
      <c r="G2539" s="26"/>
      <c r="H2539" s="5"/>
    </row>
    <row r="2540" spans="3:8" ht="14.25" customHeight="1">
      <c r="C2540" s="245"/>
      <c r="D2540" s="26"/>
      <c r="E2540" s="26"/>
      <c r="F2540" s="26"/>
      <c r="G2540" s="26"/>
      <c r="H2540" s="5"/>
    </row>
    <row r="2541" spans="3:8" ht="14.25" customHeight="1">
      <c r="C2541" s="245"/>
      <c r="D2541" s="26"/>
      <c r="E2541" s="26"/>
      <c r="F2541" s="26"/>
      <c r="G2541" s="26"/>
      <c r="H2541" s="5"/>
    </row>
    <row r="2542" spans="3:8" ht="14.25" customHeight="1">
      <c r="C2542" s="245"/>
      <c r="D2542" s="26"/>
      <c r="E2542" s="26"/>
      <c r="F2542" s="26"/>
      <c r="G2542" s="26"/>
      <c r="H2542" s="5"/>
    </row>
    <row r="2543" spans="3:8" ht="14.25" customHeight="1">
      <c r="C2543" s="245"/>
      <c r="D2543" s="26"/>
      <c r="E2543" s="26"/>
      <c r="F2543" s="26"/>
      <c r="G2543" s="26"/>
      <c r="H2543" s="5"/>
    </row>
    <row r="2544" spans="3:8" ht="14.25" customHeight="1">
      <c r="C2544" s="245"/>
      <c r="D2544" s="26"/>
      <c r="E2544" s="26"/>
      <c r="F2544" s="26"/>
      <c r="G2544" s="26"/>
      <c r="H2544" s="5"/>
    </row>
    <row r="2545" spans="3:8" ht="14.25" customHeight="1">
      <c r="C2545" s="245"/>
      <c r="D2545" s="26"/>
      <c r="E2545" s="26"/>
      <c r="F2545" s="26"/>
      <c r="G2545" s="26"/>
      <c r="H2545" s="5"/>
    </row>
    <row r="2546" spans="3:8" ht="14.25" customHeight="1">
      <c r="C2546" s="245"/>
      <c r="D2546" s="26"/>
      <c r="E2546" s="26"/>
      <c r="F2546" s="26"/>
      <c r="G2546" s="26"/>
      <c r="H2546" s="5"/>
    </row>
    <row r="2547" spans="3:8" ht="14.25" customHeight="1">
      <c r="C2547" s="245"/>
      <c r="D2547" s="26"/>
      <c r="E2547" s="26"/>
      <c r="F2547" s="26"/>
      <c r="G2547" s="26"/>
      <c r="H2547" s="5"/>
    </row>
    <row r="2548" spans="3:8" ht="14.25" customHeight="1">
      <c r="C2548" s="245"/>
      <c r="D2548" s="26"/>
      <c r="E2548" s="26"/>
      <c r="F2548" s="26"/>
      <c r="G2548" s="26"/>
      <c r="H2548" s="5"/>
    </row>
    <row r="2549" spans="3:8" ht="14.25" customHeight="1">
      <c r="C2549" s="245"/>
      <c r="D2549" s="26"/>
      <c r="E2549" s="26"/>
      <c r="F2549" s="26"/>
      <c r="G2549" s="26"/>
      <c r="H2549" s="5"/>
    </row>
    <row r="2550" spans="3:8" ht="14.25" customHeight="1">
      <c r="C2550" s="245"/>
      <c r="D2550" s="26"/>
      <c r="E2550" s="26"/>
      <c r="F2550" s="26"/>
      <c r="G2550" s="26"/>
      <c r="H2550" s="5"/>
    </row>
    <row r="2551" spans="3:8" ht="14.25" customHeight="1">
      <c r="C2551" s="245"/>
      <c r="D2551" s="26"/>
      <c r="E2551" s="26"/>
      <c r="F2551" s="26"/>
      <c r="G2551" s="26"/>
      <c r="H2551" s="5"/>
    </row>
    <row r="2552" spans="3:8" ht="14.25" customHeight="1">
      <c r="C2552" s="245"/>
      <c r="D2552" s="26"/>
      <c r="E2552" s="26"/>
      <c r="F2552" s="26"/>
      <c r="G2552" s="26"/>
      <c r="H2552" s="5"/>
    </row>
    <row r="2553" spans="3:8" ht="14.25" customHeight="1">
      <c r="C2553" s="245"/>
      <c r="D2553" s="26"/>
      <c r="E2553" s="26"/>
      <c r="F2553" s="26"/>
      <c r="G2553" s="26"/>
      <c r="H2553" s="5"/>
    </row>
    <row r="2554" spans="3:8" ht="14.25" customHeight="1">
      <c r="C2554" s="245"/>
      <c r="D2554" s="26"/>
      <c r="E2554" s="26"/>
      <c r="F2554" s="26"/>
      <c r="G2554" s="26"/>
      <c r="H2554" s="5"/>
    </row>
    <row r="2555" spans="3:8" ht="14.25" customHeight="1">
      <c r="C2555" s="245"/>
      <c r="D2555" s="26"/>
      <c r="E2555" s="26"/>
      <c r="F2555" s="26"/>
      <c r="G2555" s="26"/>
      <c r="H2555" s="5"/>
    </row>
    <row r="2556" spans="3:8" ht="14.25" customHeight="1">
      <c r="C2556" s="245"/>
      <c r="D2556" s="26"/>
      <c r="E2556" s="26"/>
      <c r="F2556" s="26"/>
      <c r="G2556" s="26"/>
      <c r="H2556" s="5"/>
    </row>
    <row r="2557" spans="3:8" ht="14.25" customHeight="1">
      <c r="C2557" s="245"/>
      <c r="D2557" s="26"/>
      <c r="E2557" s="26"/>
      <c r="F2557" s="26"/>
      <c r="G2557" s="26"/>
      <c r="H2557" s="5"/>
    </row>
    <row r="2558" spans="3:8" ht="14.25" customHeight="1">
      <c r="C2558" s="245"/>
      <c r="D2558" s="26"/>
      <c r="E2558" s="26"/>
      <c r="F2558" s="26"/>
      <c r="G2558" s="26"/>
      <c r="H2558" s="5"/>
    </row>
    <row r="2559" spans="3:8" ht="14.25" customHeight="1">
      <c r="C2559" s="245"/>
      <c r="D2559" s="26"/>
      <c r="E2559" s="26"/>
      <c r="F2559" s="26"/>
      <c r="G2559" s="26"/>
      <c r="H2559" s="5"/>
    </row>
    <row r="2560" spans="3:8" ht="14.25" customHeight="1">
      <c r="C2560" s="245"/>
      <c r="D2560" s="26"/>
      <c r="E2560" s="26"/>
      <c r="F2560" s="26"/>
      <c r="G2560" s="26"/>
      <c r="H2560" s="5"/>
    </row>
    <row r="2561" spans="3:8" ht="14.25" customHeight="1">
      <c r="C2561" s="245"/>
      <c r="D2561" s="26"/>
      <c r="E2561" s="26"/>
      <c r="F2561" s="26"/>
      <c r="G2561" s="26"/>
      <c r="H2561" s="5"/>
    </row>
    <row r="2562" spans="3:8" ht="14.25" customHeight="1">
      <c r="C2562" s="245"/>
      <c r="D2562" s="26"/>
      <c r="E2562" s="26"/>
      <c r="F2562" s="26"/>
      <c r="G2562" s="26"/>
      <c r="H2562" s="5"/>
    </row>
    <row r="2563" spans="3:8" ht="14.25" customHeight="1">
      <c r="C2563" s="245"/>
      <c r="D2563" s="26"/>
      <c r="E2563" s="26"/>
      <c r="F2563" s="26"/>
      <c r="G2563" s="26"/>
      <c r="H2563" s="5"/>
    </row>
    <row r="2564" spans="3:8" ht="14.25" customHeight="1">
      <c r="C2564" s="245"/>
      <c r="D2564" s="26"/>
      <c r="E2564" s="26"/>
      <c r="F2564" s="26"/>
      <c r="G2564" s="26"/>
      <c r="H2564" s="5"/>
    </row>
    <row r="2565" spans="3:8" ht="14.25" customHeight="1">
      <c r="C2565" s="245"/>
      <c r="D2565" s="26"/>
      <c r="E2565" s="26"/>
      <c r="F2565" s="26"/>
      <c r="G2565" s="26"/>
      <c r="H2565" s="5"/>
    </row>
    <row r="2566" spans="3:8" ht="14.25" customHeight="1">
      <c r="C2566" s="245"/>
      <c r="D2566" s="26"/>
      <c r="E2566" s="26"/>
      <c r="F2566" s="26"/>
      <c r="G2566" s="26"/>
      <c r="H2566" s="5"/>
    </row>
    <row r="2567" spans="3:8" ht="14.25" customHeight="1">
      <c r="C2567" s="245"/>
      <c r="D2567" s="26"/>
      <c r="E2567" s="26"/>
      <c r="F2567" s="26"/>
      <c r="G2567" s="26"/>
      <c r="H2567" s="5"/>
    </row>
    <row r="2568" spans="3:8" ht="14.25" customHeight="1">
      <c r="C2568" s="245"/>
      <c r="D2568" s="26"/>
      <c r="E2568" s="26"/>
      <c r="F2568" s="26"/>
      <c r="G2568" s="26"/>
      <c r="H2568" s="5"/>
    </row>
    <row r="2569" spans="3:8" ht="14.25" customHeight="1">
      <c r="C2569" s="245"/>
      <c r="D2569" s="26"/>
      <c r="E2569" s="26"/>
      <c r="F2569" s="26"/>
      <c r="G2569" s="26"/>
      <c r="H2569" s="5"/>
    </row>
    <row r="2570" spans="3:8" ht="14.25" customHeight="1">
      <c r="C2570" s="245"/>
      <c r="D2570" s="26"/>
      <c r="E2570" s="26"/>
      <c r="F2570" s="26"/>
      <c r="G2570" s="26"/>
      <c r="H2570" s="5"/>
    </row>
    <row r="2571" spans="3:8" ht="14.25" customHeight="1">
      <c r="C2571" s="245"/>
      <c r="D2571" s="26"/>
      <c r="E2571" s="26"/>
      <c r="F2571" s="26"/>
      <c r="G2571" s="26"/>
      <c r="H2571" s="5"/>
    </row>
    <row r="2572" spans="3:8" ht="14.25" customHeight="1">
      <c r="C2572" s="245"/>
      <c r="D2572" s="26"/>
      <c r="E2572" s="26"/>
      <c r="F2572" s="26"/>
      <c r="G2572" s="26"/>
      <c r="H2572" s="5"/>
    </row>
    <row r="2573" spans="3:8" ht="14.25" customHeight="1">
      <c r="C2573" s="245"/>
      <c r="D2573" s="26"/>
      <c r="E2573" s="26"/>
      <c r="F2573" s="26"/>
      <c r="G2573" s="26"/>
      <c r="H2573" s="5"/>
    </row>
    <row r="2574" spans="3:8" ht="14.25" customHeight="1">
      <c r="C2574" s="245"/>
      <c r="D2574" s="26"/>
      <c r="E2574" s="26"/>
      <c r="F2574" s="26"/>
      <c r="G2574" s="26"/>
      <c r="H2574" s="5"/>
    </row>
    <row r="2575" spans="3:8" ht="14.25" customHeight="1">
      <c r="C2575" s="245"/>
      <c r="D2575" s="26"/>
      <c r="E2575" s="26"/>
      <c r="F2575" s="26"/>
      <c r="G2575" s="26"/>
      <c r="H2575" s="5"/>
    </row>
    <row r="2576" spans="3:8" ht="14.25" customHeight="1">
      <c r="C2576" s="245"/>
      <c r="D2576" s="26"/>
      <c r="E2576" s="26"/>
      <c r="F2576" s="26"/>
      <c r="G2576" s="26"/>
      <c r="H2576" s="5"/>
    </row>
    <row r="2577" spans="3:8" ht="14.25" customHeight="1">
      <c r="C2577" s="245"/>
      <c r="D2577" s="26"/>
      <c r="E2577" s="26"/>
      <c r="F2577" s="26"/>
      <c r="G2577" s="26"/>
      <c r="H2577" s="5"/>
    </row>
    <row r="2578" spans="3:8" ht="14.25" customHeight="1">
      <c r="C2578" s="245"/>
      <c r="D2578" s="26"/>
      <c r="E2578" s="26"/>
      <c r="F2578" s="26"/>
      <c r="G2578" s="26"/>
      <c r="H2578" s="5"/>
    </row>
    <row r="2579" spans="3:8" ht="14.25" customHeight="1">
      <c r="C2579" s="245"/>
      <c r="D2579" s="26"/>
      <c r="E2579" s="26"/>
      <c r="F2579" s="26"/>
      <c r="G2579" s="26"/>
      <c r="H2579" s="5"/>
    </row>
    <row r="2580" spans="3:8" ht="14.25" customHeight="1">
      <c r="C2580" s="245"/>
      <c r="D2580" s="26"/>
      <c r="E2580" s="26"/>
      <c r="F2580" s="26"/>
      <c r="G2580" s="26"/>
      <c r="H2580" s="5"/>
    </row>
    <row r="2581" spans="3:8" ht="14.25" customHeight="1">
      <c r="C2581" s="245"/>
      <c r="D2581" s="26"/>
      <c r="E2581" s="26"/>
      <c r="F2581" s="26"/>
      <c r="G2581" s="26"/>
      <c r="H2581" s="5"/>
    </row>
    <row r="2582" spans="3:8" ht="14.25" customHeight="1">
      <c r="C2582" s="245"/>
      <c r="D2582" s="26"/>
      <c r="E2582" s="26"/>
      <c r="F2582" s="26"/>
      <c r="G2582" s="26"/>
      <c r="H2582" s="5"/>
    </row>
    <row r="2583" spans="3:8" ht="14.25" customHeight="1">
      <c r="C2583" s="245"/>
      <c r="D2583" s="26"/>
      <c r="E2583" s="26"/>
      <c r="F2583" s="26"/>
      <c r="G2583" s="26"/>
      <c r="H2583" s="5"/>
    </row>
    <row r="2584" spans="3:8" ht="14.25" customHeight="1">
      <c r="C2584" s="245"/>
      <c r="D2584" s="26"/>
      <c r="E2584" s="26"/>
      <c r="F2584" s="26"/>
      <c r="G2584" s="26"/>
      <c r="H2584" s="5"/>
    </row>
    <row r="2585" spans="3:8" ht="14.25" customHeight="1">
      <c r="C2585" s="245"/>
      <c r="D2585" s="26"/>
      <c r="E2585" s="26"/>
      <c r="F2585" s="26"/>
      <c r="G2585" s="26"/>
      <c r="H2585" s="5"/>
    </row>
    <row r="2586" spans="3:8" ht="14.25" customHeight="1">
      <c r="C2586" s="245"/>
      <c r="D2586" s="26"/>
      <c r="E2586" s="26"/>
      <c r="F2586" s="26"/>
      <c r="G2586" s="26"/>
      <c r="H2586" s="5"/>
    </row>
    <row r="2587" spans="3:8" ht="14.25" customHeight="1">
      <c r="C2587" s="245"/>
      <c r="D2587" s="26"/>
      <c r="E2587" s="26"/>
      <c r="F2587" s="26"/>
      <c r="G2587" s="26"/>
      <c r="H2587" s="5"/>
    </row>
    <row r="2588" spans="3:8" ht="14.25" customHeight="1">
      <c r="C2588" s="245"/>
      <c r="D2588" s="26"/>
      <c r="E2588" s="26"/>
      <c r="F2588" s="26"/>
      <c r="G2588" s="26"/>
      <c r="H2588" s="5"/>
    </row>
    <row r="2589" spans="3:8" ht="14.25" customHeight="1">
      <c r="C2589" s="245"/>
      <c r="D2589" s="26"/>
      <c r="E2589" s="26"/>
      <c r="F2589" s="26"/>
      <c r="G2589" s="26"/>
      <c r="H2589" s="5"/>
    </row>
    <row r="2590" spans="3:8" ht="14.25" customHeight="1">
      <c r="C2590" s="245"/>
      <c r="D2590" s="26"/>
      <c r="E2590" s="26"/>
      <c r="F2590" s="26"/>
      <c r="G2590" s="26"/>
      <c r="H2590" s="5"/>
    </row>
    <row r="2591" spans="3:8" ht="14.25" customHeight="1">
      <c r="C2591" s="245"/>
      <c r="D2591" s="26"/>
      <c r="E2591" s="26"/>
      <c r="F2591" s="26"/>
      <c r="G2591" s="26"/>
      <c r="H2591" s="5"/>
    </row>
    <row r="2592" spans="3:8" ht="14.25" customHeight="1">
      <c r="C2592" s="245"/>
      <c r="D2592" s="26"/>
      <c r="E2592" s="26"/>
      <c r="F2592" s="26"/>
      <c r="G2592" s="26"/>
      <c r="H2592" s="5"/>
    </row>
    <row r="2593" spans="2:45" ht="14.25" customHeight="1">
      <c r="C2593" s="245"/>
      <c r="D2593" s="26"/>
      <c r="E2593" s="26"/>
      <c r="F2593" s="26"/>
      <c r="G2593" s="26"/>
      <c r="H2593" s="5"/>
    </row>
    <row r="2594" spans="2:45" ht="14.25" customHeight="1">
      <c r="C2594" s="245"/>
      <c r="D2594" s="26"/>
      <c r="E2594" s="26"/>
      <c r="F2594" s="26"/>
      <c r="G2594" s="26"/>
      <c r="H2594" s="5"/>
    </row>
    <row r="2595" spans="2:45" ht="14.25" customHeight="1">
      <c r="C2595" s="245"/>
      <c r="D2595" s="26"/>
      <c r="E2595" s="26"/>
      <c r="F2595" s="26"/>
      <c r="G2595" s="26"/>
      <c r="H2595" s="5"/>
    </row>
    <row r="2596" spans="2:45" ht="14.25" customHeight="1">
      <c r="C2596" s="245"/>
      <c r="D2596" s="26"/>
      <c r="E2596" s="26"/>
      <c r="F2596" s="26"/>
      <c r="G2596" s="26"/>
      <c r="H2596" s="5"/>
    </row>
    <row r="2597" spans="2:45" ht="14.25" customHeight="1">
      <c r="C2597" s="245"/>
      <c r="D2597" s="26"/>
      <c r="E2597" s="26"/>
      <c r="F2597" s="26"/>
      <c r="G2597" s="26"/>
      <c r="H2597" s="5"/>
    </row>
    <row r="2598" spans="2:45" ht="14.25" customHeight="1">
      <c r="C2598" s="245"/>
      <c r="D2598" s="26"/>
      <c r="E2598" s="26"/>
      <c r="F2598" s="26"/>
      <c r="G2598" s="26"/>
      <c r="H2598" s="5"/>
    </row>
    <row r="2599" spans="2:45" ht="14.25" customHeight="1">
      <c r="C2599" s="245"/>
      <c r="D2599" s="26"/>
      <c r="E2599" s="26"/>
      <c r="F2599" s="26"/>
      <c r="G2599" s="26"/>
      <c r="H2599" s="5"/>
    </row>
    <row r="2600" spans="2:45" ht="14.25" customHeight="1">
      <c r="C2600" s="245"/>
      <c r="D2600" s="26"/>
      <c r="E2600" s="26"/>
      <c r="F2600" s="26"/>
      <c r="G2600" s="26"/>
      <c r="H2600" s="5"/>
    </row>
    <row r="2601" spans="2:45" ht="14.25" customHeight="1">
      <c r="C2601" s="245"/>
      <c r="D2601" s="26"/>
      <c r="E2601" s="26"/>
      <c r="F2601" s="26"/>
      <c r="G2601" s="26"/>
      <c r="H2601" s="5"/>
    </row>
    <row r="2602" spans="2:45" ht="14.25" customHeight="1">
      <c r="C2602" s="245"/>
      <c r="D2602" s="26"/>
      <c r="E2602" s="26"/>
      <c r="F2602" s="26"/>
      <c r="G2602" s="26"/>
      <c r="H2602" s="5"/>
    </row>
    <row r="2603" spans="2:45" ht="14.25" customHeight="1">
      <c r="B2603" s="517" t="str">
        <f>TITLE!C49</f>
        <v>Плінтуси</v>
      </c>
      <c r="C2603" s="518"/>
      <c r="D2603" s="118"/>
      <c r="E2603" s="118"/>
      <c r="F2603" s="118"/>
      <c r="G2603" s="118"/>
      <c r="H2603" s="520"/>
      <c r="I2603" s="520"/>
      <c r="J2603" s="121"/>
      <c r="K2603" s="121"/>
      <c r="L2603" s="121"/>
      <c r="M2603" s="121"/>
      <c r="N2603" s="121"/>
      <c r="O2603" s="121"/>
      <c r="P2603" s="121"/>
      <c r="Q2603" s="121"/>
      <c r="R2603" s="121"/>
      <c r="S2603" s="121"/>
      <c r="T2603" s="521" t="str">
        <f>IF($C$1="ENG",CONCATENATE("up to: ",B2453),CONCATENATE("вгору до: ",B2453))</f>
        <v>вгору до: Дверна коробка Verto-FIT Comfort</v>
      </c>
      <c r="U2603" s="521"/>
      <c r="V2603" s="521"/>
      <c r="W2603" s="521"/>
    </row>
    <row r="2604" spans="2:45" ht="14.25" customHeight="1">
      <c r="B2604" s="8"/>
      <c r="C2604" s="423"/>
      <c r="D2604" s="8"/>
      <c r="E2604" s="8"/>
      <c r="F2604" s="8"/>
      <c r="G2604" s="8"/>
      <c r="H2604" s="8"/>
      <c r="I2604" s="8"/>
      <c r="J2604" s="8"/>
      <c r="K2604" s="8"/>
      <c r="L2604" s="48"/>
      <c r="M2604" s="48"/>
      <c r="N2604" s="48"/>
      <c r="O2604" s="48"/>
      <c r="P2604" s="48"/>
      <c r="Q2604" s="48"/>
      <c r="R2604" s="48"/>
      <c r="S2604" s="48"/>
      <c r="T2604" s="115"/>
      <c r="U2604" s="115"/>
      <c r="V2604" s="115"/>
      <c r="W2604" s="115"/>
    </row>
    <row r="2605" spans="2:45" ht="27" customHeight="1">
      <c r="B2605" s="305" t="str">
        <f>IF($C$1="ENG","model","модель")</f>
        <v>модель</v>
      </c>
      <c r="C2605" s="122" t="str">
        <f>IF($C$1="ENG","cover:","покриття:")</f>
        <v>покриття:</v>
      </c>
      <c r="D2605" s="522" t="str">
        <f>IF($C$1="ENG","SIMPL / V-CELL ","SIMPL / V-CELL")</f>
        <v>SIMPL / V-CELL</v>
      </c>
      <c r="E2605" s="524"/>
      <c r="F2605" s="522" t="str">
        <f>IF($C$1="ENG","UNI-MAT","UNI-MAT")</f>
        <v>UNI-MAT</v>
      </c>
      <c r="G2605" s="524"/>
      <c r="H2605" s="522" t="str">
        <f>IF($C$1="ENG","RESIST","RESIST")</f>
        <v>RESIST</v>
      </c>
      <c r="I2605" s="524"/>
      <c r="J2605" s="522" t="str">
        <f>IF($C$1="ENG","Verto LINE-3D","Verto LINE-3D")</f>
        <v>Verto LINE-3D</v>
      </c>
      <c r="K2605" s="524"/>
      <c r="L2605" s="522" t="str">
        <f>IF($C$1="ENG","ECO Shpon / LOFT","ЕКО Шпон / LOFT")</f>
        <v>ЕКО Шпон / LOFT</v>
      </c>
      <c r="M2605" s="524"/>
      <c r="N2605" s="47"/>
      <c r="O2605" s="47"/>
      <c r="P2605" s="47"/>
      <c r="Q2605" s="47"/>
      <c r="R2605" s="47"/>
      <c r="S2605" s="47"/>
      <c r="AM2605" s="384">
        <v>0.15</v>
      </c>
    </row>
    <row r="2606" spans="2:45" ht="14.25" customHeight="1">
      <c r="B2606" s="306"/>
      <c r="C2606" s="124" t="str">
        <f>IF($C$1="ENG","type:","виконання:")</f>
        <v>виконання:</v>
      </c>
      <c r="D2606" s="513" t="str">
        <f>IF($C$1="ENG","for 1 pcs","за 1 шт.")</f>
        <v>за 1 шт.</v>
      </c>
      <c r="E2606" s="516"/>
      <c r="F2606" s="513" t="str">
        <f>IF($C$1="ENG","for 1 pcs","за 1 шт.")</f>
        <v>за 1 шт.</v>
      </c>
      <c r="G2606" s="516"/>
      <c r="H2606" s="513" t="str">
        <f>IF($C$1="ENG","for 1 pcs","за 1 шт.")</f>
        <v>за 1 шт.</v>
      </c>
      <c r="I2606" s="516"/>
      <c r="J2606" s="513" t="str">
        <f>IF($C$1="ENG","for 1 pcs","за 1 шт.")</f>
        <v>за 1 шт.</v>
      </c>
      <c r="K2606" s="516"/>
      <c r="L2606" s="513" t="str">
        <f>IF($C$1="ENG","for 1 pcs","за 1 шт.")</f>
        <v>за 1 шт.</v>
      </c>
      <c r="M2606" s="516"/>
      <c r="N2606" s="47"/>
      <c r="O2606" s="47"/>
      <c r="P2606" s="47"/>
      <c r="Q2606" s="47"/>
      <c r="R2606" s="47"/>
      <c r="S2606" s="47"/>
    </row>
    <row r="2607" spans="2:45" ht="34.5" customHeight="1">
      <c r="B2607" s="336" t="str">
        <f>IF($C$1="ENG","Plinth 60 mm","Плінтус 60 мм")</f>
        <v>Плінтус 60 мм</v>
      </c>
      <c r="C2607" s="564"/>
      <c r="D2607" s="15">
        <f>IF(AC2607="","",(1-$W$2)*(AC2607/1.2))</f>
        <v>266.66666666666669</v>
      </c>
      <c r="E2607" s="92">
        <f>IF($W$5=0.2,D2607*1.2,D2607)/$W$4</f>
        <v>320</v>
      </c>
      <c r="F2607" s="132">
        <f>IF(AD2607="","",(1-$W$2)*(AD2607/1.2))</f>
        <v>291.66666666666669</v>
      </c>
      <c r="G2607" s="92">
        <f>IF($W$5=0.2,F2607*1.2,F2607)/$W$4</f>
        <v>350</v>
      </c>
      <c r="H2607" s="132">
        <f>IF(AE2607="","",(1-$W$2)*(AE2607/1.2))</f>
        <v>341.66666666666669</v>
      </c>
      <c r="I2607" s="92">
        <f>IF($W$5=0.2,H2607*1.2,H2607)/$W$4</f>
        <v>410</v>
      </c>
      <c r="J2607" s="132">
        <f>IF(AF2607="","",(1-$W$2)*(AF2607/1.2))</f>
        <v>358.33333333333337</v>
      </c>
      <c r="K2607" s="92">
        <f>IF($W$5=0.2,J2607*1.2,J2607)/$W$4</f>
        <v>430.00000000000006</v>
      </c>
      <c r="L2607" s="132">
        <f>IF(AG2607="","",(1-$W$2)*(AG2607/1.2))</f>
        <v>375</v>
      </c>
      <c r="M2607" s="92">
        <f>IF($W$5=0.2,L2607*1.2,L2607)/$W$4</f>
        <v>450</v>
      </c>
      <c r="N2607" s="105"/>
      <c r="O2607" s="106"/>
      <c r="P2607" s="28"/>
      <c r="Q2607" s="106"/>
      <c r="R2607" s="105"/>
      <c r="S2607" s="106"/>
      <c r="T2607" s="105"/>
      <c r="U2607" s="106"/>
      <c r="V2607" s="105"/>
      <c r="W2607" s="106"/>
      <c r="AC2607" s="332">
        <v>320</v>
      </c>
      <c r="AD2607" s="332">
        <v>350</v>
      </c>
      <c r="AE2607" s="332">
        <v>410</v>
      </c>
      <c r="AF2607" s="332">
        <v>430</v>
      </c>
      <c r="AG2607" s="332">
        <v>450</v>
      </c>
      <c r="AH2607" s="289">
        <v>320</v>
      </c>
      <c r="AI2607" s="289">
        <f>AH2607/AC2607-1</f>
        <v>0</v>
      </c>
      <c r="AJ2607" s="289">
        <v>350</v>
      </c>
      <c r="AK2607" s="289">
        <f>AJ2607/AD2607-1</f>
        <v>0</v>
      </c>
      <c r="AL2607" s="289">
        <v>410</v>
      </c>
      <c r="AM2607" s="1">
        <f>AL2607/AE2607-1</f>
        <v>0</v>
      </c>
      <c r="AN2607" s="289">
        <v>430</v>
      </c>
      <c r="AO2607" s="1">
        <f>AN2607/AF2607-1</f>
        <v>0</v>
      </c>
      <c r="AP2607" s="289">
        <v>450</v>
      </c>
      <c r="AQ2607" s="1">
        <f>AP2607/AG2607-1</f>
        <v>0</v>
      </c>
      <c r="AR2607" s="333"/>
      <c r="AS2607" s="333"/>
    </row>
    <row r="2608" spans="2:45" ht="34.5" customHeight="1">
      <c r="B2608" s="337" t="str">
        <f>IF($C$1="ENG","Plinth 80 mm","Плінтус 80 мм")</f>
        <v>Плінтус 80 мм</v>
      </c>
      <c r="C2608" s="565"/>
      <c r="D2608" s="25">
        <f>IF(AC2608="","",(1-$W$2)*(AC2608/1.2))</f>
        <v>300</v>
      </c>
      <c r="E2608" s="94">
        <f>IF($W$5=0.2,D2608*1.2,D2608)/$W$4</f>
        <v>360</v>
      </c>
      <c r="F2608" s="134">
        <f>IF(AD2608="","",(1-$W$2)*(AD2608/1.2))</f>
        <v>358.33333333333337</v>
      </c>
      <c r="G2608" s="94">
        <f>IF($W$5=0.2,F2608*1.2,F2608)/$W$4</f>
        <v>430.00000000000006</v>
      </c>
      <c r="H2608" s="134">
        <f>IF(AE2608="","",(1-$W$2)*(AE2608/1.2))</f>
        <v>375</v>
      </c>
      <c r="I2608" s="94">
        <f>IF($W$5=0.2,H2608*1.2,H2608)/$W$4</f>
        <v>450</v>
      </c>
      <c r="J2608" s="134">
        <f>IF(AF2608="","",(1-$W$2)*(AF2608/1.2))</f>
        <v>425</v>
      </c>
      <c r="K2608" s="94">
        <f>IF($W$5=0.2,J2608*1.2,J2608)/$W$4</f>
        <v>510</v>
      </c>
      <c r="L2608" s="134">
        <f>IF(AG2608="","",(1-$W$2)*(AG2608/1.2))</f>
        <v>475</v>
      </c>
      <c r="M2608" s="94">
        <f>IF($W$5=0.2,L2608*1.2,L2608)/$W$4</f>
        <v>570</v>
      </c>
      <c r="AC2608" s="332">
        <v>360</v>
      </c>
      <c r="AD2608" s="332">
        <v>430</v>
      </c>
      <c r="AE2608" s="332">
        <v>450</v>
      </c>
      <c r="AF2608" s="332">
        <v>510</v>
      </c>
      <c r="AG2608" s="332">
        <v>570</v>
      </c>
      <c r="AH2608" s="289">
        <v>360</v>
      </c>
      <c r="AI2608" s="289">
        <f>AH2608/AC2608-1</f>
        <v>0</v>
      </c>
      <c r="AJ2608" s="289">
        <v>430</v>
      </c>
      <c r="AK2608" s="289">
        <f>AJ2608/AD2608-1</f>
        <v>0</v>
      </c>
      <c r="AL2608" s="289">
        <v>450</v>
      </c>
      <c r="AM2608" s="1">
        <f>AL2608/AE2608-1</f>
        <v>0</v>
      </c>
      <c r="AN2608" s="289">
        <v>510</v>
      </c>
      <c r="AO2608" s="1">
        <f>AN2608/AF2608-1</f>
        <v>0</v>
      </c>
      <c r="AP2608" s="289">
        <v>570</v>
      </c>
      <c r="AQ2608" s="1">
        <f>AP2608/AG2608-1</f>
        <v>0</v>
      </c>
      <c r="AR2608" s="333"/>
      <c r="AS2608" s="333"/>
    </row>
    <row r="2609" spans="2:49" ht="14.25" customHeight="1">
      <c r="C2609" s="245"/>
      <c r="D2609" s="26"/>
      <c r="E2609" s="26"/>
      <c r="F2609" s="26"/>
      <c r="G2609" s="26"/>
      <c r="H2609" s="5"/>
    </row>
    <row r="2610" spans="2:49">
      <c r="B2610" s="212" t="str">
        <f>IF($C$1="ENG","Orders for skirting plinths are accepted in quantities of 8 pcs.","Замовлення на Плінтус приймаються в кількості від 8 шт.")</f>
        <v>Замовлення на Плінтус приймаються в кількості від 8 шт.</v>
      </c>
      <c r="C2610" s="420"/>
      <c r="D2610" s="213"/>
      <c r="E2610" s="214"/>
      <c r="F2610" s="320"/>
      <c r="G2610" s="320"/>
      <c r="H2610" s="10"/>
      <c r="I2610" s="84"/>
      <c r="J2610" s="8"/>
      <c r="K2610" s="8"/>
      <c r="L2610" s="105"/>
      <c r="N2610" s="105"/>
      <c r="P2610" s="105"/>
      <c r="R2610" s="105"/>
      <c r="U2610" s="20"/>
      <c r="W2610" s="20"/>
    </row>
    <row r="2611" spans="2:49" ht="14.25" customHeight="1">
      <c r="B2611" s="1" t="s">
        <v>67</v>
      </c>
      <c r="C2611" s="245"/>
      <c r="D2611" s="26"/>
      <c r="E2611" s="26"/>
      <c r="F2611" s="26"/>
      <c r="G2611" s="26"/>
      <c r="H2611" s="5"/>
      <c r="T2611" s="547" t="str">
        <f>IF($C$1="ENG",CONCATENATE("down to: ",B2661),CONCATENATE("вниз до: ",B2661))</f>
        <v>вниз до: Фрамуги</v>
      </c>
      <c r="U2611" s="547"/>
      <c r="V2611" s="547"/>
      <c r="W2611" s="547"/>
      <c r="X2611" s="316"/>
      <c r="Y2611" s="316"/>
      <c r="Z2611" s="316"/>
      <c r="AA2611" s="316"/>
      <c r="AB2611" s="316"/>
    </row>
    <row r="2612" spans="2:49" ht="14.25" customHeight="1">
      <c r="C2612" s="245"/>
      <c r="D2612" s="26"/>
      <c r="E2612" s="26"/>
      <c r="F2612" s="26"/>
      <c r="G2612" s="26"/>
      <c r="H2612" s="5"/>
      <c r="U2612" s="317"/>
      <c r="V2612" s="317"/>
      <c r="W2612" s="317"/>
      <c r="X2612" s="317"/>
      <c r="Y2612" s="317"/>
      <c r="Z2612" s="317"/>
      <c r="AA2612" s="317"/>
      <c r="AB2612" s="317"/>
    </row>
    <row r="2613" spans="2:49" ht="14.25" customHeight="1">
      <c r="C2613" s="245"/>
      <c r="D2613" s="26"/>
      <c r="E2613" s="26"/>
      <c r="F2613" s="26"/>
      <c r="G2613" s="26"/>
      <c r="H2613" s="5"/>
    </row>
    <row r="2614" spans="2:49" ht="14.25" customHeight="1">
      <c r="C2614" s="245"/>
      <c r="D2614" s="26"/>
      <c r="E2614" s="26"/>
      <c r="F2614" s="26"/>
      <c r="G2614" s="26"/>
      <c r="H2614" s="5"/>
    </row>
    <row r="2615" spans="2:49" ht="14.25" customHeight="1">
      <c r="C2615" s="245"/>
      <c r="D2615" s="26"/>
      <c r="E2615" s="26"/>
      <c r="F2615" s="26"/>
      <c r="G2615" s="26"/>
      <c r="H2615" s="5"/>
    </row>
    <row r="2616" spans="2:49" ht="14.25" customHeight="1">
      <c r="C2616" s="245"/>
      <c r="D2616" s="26"/>
      <c r="E2616" s="26"/>
      <c r="F2616" s="26"/>
      <c r="G2616" s="26"/>
      <c r="H2616" s="5"/>
    </row>
    <row r="2617" spans="2:49" ht="14.25" customHeight="1">
      <c r="C2617" s="245"/>
      <c r="D2617" s="26"/>
      <c r="E2617" s="26"/>
      <c r="F2617" s="26"/>
      <c r="G2617" s="26"/>
      <c r="H2617" s="5"/>
    </row>
    <row r="2618" spans="2:49" ht="14.25" customHeight="1">
      <c r="C2618" s="245"/>
      <c r="D2618" s="26"/>
      <c r="E2618" s="26"/>
      <c r="F2618" s="26"/>
      <c r="G2618" s="26"/>
      <c r="H2618" s="5"/>
    </row>
    <row r="2619" spans="2:49" ht="14.25" customHeight="1">
      <c r="C2619" s="245"/>
      <c r="D2619" s="26"/>
      <c r="E2619" s="26"/>
      <c r="F2619" s="26"/>
      <c r="G2619" s="26"/>
      <c r="H2619" s="5"/>
    </row>
    <row r="2620" spans="2:49" ht="14.25" customHeight="1">
      <c r="C2620" s="245"/>
      <c r="D2620" s="26"/>
      <c r="E2620" s="26"/>
      <c r="F2620" s="26"/>
      <c r="G2620" s="26"/>
      <c r="H2620" s="5"/>
      <c r="AG2620" s="1">
        <f>W2620/100*13+W2620</f>
        <v>0</v>
      </c>
      <c r="AH2620" s="1" t="e">
        <f>AG2620/W2620-1</f>
        <v>#DIV/0!</v>
      </c>
      <c r="AI2620" s="1">
        <f>X2620/100*13+X2620</f>
        <v>0</v>
      </c>
      <c r="AJ2620" s="1" t="e">
        <f>AI2620/X2620-1</f>
        <v>#DIV/0!</v>
      </c>
      <c r="AK2620" s="1">
        <f>Y2620/100*13+Y2620</f>
        <v>0</v>
      </c>
      <c r="AL2620" s="1" t="e">
        <f>AK2620/Y2620-1</f>
        <v>#DIV/0!</v>
      </c>
      <c r="AM2620" s="1">
        <f>Z2620/100*13+Z2620</f>
        <v>0</v>
      </c>
      <c r="AN2620" s="30" t="e">
        <f>AM2620/Z2620-1</f>
        <v>#DIV/0!</v>
      </c>
      <c r="AO2620" s="30">
        <f>AA2620/100*13+AA2620</f>
        <v>0</v>
      </c>
      <c r="AP2620" s="30" t="e">
        <f>AO2620/AA2620-1</f>
        <v>#DIV/0!</v>
      </c>
      <c r="AQ2620" s="30">
        <f>AB2620/100*13+AB2620</f>
        <v>0</v>
      </c>
      <c r="AR2620" s="30" t="e">
        <f>AQ2620/AB2620-1</f>
        <v>#DIV/0!</v>
      </c>
      <c r="AS2620" s="30">
        <f>AC2620/100*13+AC2620</f>
        <v>0</v>
      </c>
      <c r="AT2620" s="30" t="e">
        <f>AS2620/AC2620-1</f>
        <v>#DIV/0!</v>
      </c>
      <c r="AU2620" s="1">
        <f>AD2620/100*13+AD2620</f>
        <v>0</v>
      </c>
      <c r="AV2620" s="1" t="e">
        <f>AU2620/AD2620-1</f>
        <v>#DIV/0!</v>
      </c>
      <c r="AW2620" s="1">
        <f>AE2620/100*13+AE2620</f>
        <v>0</v>
      </c>
    </row>
    <row r="2621" spans="2:49" ht="14.25" customHeight="1">
      <c r="C2621" s="245"/>
      <c r="D2621" s="26"/>
      <c r="E2621" s="26"/>
      <c r="F2621" s="26"/>
      <c r="G2621" s="26"/>
      <c r="H2621" s="5"/>
      <c r="AG2621" s="1">
        <f t="shared" ref="AG2621:AG2629" si="423">W2621/100*13+W2621</f>
        <v>0</v>
      </c>
      <c r="AH2621" s="1" t="e">
        <f t="shared" ref="AH2621:AH2629" si="424">AG2621/W2621-1</f>
        <v>#DIV/0!</v>
      </c>
      <c r="AI2621" s="1">
        <f t="shared" ref="AI2621:AI2629" si="425">X2621/100*13+X2621</f>
        <v>0</v>
      </c>
      <c r="AJ2621" s="1" t="e">
        <f t="shared" ref="AJ2621:AJ2629" si="426">AI2621/X2621-1</f>
        <v>#DIV/0!</v>
      </c>
      <c r="AK2621" s="1">
        <f t="shared" ref="AK2621:AK2629" si="427">Y2621/100*13+Y2621</f>
        <v>0</v>
      </c>
      <c r="AL2621" s="1" t="e">
        <f t="shared" ref="AL2621:AL2629" si="428">AK2621/Y2621-1</f>
        <v>#DIV/0!</v>
      </c>
      <c r="AM2621" s="1">
        <f t="shared" ref="AM2621:AM2629" si="429">Z2621/100*13+Z2621</f>
        <v>0</v>
      </c>
      <c r="AN2621" s="30" t="e">
        <f t="shared" ref="AN2621:AN2629" si="430">AM2621/Z2621-1</f>
        <v>#DIV/0!</v>
      </c>
      <c r="AO2621" s="30">
        <f t="shared" ref="AO2621:AO2629" si="431">AA2621/100*13+AA2621</f>
        <v>0</v>
      </c>
      <c r="AP2621" s="30" t="e">
        <f t="shared" ref="AP2621:AP2629" si="432">AO2621/AA2621-1</f>
        <v>#DIV/0!</v>
      </c>
      <c r="AQ2621" s="30">
        <f t="shared" ref="AQ2621:AQ2629" si="433">AB2621/100*13+AB2621</f>
        <v>0</v>
      </c>
      <c r="AR2621" s="30" t="e">
        <f t="shared" ref="AR2621:AR2629" si="434">AQ2621/AB2621-1</f>
        <v>#DIV/0!</v>
      </c>
      <c r="AS2621" s="30">
        <f t="shared" ref="AS2621:AS2629" si="435">AC2621/100*13+AC2621</f>
        <v>0</v>
      </c>
      <c r="AT2621" s="30" t="e">
        <f t="shared" ref="AT2621:AT2629" si="436">AS2621/AC2621-1</f>
        <v>#DIV/0!</v>
      </c>
      <c r="AU2621" s="1">
        <f t="shared" ref="AU2621:AU2629" si="437">AD2621/100*13+AD2621</f>
        <v>0</v>
      </c>
      <c r="AV2621" s="1" t="e">
        <f t="shared" ref="AV2621:AV2629" si="438">AU2621/AD2621-1</f>
        <v>#DIV/0!</v>
      </c>
      <c r="AW2621" s="1">
        <f t="shared" ref="AW2621:AW2629" si="439">AE2621/100*13+AE2621</f>
        <v>0</v>
      </c>
    </row>
    <row r="2622" spans="2:49" ht="14.25" customHeight="1">
      <c r="C2622" s="245"/>
      <c r="D2622" s="26"/>
      <c r="E2622" s="26"/>
      <c r="F2622" s="26"/>
      <c r="G2622" s="26"/>
      <c r="H2622" s="5"/>
      <c r="AG2622" s="1">
        <f t="shared" si="423"/>
        <v>0</v>
      </c>
      <c r="AH2622" s="1" t="e">
        <f t="shared" si="424"/>
        <v>#DIV/0!</v>
      </c>
      <c r="AI2622" s="1">
        <f t="shared" si="425"/>
        <v>0</v>
      </c>
      <c r="AJ2622" s="1" t="e">
        <f t="shared" si="426"/>
        <v>#DIV/0!</v>
      </c>
      <c r="AK2622" s="1">
        <f t="shared" si="427"/>
        <v>0</v>
      </c>
      <c r="AL2622" s="1" t="e">
        <f t="shared" si="428"/>
        <v>#DIV/0!</v>
      </c>
      <c r="AM2622" s="1">
        <f t="shared" si="429"/>
        <v>0</v>
      </c>
      <c r="AN2622" s="30" t="e">
        <f t="shared" si="430"/>
        <v>#DIV/0!</v>
      </c>
      <c r="AO2622" s="30">
        <f t="shared" si="431"/>
        <v>0</v>
      </c>
      <c r="AP2622" s="30" t="e">
        <f t="shared" si="432"/>
        <v>#DIV/0!</v>
      </c>
      <c r="AQ2622" s="30">
        <f t="shared" si="433"/>
        <v>0</v>
      </c>
      <c r="AR2622" s="30" t="e">
        <f t="shared" si="434"/>
        <v>#DIV/0!</v>
      </c>
      <c r="AS2622" s="30">
        <f t="shared" si="435"/>
        <v>0</v>
      </c>
      <c r="AT2622" s="30" t="e">
        <f t="shared" si="436"/>
        <v>#DIV/0!</v>
      </c>
      <c r="AU2622" s="1">
        <f t="shared" si="437"/>
        <v>0</v>
      </c>
      <c r="AV2622" s="1" t="e">
        <f t="shared" si="438"/>
        <v>#DIV/0!</v>
      </c>
      <c r="AW2622" s="1">
        <f t="shared" si="439"/>
        <v>0</v>
      </c>
    </row>
    <row r="2623" spans="2:49" ht="14.25" customHeight="1">
      <c r="C2623" s="245"/>
      <c r="D2623" s="26"/>
      <c r="E2623" s="26"/>
      <c r="F2623" s="26"/>
      <c r="G2623" s="26"/>
      <c r="H2623" s="5"/>
      <c r="AG2623" s="1">
        <f t="shared" si="423"/>
        <v>0</v>
      </c>
      <c r="AH2623" s="1" t="e">
        <f t="shared" si="424"/>
        <v>#DIV/0!</v>
      </c>
      <c r="AI2623" s="1">
        <f t="shared" si="425"/>
        <v>0</v>
      </c>
      <c r="AJ2623" s="1" t="e">
        <f t="shared" si="426"/>
        <v>#DIV/0!</v>
      </c>
      <c r="AK2623" s="1">
        <f t="shared" si="427"/>
        <v>0</v>
      </c>
      <c r="AL2623" s="1" t="e">
        <f t="shared" si="428"/>
        <v>#DIV/0!</v>
      </c>
      <c r="AM2623" s="1">
        <f t="shared" si="429"/>
        <v>0</v>
      </c>
      <c r="AN2623" s="30" t="e">
        <f t="shared" si="430"/>
        <v>#DIV/0!</v>
      </c>
      <c r="AO2623" s="30">
        <f t="shared" si="431"/>
        <v>0</v>
      </c>
      <c r="AP2623" s="30" t="e">
        <f t="shared" si="432"/>
        <v>#DIV/0!</v>
      </c>
      <c r="AQ2623" s="30">
        <f t="shared" si="433"/>
        <v>0</v>
      </c>
      <c r="AR2623" s="30" t="e">
        <f t="shared" si="434"/>
        <v>#DIV/0!</v>
      </c>
      <c r="AS2623" s="30">
        <f t="shared" si="435"/>
        <v>0</v>
      </c>
      <c r="AT2623" s="30" t="e">
        <f t="shared" si="436"/>
        <v>#DIV/0!</v>
      </c>
      <c r="AU2623" s="1">
        <f t="shared" si="437"/>
        <v>0</v>
      </c>
      <c r="AV2623" s="1" t="e">
        <f t="shared" si="438"/>
        <v>#DIV/0!</v>
      </c>
      <c r="AW2623" s="1">
        <f t="shared" si="439"/>
        <v>0</v>
      </c>
    </row>
    <row r="2624" spans="2:49" ht="14.25" customHeight="1">
      <c r="C2624" s="245"/>
      <c r="D2624" s="26"/>
      <c r="E2624" s="26"/>
      <c r="F2624" s="26"/>
      <c r="G2624" s="26"/>
      <c r="H2624" s="5"/>
      <c r="AG2624" s="1">
        <f t="shared" si="423"/>
        <v>0</v>
      </c>
      <c r="AH2624" s="1" t="e">
        <f t="shared" si="424"/>
        <v>#DIV/0!</v>
      </c>
      <c r="AI2624" s="1">
        <f t="shared" si="425"/>
        <v>0</v>
      </c>
      <c r="AJ2624" s="1" t="e">
        <f t="shared" si="426"/>
        <v>#DIV/0!</v>
      </c>
      <c r="AK2624" s="1">
        <f t="shared" si="427"/>
        <v>0</v>
      </c>
      <c r="AL2624" s="1" t="e">
        <f t="shared" si="428"/>
        <v>#DIV/0!</v>
      </c>
      <c r="AM2624" s="1">
        <f t="shared" si="429"/>
        <v>0</v>
      </c>
      <c r="AN2624" s="30" t="e">
        <f t="shared" si="430"/>
        <v>#DIV/0!</v>
      </c>
      <c r="AO2624" s="30">
        <f t="shared" si="431"/>
        <v>0</v>
      </c>
      <c r="AP2624" s="30" t="e">
        <f t="shared" si="432"/>
        <v>#DIV/0!</v>
      </c>
      <c r="AQ2624" s="30">
        <f t="shared" si="433"/>
        <v>0</v>
      </c>
      <c r="AR2624" s="30" t="e">
        <f t="shared" si="434"/>
        <v>#DIV/0!</v>
      </c>
      <c r="AS2624" s="30">
        <f t="shared" si="435"/>
        <v>0</v>
      </c>
      <c r="AT2624" s="30" t="e">
        <f t="shared" si="436"/>
        <v>#DIV/0!</v>
      </c>
      <c r="AU2624" s="1">
        <f t="shared" si="437"/>
        <v>0</v>
      </c>
      <c r="AV2624" s="1" t="e">
        <f t="shared" si="438"/>
        <v>#DIV/0!</v>
      </c>
      <c r="AW2624" s="1">
        <f t="shared" si="439"/>
        <v>0</v>
      </c>
    </row>
    <row r="2625" spans="3:49" ht="14.25" customHeight="1">
      <c r="C2625" s="245"/>
      <c r="D2625" s="26"/>
      <c r="E2625" s="26"/>
      <c r="F2625" s="26"/>
      <c r="G2625" s="26"/>
      <c r="H2625" s="5"/>
      <c r="AG2625" s="1">
        <f t="shared" si="423"/>
        <v>0</v>
      </c>
      <c r="AH2625" s="1" t="e">
        <f t="shared" si="424"/>
        <v>#DIV/0!</v>
      </c>
      <c r="AI2625" s="1">
        <f t="shared" si="425"/>
        <v>0</v>
      </c>
      <c r="AJ2625" s="1" t="e">
        <f t="shared" si="426"/>
        <v>#DIV/0!</v>
      </c>
      <c r="AK2625" s="1">
        <f t="shared" si="427"/>
        <v>0</v>
      </c>
      <c r="AL2625" s="1" t="e">
        <f t="shared" si="428"/>
        <v>#DIV/0!</v>
      </c>
      <c r="AM2625" s="1">
        <f t="shared" si="429"/>
        <v>0</v>
      </c>
      <c r="AN2625" s="30" t="e">
        <f t="shared" si="430"/>
        <v>#DIV/0!</v>
      </c>
      <c r="AO2625" s="30">
        <f t="shared" si="431"/>
        <v>0</v>
      </c>
      <c r="AP2625" s="30" t="e">
        <f t="shared" si="432"/>
        <v>#DIV/0!</v>
      </c>
      <c r="AQ2625" s="30">
        <f t="shared" si="433"/>
        <v>0</v>
      </c>
      <c r="AR2625" s="30" t="e">
        <f t="shared" si="434"/>
        <v>#DIV/0!</v>
      </c>
      <c r="AS2625" s="30">
        <f t="shared" si="435"/>
        <v>0</v>
      </c>
      <c r="AT2625" s="30" t="e">
        <f t="shared" si="436"/>
        <v>#DIV/0!</v>
      </c>
      <c r="AU2625" s="1">
        <f t="shared" si="437"/>
        <v>0</v>
      </c>
      <c r="AV2625" s="1" t="e">
        <f t="shared" si="438"/>
        <v>#DIV/0!</v>
      </c>
      <c r="AW2625" s="1">
        <f t="shared" si="439"/>
        <v>0</v>
      </c>
    </row>
    <row r="2626" spans="3:49" ht="14.25" customHeight="1">
      <c r="C2626" s="245"/>
      <c r="D2626" s="26"/>
      <c r="E2626" s="26"/>
      <c r="F2626" s="26"/>
      <c r="G2626" s="26"/>
      <c r="H2626" s="5"/>
      <c r="AG2626" s="1">
        <f t="shared" si="423"/>
        <v>0</v>
      </c>
      <c r="AH2626" s="1" t="e">
        <f t="shared" si="424"/>
        <v>#DIV/0!</v>
      </c>
      <c r="AI2626" s="1">
        <f t="shared" si="425"/>
        <v>0</v>
      </c>
      <c r="AJ2626" s="1" t="e">
        <f t="shared" si="426"/>
        <v>#DIV/0!</v>
      </c>
      <c r="AK2626" s="1">
        <f t="shared" si="427"/>
        <v>0</v>
      </c>
      <c r="AL2626" s="1" t="e">
        <f t="shared" si="428"/>
        <v>#DIV/0!</v>
      </c>
      <c r="AM2626" s="1">
        <f t="shared" si="429"/>
        <v>0</v>
      </c>
      <c r="AN2626" s="30" t="e">
        <f t="shared" si="430"/>
        <v>#DIV/0!</v>
      </c>
      <c r="AO2626" s="30">
        <f t="shared" si="431"/>
        <v>0</v>
      </c>
      <c r="AP2626" s="30" t="e">
        <f t="shared" si="432"/>
        <v>#DIV/0!</v>
      </c>
      <c r="AQ2626" s="30">
        <f t="shared" si="433"/>
        <v>0</v>
      </c>
      <c r="AR2626" s="30" t="e">
        <f t="shared" si="434"/>
        <v>#DIV/0!</v>
      </c>
      <c r="AS2626" s="30">
        <f t="shared" si="435"/>
        <v>0</v>
      </c>
      <c r="AT2626" s="30" t="e">
        <f t="shared" si="436"/>
        <v>#DIV/0!</v>
      </c>
      <c r="AU2626" s="1">
        <f t="shared" si="437"/>
        <v>0</v>
      </c>
      <c r="AV2626" s="1" t="e">
        <f t="shared" si="438"/>
        <v>#DIV/0!</v>
      </c>
      <c r="AW2626" s="1">
        <f t="shared" si="439"/>
        <v>0</v>
      </c>
    </row>
    <row r="2627" spans="3:49" ht="14.25" customHeight="1">
      <c r="C2627" s="245"/>
      <c r="D2627" s="26"/>
      <c r="E2627" s="26"/>
      <c r="F2627" s="26"/>
      <c r="G2627" s="26"/>
      <c r="H2627" s="5"/>
      <c r="AG2627" s="1">
        <f t="shared" si="423"/>
        <v>0</v>
      </c>
      <c r="AH2627" s="1" t="e">
        <f t="shared" si="424"/>
        <v>#DIV/0!</v>
      </c>
      <c r="AI2627" s="1">
        <f t="shared" si="425"/>
        <v>0</v>
      </c>
      <c r="AJ2627" s="1" t="e">
        <f t="shared" si="426"/>
        <v>#DIV/0!</v>
      </c>
      <c r="AK2627" s="1">
        <f t="shared" si="427"/>
        <v>0</v>
      </c>
      <c r="AL2627" s="1" t="e">
        <f t="shared" si="428"/>
        <v>#DIV/0!</v>
      </c>
      <c r="AM2627" s="1">
        <f t="shared" si="429"/>
        <v>0</v>
      </c>
      <c r="AN2627" s="30" t="e">
        <f t="shared" si="430"/>
        <v>#DIV/0!</v>
      </c>
      <c r="AO2627" s="30">
        <f t="shared" si="431"/>
        <v>0</v>
      </c>
      <c r="AP2627" s="30" t="e">
        <f t="shared" si="432"/>
        <v>#DIV/0!</v>
      </c>
      <c r="AQ2627" s="30">
        <f t="shared" si="433"/>
        <v>0</v>
      </c>
      <c r="AR2627" s="30" t="e">
        <f t="shared" si="434"/>
        <v>#DIV/0!</v>
      </c>
      <c r="AS2627" s="30">
        <f t="shared" si="435"/>
        <v>0</v>
      </c>
      <c r="AT2627" s="30" t="e">
        <f t="shared" si="436"/>
        <v>#DIV/0!</v>
      </c>
      <c r="AU2627" s="1">
        <f t="shared" si="437"/>
        <v>0</v>
      </c>
      <c r="AV2627" s="1" t="e">
        <f t="shared" si="438"/>
        <v>#DIV/0!</v>
      </c>
      <c r="AW2627" s="1">
        <f t="shared" si="439"/>
        <v>0</v>
      </c>
    </row>
    <row r="2628" spans="3:49" ht="14.25" customHeight="1">
      <c r="C2628" s="245"/>
      <c r="D2628" s="26"/>
      <c r="E2628" s="26"/>
      <c r="F2628" s="26"/>
      <c r="G2628" s="26"/>
      <c r="H2628" s="5"/>
      <c r="AG2628" s="1">
        <f t="shared" si="423"/>
        <v>0</v>
      </c>
      <c r="AH2628" s="1" t="e">
        <f t="shared" si="424"/>
        <v>#DIV/0!</v>
      </c>
      <c r="AI2628" s="1">
        <f t="shared" si="425"/>
        <v>0</v>
      </c>
      <c r="AJ2628" s="1" t="e">
        <f t="shared" si="426"/>
        <v>#DIV/0!</v>
      </c>
      <c r="AK2628" s="1">
        <f t="shared" si="427"/>
        <v>0</v>
      </c>
      <c r="AL2628" s="1" t="e">
        <f t="shared" si="428"/>
        <v>#DIV/0!</v>
      </c>
      <c r="AM2628" s="1">
        <f t="shared" si="429"/>
        <v>0</v>
      </c>
      <c r="AN2628" s="30" t="e">
        <f t="shared" si="430"/>
        <v>#DIV/0!</v>
      </c>
      <c r="AO2628" s="30">
        <f t="shared" si="431"/>
        <v>0</v>
      </c>
      <c r="AP2628" s="30" t="e">
        <f t="shared" si="432"/>
        <v>#DIV/0!</v>
      </c>
      <c r="AQ2628" s="30">
        <f t="shared" si="433"/>
        <v>0</v>
      </c>
      <c r="AR2628" s="30" t="e">
        <f t="shared" si="434"/>
        <v>#DIV/0!</v>
      </c>
      <c r="AS2628" s="30">
        <f t="shared" si="435"/>
        <v>0</v>
      </c>
      <c r="AT2628" s="30" t="e">
        <f t="shared" si="436"/>
        <v>#DIV/0!</v>
      </c>
      <c r="AU2628" s="1">
        <f t="shared" si="437"/>
        <v>0</v>
      </c>
      <c r="AV2628" s="1" t="e">
        <f t="shared" si="438"/>
        <v>#DIV/0!</v>
      </c>
      <c r="AW2628" s="1">
        <f t="shared" si="439"/>
        <v>0</v>
      </c>
    </row>
    <row r="2629" spans="3:49" ht="14.25" customHeight="1">
      <c r="C2629" s="245"/>
      <c r="D2629" s="26"/>
      <c r="E2629" s="26"/>
      <c r="F2629" s="26"/>
      <c r="G2629" s="26"/>
      <c r="H2629" s="5"/>
      <c r="AG2629" s="1">
        <f t="shared" si="423"/>
        <v>0</v>
      </c>
      <c r="AH2629" s="1" t="e">
        <f t="shared" si="424"/>
        <v>#DIV/0!</v>
      </c>
      <c r="AI2629" s="1">
        <f t="shared" si="425"/>
        <v>0</v>
      </c>
      <c r="AJ2629" s="1" t="e">
        <f t="shared" si="426"/>
        <v>#DIV/0!</v>
      </c>
      <c r="AK2629" s="1">
        <f t="shared" si="427"/>
        <v>0</v>
      </c>
      <c r="AL2629" s="1" t="e">
        <f t="shared" si="428"/>
        <v>#DIV/0!</v>
      </c>
      <c r="AM2629" s="1">
        <f t="shared" si="429"/>
        <v>0</v>
      </c>
      <c r="AN2629" s="30" t="e">
        <f t="shared" si="430"/>
        <v>#DIV/0!</v>
      </c>
      <c r="AO2629" s="30">
        <f t="shared" si="431"/>
        <v>0</v>
      </c>
      <c r="AP2629" s="30" t="e">
        <f t="shared" si="432"/>
        <v>#DIV/0!</v>
      </c>
      <c r="AQ2629" s="30">
        <f t="shared" si="433"/>
        <v>0</v>
      </c>
      <c r="AR2629" s="30" t="e">
        <f t="shared" si="434"/>
        <v>#DIV/0!</v>
      </c>
      <c r="AS2629" s="30">
        <f t="shared" si="435"/>
        <v>0</v>
      </c>
      <c r="AT2629" s="30" t="e">
        <f t="shared" si="436"/>
        <v>#DIV/0!</v>
      </c>
      <c r="AU2629" s="1">
        <f t="shared" si="437"/>
        <v>0</v>
      </c>
      <c r="AV2629" s="1" t="e">
        <f t="shared" si="438"/>
        <v>#DIV/0!</v>
      </c>
      <c r="AW2629" s="1">
        <f t="shared" si="439"/>
        <v>0</v>
      </c>
    </row>
    <row r="2630" spans="3:49" ht="14.25" customHeight="1">
      <c r="C2630" s="245"/>
      <c r="D2630" s="26"/>
      <c r="E2630" s="26"/>
      <c r="F2630" s="26"/>
      <c r="G2630" s="26"/>
      <c r="H2630" s="5"/>
    </row>
    <row r="2631" spans="3:49" ht="14.25" customHeight="1">
      <c r="C2631" s="245"/>
      <c r="D2631" s="26"/>
      <c r="E2631" s="26"/>
      <c r="F2631" s="26"/>
      <c r="G2631" s="26"/>
      <c r="H2631" s="5"/>
    </row>
    <row r="2632" spans="3:49" ht="14.25" customHeight="1">
      <c r="C2632" s="245"/>
      <c r="D2632" s="26"/>
      <c r="E2632" s="26"/>
      <c r="F2632" s="26"/>
      <c r="G2632" s="26"/>
      <c r="H2632" s="5"/>
    </row>
    <row r="2633" spans="3:49" ht="14.25" customHeight="1">
      <c r="C2633" s="245"/>
      <c r="D2633" s="26"/>
      <c r="E2633" s="26"/>
      <c r="F2633" s="26"/>
      <c r="G2633" s="26"/>
      <c r="H2633" s="5"/>
    </row>
    <row r="2634" spans="3:49" ht="14.25" customHeight="1">
      <c r="C2634" s="245"/>
      <c r="D2634" s="26"/>
      <c r="E2634" s="26"/>
      <c r="F2634" s="26"/>
      <c r="G2634" s="26"/>
      <c r="H2634" s="5"/>
    </row>
    <row r="2635" spans="3:49" ht="14.25" customHeight="1">
      <c r="C2635" s="245"/>
      <c r="D2635" s="26"/>
      <c r="E2635" s="26"/>
      <c r="F2635" s="26"/>
      <c r="G2635" s="26"/>
      <c r="H2635" s="5"/>
    </row>
    <row r="2636" spans="3:49" ht="14.25" customHeight="1">
      <c r="C2636" s="245"/>
      <c r="D2636" s="26"/>
      <c r="E2636" s="26"/>
      <c r="F2636" s="26"/>
      <c r="G2636" s="26"/>
      <c r="H2636" s="5"/>
    </row>
    <row r="2637" spans="3:49" ht="14.25" customHeight="1">
      <c r="C2637" s="245"/>
      <c r="D2637" s="26"/>
      <c r="E2637" s="26"/>
      <c r="F2637" s="26"/>
      <c r="G2637" s="26"/>
      <c r="H2637" s="5"/>
    </row>
    <row r="2638" spans="3:49" ht="14.25" customHeight="1">
      <c r="C2638" s="245"/>
      <c r="D2638" s="26"/>
      <c r="E2638" s="26"/>
      <c r="F2638" s="26"/>
      <c r="G2638" s="26"/>
      <c r="H2638" s="5"/>
    </row>
    <row r="2639" spans="3:49" ht="14.25" customHeight="1">
      <c r="C2639" s="245"/>
      <c r="D2639" s="26"/>
      <c r="E2639" s="26"/>
      <c r="F2639" s="26"/>
      <c r="G2639" s="26"/>
      <c r="H2639" s="5"/>
    </row>
    <row r="2640" spans="3:49" ht="14.25" customHeight="1">
      <c r="C2640" s="245"/>
      <c r="D2640" s="26"/>
      <c r="E2640" s="26"/>
      <c r="F2640" s="26"/>
      <c r="G2640" s="26"/>
      <c r="H2640" s="5"/>
    </row>
    <row r="2641" spans="3:8" ht="14.25" customHeight="1">
      <c r="C2641" s="245"/>
      <c r="D2641" s="26"/>
      <c r="E2641" s="26"/>
      <c r="F2641" s="26"/>
      <c r="G2641" s="26"/>
      <c r="H2641" s="5"/>
    </row>
    <row r="2642" spans="3:8" ht="14.25" customHeight="1">
      <c r="C2642" s="245"/>
      <c r="D2642" s="26"/>
      <c r="E2642" s="26"/>
      <c r="F2642" s="26"/>
      <c r="G2642" s="26"/>
      <c r="H2642" s="5"/>
    </row>
    <row r="2643" spans="3:8" ht="14.25" customHeight="1">
      <c r="C2643" s="245"/>
      <c r="D2643" s="26"/>
      <c r="E2643" s="26"/>
      <c r="F2643" s="26"/>
      <c r="G2643" s="26"/>
      <c r="H2643" s="5"/>
    </row>
    <row r="2644" spans="3:8" ht="14.25" customHeight="1">
      <c r="C2644" s="245"/>
      <c r="D2644" s="26"/>
      <c r="E2644" s="26"/>
      <c r="F2644" s="26"/>
      <c r="G2644" s="26"/>
      <c r="H2644" s="5"/>
    </row>
    <row r="2645" spans="3:8" ht="14.25" customHeight="1">
      <c r="C2645" s="245"/>
      <c r="D2645" s="26"/>
      <c r="E2645" s="26"/>
      <c r="F2645" s="26"/>
      <c r="G2645" s="26"/>
      <c r="H2645" s="5"/>
    </row>
    <row r="2646" spans="3:8" ht="14.25" customHeight="1">
      <c r="C2646" s="245"/>
      <c r="D2646" s="26"/>
      <c r="E2646" s="26"/>
      <c r="F2646" s="26"/>
      <c r="G2646" s="26"/>
      <c r="H2646" s="5"/>
    </row>
    <row r="2647" spans="3:8" ht="14.25" customHeight="1">
      <c r="C2647" s="245"/>
      <c r="D2647" s="26"/>
      <c r="E2647" s="26"/>
      <c r="F2647" s="26"/>
      <c r="G2647" s="26"/>
      <c r="H2647" s="5"/>
    </row>
    <row r="2648" spans="3:8" ht="14.25" customHeight="1">
      <c r="C2648" s="245"/>
      <c r="D2648" s="26"/>
      <c r="E2648" s="26"/>
      <c r="F2648" s="26"/>
      <c r="G2648" s="26"/>
      <c r="H2648" s="5"/>
    </row>
    <row r="2649" spans="3:8" ht="14.25" customHeight="1">
      <c r="C2649" s="245"/>
      <c r="D2649" s="26"/>
      <c r="E2649" s="26"/>
      <c r="F2649" s="26"/>
      <c r="G2649" s="26"/>
      <c r="H2649" s="5"/>
    </row>
    <row r="2650" spans="3:8" ht="14.25" customHeight="1">
      <c r="C2650" s="245"/>
      <c r="D2650" s="26"/>
      <c r="E2650" s="26"/>
      <c r="F2650" s="26"/>
      <c r="G2650" s="26"/>
      <c r="H2650" s="5"/>
    </row>
    <row r="2651" spans="3:8" ht="14.25" customHeight="1">
      <c r="C2651" s="245"/>
      <c r="D2651" s="26"/>
      <c r="E2651" s="26"/>
      <c r="F2651" s="26"/>
      <c r="G2651" s="26"/>
      <c r="H2651" s="5"/>
    </row>
    <row r="2652" spans="3:8" ht="14.25" customHeight="1">
      <c r="C2652" s="245"/>
      <c r="D2652" s="26"/>
      <c r="E2652" s="26"/>
      <c r="F2652" s="26"/>
      <c r="G2652" s="26"/>
      <c r="H2652" s="5"/>
    </row>
    <row r="2653" spans="3:8" ht="14.25" customHeight="1">
      <c r="C2653" s="245"/>
      <c r="D2653" s="26"/>
      <c r="E2653" s="26"/>
      <c r="F2653" s="26"/>
      <c r="G2653" s="26"/>
      <c r="H2653" s="5"/>
    </row>
    <row r="2654" spans="3:8" ht="14.25" customHeight="1">
      <c r="C2654" s="245"/>
      <c r="D2654" s="26"/>
      <c r="E2654" s="26"/>
      <c r="F2654" s="26"/>
      <c r="G2654" s="26"/>
      <c r="H2654" s="5"/>
    </row>
    <row r="2655" spans="3:8" ht="14.25" customHeight="1">
      <c r="C2655" s="245"/>
      <c r="D2655" s="26"/>
      <c r="E2655" s="26"/>
      <c r="F2655" s="26"/>
      <c r="G2655" s="26"/>
      <c r="H2655" s="5"/>
    </row>
    <row r="2656" spans="3:8" ht="14.25" customHeight="1">
      <c r="C2656" s="245"/>
      <c r="D2656" s="26"/>
      <c r="E2656" s="26"/>
      <c r="F2656" s="26"/>
      <c r="G2656" s="26"/>
      <c r="H2656" s="5"/>
    </row>
    <row r="2657" spans="1:46" ht="14.25" customHeight="1">
      <c r="C2657" s="245"/>
      <c r="D2657" s="26"/>
      <c r="E2657" s="26"/>
      <c r="F2657" s="26"/>
      <c r="G2657" s="26"/>
      <c r="H2657" s="5"/>
      <c r="AO2657" s="1">
        <v>850</v>
      </c>
    </row>
    <row r="2658" spans="1:46" ht="14.25" customHeight="1">
      <c r="C2658" s="245"/>
      <c r="D2658" s="26"/>
      <c r="E2658" s="26"/>
      <c r="F2658" s="26"/>
      <c r="G2658" s="26"/>
      <c r="H2658" s="5"/>
      <c r="T2658" s="294"/>
      <c r="U2658" s="294"/>
      <c r="V2658" s="294"/>
      <c r="W2658" s="294"/>
    </row>
    <row r="2659" spans="1:46" ht="14.25" customHeight="1">
      <c r="C2659" s="245"/>
      <c r="D2659" s="26"/>
      <c r="E2659" s="26"/>
      <c r="F2659" s="26"/>
      <c r="G2659" s="26"/>
      <c r="H2659" s="5"/>
      <c r="I2659" s="26"/>
      <c r="T2659" s="294"/>
      <c r="U2659" s="294"/>
      <c r="V2659" s="294"/>
      <c r="W2659" s="294"/>
    </row>
    <row r="2660" spans="1:46" ht="14.25" customHeight="1">
      <c r="C2660" s="245"/>
      <c r="D2660" s="26"/>
      <c r="E2660" s="26"/>
      <c r="F2660" s="26"/>
      <c r="G2660" s="26"/>
      <c r="H2660" s="5"/>
      <c r="T2660" s="294"/>
      <c r="U2660" s="294"/>
      <c r="V2660" s="294"/>
      <c r="W2660" s="294"/>
    </row>
    <row r="2661" spans="1:46" s="8" customFormat="1">
      <c r="B2661" s="517" t="str">
        <f>TITLE!$C$50</f>
        <v>Фрамуги</v>
      </c>
      <c r="C2661" s="518"/>
      <c r="D2661" s="118"/>
      <c r="E2661" s="118"/>
      <c r="F2661" s="118"/>
      <c r="G2661" s="118"/>
      <c r="H2661" s="520"/>
      <c r="I2661" s="520"/>
      <c r="J2661" s="121"/>
      <c r="K2661" s="121"/>
      <c r="L2661" s="121"/>
      <c r="M2661" s="121"/>
      <c r="N2661" s="121"/>
      <c r="O2661" s="121"/>
      <c r="P2661" s="121"/>
      <c r="Q2661" s="121"/>
      <c r="R2661" s="121"/>
      <c r="S2661" s="121"/>
      <c r="T2661" s="521" t="str">
        <f>IF($C$1="ENG",CONCATENATE("up to: ",B2603),CONCATENATE("вгору до: ",B2603))</f>
        <v>вгору до: Плінтуси</v>
      </c>
      <c r="U2661" s="521"/>
      <c r="V2661" s="521"/>
      <c r="W2661" s="521"/>
      <c r="AC2661" s="1"/>
      <c r="AD2661" s="1"/>
      <c r="AE2661" s="1"/>
      <c r="AF2661" s="1"/>
      <c r="AG2661" s="1"/>
      <c r="AI2661" s="1"/>
      <c r="AK2661" s="1"/>
      <c r="AN2661" s="280"/>
      <c r="AO2661" s="280"/>
      <c r="AP2661" s="280"/>
      <c r="AQ2661" s="280"/>
      <c r="AR2661" s="280"/>
      <c r="AS2661" s="280"/>
      <c r="AT2661" s="280"/>
    </row>
    <row r="2662" spans="1:46" s="8" customFormat="1" ht="5.0999999999999996" customHeight="1">
      <c r="C2662" s="423"/>
      <c r="L2662" s="48"/>
      <c r="M2662" s="48"/>
      <c r="N2662" s="48"/>
      <c r="O2662" s="48"/>
      <c r="P2662" s="48"/>
      <c r="Q2662" s="48"/>
      <c r="R2662" s="48"/>
      <c r="S2662" s="48"/>
      <c r="T2662" s="115"/>
      <c r="U2662" s="115"/>
      <c r="V2662" s="115"/>
      <c r="W2662" s="115"/>
      <c r="AC2662" s="1"/>
      <c r="AE2662" s="1"/>
      <c r="AG2662" s="1"/>
      <c r="AI2662" s="1"/>
      <c r="AK2662" s="1"/>
      <c r="AN2662" s="280"/>
      <c r="AO2662" s="280"/>
      <c r="AP2662" s="280"/>
      <c r="AQ2662" s="280"/>
      <c r="AR2662" s="280"/>
      <c r="AS2662" s="280"/>
      <c r="AT2662" s="280"/>
    </row>
    <row r="2663" spans="1:46" ht="24.75" customHeight="1">
      <c r="A2663" s="8"/>
      <c r="B2663" s="305" t="str">
        <f>IF($C$1="ENG","model","модель")</f>
        <v>модель</v>
      </c>
      <c r="C2663" s="122" t="str">
        <f>IF($C$1="ENG","cover:","покриття:")</f>
        <v>покриття:</v>
      </c>
      <c r="D2663" s="522" t="str">
        <f>IF($C$1="ENG","SIMPL / V-CELL ","SIMPL / V-CELL / V-C Plus")</f>
        <v>SIMPL / V-CELL / V-C Plus</v>
      </c>
      <c r="E2663" s="524"/>
      <c r="F2663" s="522" t="str">
        <f>IF($C$1="ENG","UNI-MAT","UNI-MAT")</f>
        <v>UNI-MAT</v>
      </c>
      <c r="G2663" s="524"/>
      <c r="H2663" s="522" t="str">
        <f>IF($C$1="ENG","RESIST","RESIST")</f>
        <v>RESIST</v>
      </c>
      <c r="I2663" s="524"/>
      <c r="J2663" s="522" t="str">
        <f>IF($C$1="ENG","Verto LINE-3D","Verto LINE-3D")</f>
        <v>Verto LINE-3D</v>
      </c>
      <c r="K2663" s="524"/>
      <c r="L2663" s="522" t="str">
        <f>IF($C$1="ENG","ECO Shpon / LOFT","ЕКО Шпон / LOFT")</f>
        <v>ЕКО Шпон / LOFT</v>
      </c>
      <c r="M2663" s="524"/>
      <c r="N2663" s="47"/>
      <c r="O2663" s="47"/>
      <c r="P2663" s="47"/>
      <c r="Q2663" s="47"/>
      <c r="R2663" s="47"/>
      <c r="S2663" s="47"/>
      <c r="AC2663" s="384">
        <v>0.1</v>
      </c>
    </row>
    <row r="2664" spans="1:46" ht="12.75" customHeight="1">
      <c r="A2664" s="8"/>
      <c r="B2664" s="306"/>
      <c r="C2664" s="124" t="str">
        <f>IF($C$1="ENG","type:","виконання:")</f>
        <v>виконання:</v>
      </c>
      <c r="D2664" s="513" t="str">
        <f>IF($C$1="ENG","for 1 meter","за 1 пг.м")</f>
        <v>за 1 пг.м</v>
      </c>
      <c r="E2664" s="516"/>
      <c r="F2664" s="513" t="str">
        <f>IF($C$1="ENG","for 1 meter","за 1 пг.м")</f>
        <v>за 1 пг.м</v>
      </c>
      <c r="G2664" s="516"/>
      <c r="H2664" s="513" t="str">
        <f>IF($C$1="ENG","for 1 meter","за 1 пг.м")</f>
        <v>за 1 пг.м</v>
      </c>
      <c r="I2664" s="516"/>
      <c r="J2664" s="513" t="str">
        <f>IF($C$1="ENG","for 1 meter","за 1 пг.м")</f>
        <v>за 1 пг.м</v>
      </c>
      <c r="K2664" s="516"/>
      <c r="L2664" s="513" t="str">
        <f>IF($C$1="ENG","for 1 meter","за 1 пг.м")</f>
        <v>за 1 пг.м</v>
      </c>
      <c r="M2664" s="516"/>
      <c r="N2664" s="47"/>
      <c r="O2664" s="47"/>
      <c r="P2664" s="47"/>
      <c r="Q2664" s="47"/>
      <c r="R2664" s="47"/>
      <c r="S2664" s="47"/>
      <c r="AN2664" s="30">
        <v>0.15</v>
      </c>
    </row>
    <row r="2665" spans="1:46" s="48" customFormat="1" ht="24.75" customHeight="1">
      <c r="B2665" s="54" t="str">
        <f>IF($C$1="ENG","TRANSOM STANDART","ФРАМУГА STANDART")</f>
        <v>ФРАМУГА STANDART</v>
      </c>
      <c r="C2665" s="427"/>
      <c r="D2665" s="28"/>
      <c r="E2665" s="29"/>
      <c r="F2665" s="28"/>
      <c r="G2665" s="29"/>
      <c r="H2665" s="29"/>
      <c r="I2665" s="29"/>
      <c r="J2665" s="29"/>
      <c r="K2665" s="29"/>
      <c r="L2665" s="29"/>
      <c r="M2665" s="29"/>
      <c r="N2665" s="29"/>
      <c r="O2665" s="29"/>
      <c r="P2665" s="28"/>
      <c r="Q2665" s="29"/>
      <c r="R2665" s="29"/>
      <c r="S2665" s="29"/>
      <c r="T2665" s="52"/>
      <c r="U2665" s="30"/>
      <c r="W2665" s="30"/>
      <c r="AN2665" s="56"/>
      <c r="AO2665" s="56"/>
      <c r="AP2665" s="56"/>
      <c r="AQ2665" s="56"/>
      <c r="AR2665" s="56"/>
      <c r="AS2665" s="56"/>
      <c r="AT2665" s="56"/>
    </row>
    <row r="2666" spans="1:46" ht="34.5" customHeight="1">
      <c r="A2666" s="8"/>
      <c r="B2666" s="277" t="str">
        <f>IF($C$1="ENG","Transom wood 80 mm","Фрамуга дерево 80 мм")</f>
        <v>Фрамуга дерево 80 мм</v>
      </c>
      <c r="C2666" s="327"/>
      <c r="D2666" s="51">
        <f>IF(AC2666="","",(1-$W$2)*(AC2666/1.2))</f>
        <v>625</v>
      </c>
      <c r="E2666" s="85">
        <f>IF($W$5=0.2,D2666*1.2,D2666)/$W$4</f>
        <v>750</v>
      </c>
      <c r="F2666" s="51">
        <f>IF(AD2666="","",(1-$W$2)*(AD2666/1.2))</f>
        <v>700</v>
      </c>
      <c r="G2666" s="85">
        <f>IF($W$5=0.2,F2666*1.2,F2666)/$W$4</f>
        <v>840</v>
      </c>
      <c r="H2666" s="51">
        <f>IF(AE2666="","",(1-$W$2)*(AE2666/1.2))</f>
        <v>733.33333333333337</v>
      </c>
      <c r="I2666" s="85">
        <f>IF($W$5=0.2,H2666*1.2,H2666)/$W$4</f>
        <v>880</v>
      </c>
      <c r="J2666" s="51">
        <f>IF(AF2666="","",(1-$W$2)*(AF2666/1.2))</f>
        <v>800</v>
      </c>
      <c r="K2666" s="85">
        <f>IF($W$5=0.2,J2666*1.2,J2666)/$W$4</f>
        <v>960</v>
      </c>
      <c r="L2666" s="51">
        <f>IF(AG2666="","",(1-$W$2)*(AG2666/1.2))</f>
        <v>883.33333333333337</v>
      </c>
      <c r="M2666" s="85">
        <f>IF($W$5=0.2,L2666*1.2,L2666)/$W$4</f>
        <v>1060</v>
      </c>
      <c r="N2666" s="105"/>
      <c r="O2666" s="106"/>
      <c r="P2666" s="28"/>
      <c r="Q2666" s="106"/>
      <c r="R2666" s="105"/>
      <c r="S2666" s="106"/>
      <c r="T2666" s="105"/>
      <c r="U2666" s="106"/>
      <c r="V2666" s="105"/>
      <c r="W2666" s="106"/>
      <c r="X2666" s="22"/>
      <c r="Y2666" s="22"/>
      <c r="Z2666" s="22"/>
      <c r="AA2666" s="22"/>
      <c r="AB2666" s="22"/>
      <c r="AC2666" s="332">
        <v>750</v>
      </c>
      <c r="AD2666" s="332">
        <v>840</v>
      </c>
      <c r="AE2666" s="332">
        <v>880</v>
      </c>
      <c r="AF2666" s="332">
        <v>960</v>
      </c>
      <c r="AG2666" s="332">
        <v>1060</v>
      </c>
      <c r="AH2666" s="1">
        <v>750</v>
      </c>
      <c r="AI2666" s="1">
        <f>AH2666/AC2666-1</f>
        <v>0</v>
      </c>
      <c r="AJ2666" s="1">
        <v>840</v>
      </c>
      <c r="AK2666" s="1">
        <f>AJ2666/AD2666-1</f>
        <v>0</v>
      </c>
      <c r="AL2666" s="1">
        <v>880</v>
      </c>
      <c r="AM2666" s="1">
        <f>AL2666/AE2666-1</f>
        <v>0</v>
      </c>
      <c r="AN2666" s="1">
        <v>960</v>
      </c>
      <c r="AO2666" s="1">
        <f>AN2666/AF2666-1</f>
        <v>0</v>
      </c>
      <c r="AP2666" s="1">
        <v>1060</v>
      </c>
      <c r="AQ2666" s="1">
        <f>AP2666/AG2666-1</f>
        <v>0</v>
      </c>
      <c r="AR2666" s="333"/>
      <c r="AS2666" s="333"/>
    </row>
    <row r="2667" spans="1:46" s="48" customFormat="1" ht="24.75" customHeight="1">
      <c r="B2667" s="54" t="str">
        <f>IF($C$1="ENG","TRANSOM VERTO-FIT","ФРАМУГА VERTO-FIT")</f>
        <v>ФРАМУГА VERTO-FIT</v>
      </c>
      <c r="C2667" s="427"/>
      <c r="D2667" s="28"/>
      <c r="E2667" s="59"/>
      <c r="F2667" s="28"/>
      <c r="G2667" s="59"/>
      <c r="H2667" s="28"/>
      <c r="I2667" s="29"/>
      <c r="J2667" s="153"/>
      <c r="K2667" s="154"/>
      <c r="L2667" s="153"/>
      <c r="M2667" s="154"/>
      <c r="N2667" s="28"/>
      <c r="O2667" s="29"/>
      <c r="P2667" s="28"/>
      <c r="Q2667" s="29"/>
      <c r="R2667" s="28"/>
      <c r="S2667" s="29"/>
      <c r="T2667" s="29"/>
      <c r="U2667" s="29"/>
      <c r="W2667" s="29"/>
      <c r="AN2667" s="56"/>
      <c r="AO2667" s="56"/>
      <c r="AP2667" s="56"/>
      <c r="AQ2667" s="56"/>
      <c r="AR2667" s="56"/>
      <c r="AS2667" s="56"/>
      <c r="AT2667" s="56"/>
    </row>
    <row r="2668" spans="1:46">
      <c r="A2668" s="8"/>
      <c r="B2668" s="13" t="str">
        <f>IF($C$1="ENG","A (75 - 95 mm)","A (75 - 95 мм)")</f>
        <v>A (75 - 95 мм)</v>
      </c>
      <c r="C2668" s="425"/>
      <c r="D2668" s="15">
        <f t="shared" ref="D2668:D2677" si="440">IF(AC2668="","",(1-$W$2)*(AC2668/1.2))</f>
        <v>816.66666666666674</v>
      </c>
      <c r="E2668" s="64">
        <f t="shared" ref="E2668:E2677" si="441">IF($W$5=0.2,D2668*1.2,D2668)/$W$4</f>
        <v>980</v>
      </c>
      <c r="F2668" s="15">
        <f t="shared" ref="F2668:F2677" si="442">IF(AD2668="","",(1-$W$2)*(AD2668/1.2))</f>
        <v>941.66666666666674</v>
      </c>
      <c r="G2668" s="64">
        <f t="shared" ref="G2668:G2677" si="443">IF($W$5=0.2,F2668*1.2,F2668)/$W$4</f>
        <v>1130</v>
      </c>
      <c r="H2668" s="15">
        <f t="shared" ref="H2668:H2677" si="444">IF(AE2668="","",(1-$W$2)*(AE2668/1.2))</f>
        <v>991.66666666666674</v>
      </c>
      <c r="I2668" s="64">
        <f t="shared" ref="I2668:I2677" si="445">IF($W$5=0.2,H2668*1.2,H2668)/$W$4</f>
        <v>1190</v>
      </c>
      <c r="J2668" s="15">
        <f t="shared" ref="J2668:J2677" si="446">IF(AF2668="","",(1-$W$2)*(AF2668/1.2))</f>
        <v>1050</v>
      </c>
      <c r="K2668" s="64">
        <f t="shared" ref="K2668:K2677" si="447">IF($W$5=0.2,J2668*1.2,J2668)/$W$4</f>
        <v>1260</v>
      </c>
      <c r="L2668" s="15">
        <f t="shared" ref="L2668:L2677" si="448">IF(AG2668="","",(1-$W$2)*(AG2668/1.2))</f>
        <v>1125</v>
      </c>
      <c r="M2668" s="64">
        <f t="shared" ref="M2668:M2677" si="449">IF($W$5=0.2,L2668*1.2,L2668)/$W$4</f>
        <v>1350</v>
      </c>
      <c r="N2668" s="105"/>
      <c r="O2668" s="106"/>
      <c r="P2668" s="28"/>
      <c r="Q2668" s="105"/>
      <c r="R2668" s="105"/>
      <c r="S2668" s="106"/>
      <c r="T2668" s="105"/>
      <c r="U2668" s="106"/>
      <c r="V2668" s="105"/>
      <c r="W2668" s="106"/>
      <c r="X2668" s="105"/>
      <c r="Y2668" s="105"/>
      <c r="Z2668" s="105"/>
      <c r="AA2668" s="105"/>
      <c r="AB2668" s="105"/>
      <c r="AC2668" s="332">
        <v>980</v>
      </c>
      <c r="AD2668" s="332">
        <v>1130</v>
      </c>
      <c r="AE2668" s="332">
        <v>1190</v>
      </c>
      <c r="AF2668" s="332">
        <v>1260</v>
      </c>
      <c r="AG2668" s="332">
        <v>1350</v>
      </c>
      <c r="AH2668" s="289">
        <v>980</v>
      </c>
      <c r="AI2668" s="289">
        <f>AH2668/AC2668-1</f>
        <v>0</v>
      </c>
      <c r="AJ2668" s="289">
        <v>1130</v>
      </c>
      <c r="AK2668" s="289">
        <f>AJ2668/AD2668-1</f>
        <v>0</v>
      </c>
      <c r="AL2668" s="289">
        <v>1190</v>
      </c>
      <c r="AM2668" s="1">
        <f>AL2668/AE2668-1</f>
        <v>0</v>
      </c>
      <c r="AN2668" s="30">
        <v>1260</v>
      </c>
      <c r="AO2668" s="1">
        <f>AN2668/AF2668-1</f>
        <v>0</v>
      </c>
      <c r="AP2668" s="1">
        <v>1350</v>
      </c>
      <c r="AQ2668" s="1">
        <f>AP2668/AG2668-1</f>
        <v>0</v>
      </c>
      <c r="AR2668" s="333"/>
      <c r="AS2668" s="333"/>
    </row>
    <row r="2669" spans="1:46">
      <c r="A2669" s="8"/>
      <c r="B2669" s="16" t="str">
        <f>IF($C$1="ENG","B (95 - 115 mm)","B (95 - 115 мм)")</f>
        <v>B (95 - 115 мм)</v>
      </c>
      <c r="C2669" s="431"/>
      <c r="D2669" s="18">
        <f t="shared" si="440"/>
        <v>883.33333333333337</v>
      </c>
      <c r="E2669" s="66">
        <f t="shared" si="441"/>
        <v>1060</v>
      </c>
      <c r="F2669" s="18">
        <f t="shared" si="442"/>
        <v>1016.6666666666667</v>
      </c>
      <c r="G2669" s="66">
        <f t="shared" si="443"/>
        <v>1220</v>
      </c>
      <c r="H2669" s="18">
        <f t="shared" si="444"/>
        <v>1091.6666666666667</v>
      </c>
      <c r="I2669" s="66">
        <f t="shared" si="445"/>
        <v>1310</v>
      </c>
      <c r="J2669" s="18">
        <f t="shared" si="446"/>
        <v>1141.6666666666667</v>
      </c>
      <c r="K2669" s="66">
        <f t="shared" si="447"/>
        <v>1370</v>
      </c>
      <c r="L2669" s="18">
        <f t="shared" si="448"/>
        <v>1233.3333333333335</v>
      </c>
      <c r="M2669" s="66">
        <f t="shared" si="449"/>
        <v>1480.0000000000002</v>
      </c>
      <c r="N2669" s="105"/>
      <c r="O2669" s="106"/>
      <c r="P2669" s="28"/>
      <c r="Q2669" s="105"/>
      <c r="R2669" s="105"/>
      <c r="S2669" s="106"/>
      <c r="T2669" s="105"/>
      <c r="U2669" s="106"/>
      <c r="V2669" s="105"/>
      <c r="W2669" s="106"/>
      <c r="X2669" s="105"/>
      <c r="Y2669" s="105"/>
      <c r="Z2669" s="105"/>
      <c r="AA2669" s="105"/>
      <c r="AB2669" s="105"/>
      <c r="AC2669" s="332">
        <v>1060</v>
      </c>
      <c r="AD2669" s="332">
        <v>1220</v>
      </c>
      <c r="AE2669" s="332">
        <v>1310</v>
      </c>
      <c r="AF2669" s="332">
        <v>1370</v>
      </c>
      <c r="AG2669" s="332">
        <v>1480</v>
      </c>
      <c r="AH2669" s="289">
        <v>1060</v>
      </c>
      <c r="AI2669" s="289">
        <f t="shared" ref="AI2669:AI2677" si="450">AH2669/AC2669-1</f>
        <v>0</v>
      </c>
      <c r="AJ2669" s="289">
        <v>1220</v>
      </c>
      <c r="AK2669" s="289">
        <f t="shared" ref="AK2669:AK2677" si="451">AJ2669/AD2669-1</f>
        <v>0</v>
      </c>
      <c r="AL2669" s="289">
        <v>1310</v>
      </c>
      <c r="AM2669" s="1">
        <f t="shared" ref="AM2669:AM2677" si="452">AL2669/AE2669-1</f>
        <v>0</v>
      </c>
      <c r="AN2669" s="30">
        <v>1370</v>
      </c>
      <c r="AO2669" s="1">
        <f t="shared" ref="AO2669:AO2677" si="453">AN2669/AF2669-1</f>
        <v>0</v>
      </c>
      <c r="AP2669" s="1">
        <v>1480</v>
      </c>
      <c r="AQ2669" s="1">
        <f t="shared" ref="AQ2669:AQ2677" si="454">AP2669/AG2669-1</f>
        <v>0</v>
      </c>
      <c r="AR2669" s="333"/>
    </row>
    <row r="2670" spans="1:46">
      <c r="A2670" s="8"/>
      <c r="B2670" s="16" t="str">
        <f>IF($C$1="ENG","B+ 100 - 120 mm)","B+ (100 - 120 мм)")</f>
        <v>B+ (100 - 120 мм)</v>
      </c>
      <c r="C2670" s="431"/>
      <c r="D2670" s="18">
        <f t="shared" si="440"/>
        <v>916.66666666666674</v>
      </c>
      <c r="E2670" s="66">
        <f t="shared" si="441"/>
        <v>1100</v>
      </c>
      <c r="F2670" s="18">
        <f t="shared" si="442"/>
        <v>1058.3333333333335</v>
      </c>
      <c r="G2670" s="66">
        <f t="shared" si="443"/>
        <v>1270.0000000000002</v>
      </c>
      <c r="H2670" s="18">
        <f t="shared" si="444"/>
        <v>1133.3333333333335</v>
      </c>
      <c r="I2670" s="66">
        <f t="shared" si="445"/>
        <v>1360.0000000000002</v>
      </c>
      <c r="J2670" s="18">
        <f t="shared" si="446"/>
        <v>1191.6666666666667</v>
      </c>
      <c r="K2670" s="66">
        <f t="shared" si="447"/>
        <v>1430</v>
      </c>
      <c r="L2670" s="18">
        <f t="shared" si="448"/>
        <v>1291.6666666666667</v>
      </c>
      <c r="M2670" s="66">
        <f t="shared" si="449"/>
        <v>1550</v>
      </c>
      <c r="N2670" s="105"/>
      <c r="O2670" s="106"/>
      <c r="P2670" s="28"/>
      <c r="Q2670" s="105"/>
      <c r="R2670" s="105"/>
      <c r="S2670" s="106"/>
      <c r="T2670" s="105"/>
      <c r="U2670" s="106"/>
      <c r="V2670" s="105"/>
      <c r="W2670" s="106"/>
      <c r="X2670" s="105"/>
      <c r="Y2670" s="105"/>
      <c r="Z2670" s="105"/>
      <c r="AA2670" s="105"/>
      <c r="AB2670" s="105"/>
      <c r="AC2670" s="332">
        <v>1100</v>
      </c>
      <c r="AD2670" s="332">
        <v>1270</v>
      </c>
      <c r="AE2670" s="332">
        <v>1360</v>
      </c>
      <c r="AF2670" s="332">
        <v>1430</v>
      </c>
      <c r="AG2670" s="332">
        <v>1550</v>
      </c>
      <c r="AH2670" s="289">
        <v>1100</v>
      </c>
      <c r="AI2670" s="289">
        <f t="shared" si="450"/>
        <v>0</v>
      </c>
      <c r="AJ2670" s="289">
        <v>1270</v>
      </c>
      <c r="AK2670" s="289">
        <f t="shared" si="451"/>
        <v>0</v>
      </c>
      <c r="AL2670" s="289">
        <v>1360</v>
      </c>
      <c r="AM2670" s="1">
        <f t="shared" si="452"/>
        <v>0</v>
      </c>
      <c r="AN2670" s="30">
        <v>1430</v>
      </c>
      <c r="AO2670" s="1">
        <f t="shared" si="453"/>
        <v>0</v>
      </c>
      <c r="AP2670" s="1">
        <v>1550</v>
      </c>
      <c r="AQ2670" s="1">
        <f t="shared" si="454"/>
        <v>0</v>
      </c>
      <c r="AR2670" s="333"/>
    </row>
    <row r="2671" spans="1:46">
      <c r="A2671" s="8"/>
      <c r="B2671" s="16" t="str">
        <f>IF($C$1="ENG","C (120 - 140 mm)","C (120 - 140 мм)")</f>
        <v>C (120 - 140 мм)</v>
      </c>
      <c r="C2671" s="431"/>
      <c r="D2671" s="18">
        <f t="shared" si="440"/>
        <v>958.33333333333337</v>
      </c>
      <c r="E2671" s="66">
        <f t="shared" si="441"/>
        <v>1150</v>
      </c>
      <c r="F2671" s="18">
        <f t="shared" si="442"/>
        <v>1100</v>
      </c>
      <c r="G2671" s="66">
        <f t="shared" si="443"/>
        <v>1320</v>
      </c>
      <c r="H2671" s="18">
        <f t="shared" si="444"/>
        <v>1175</v>
      </c>
      <c r="I2671" s="66">
        <f t="shared" si="445"/>
        <v>1410</v>
      </c>
      <c r="J2671" s="18">
        <f t="shared" si="446"/>
        <v>1241.6666666666667</v>
      </c>
      <c r="K2671" s="66">
        <f t="shared" si="447"/>
        <v>1490</v>
      </c>
      <c r="L2671" s="18">
        <f t="shared" si="448"/>
        <v>1325</v>
      </c>
      <c r="M2671" s="66">
        <f t="shared" si="449"/>
        <v>1590</v>
      </c>
      <c r="N2671" s="105"/>
      <c r="O2671" s="106"/>
      <c r="P2671" s="28"/>
      <c r="Q2671" s="105"/>
      <c r="R2671" s="105"/>
      <c r="S2671" s="106"/>
      <c r="T2671" s="105"/>
      <c r="U2671" s="106"/>
      <c r="V2671" s="105"/>
      <c r="W2671" s="106"/>
      <c r="X2671" s="105"/>
      <c r="Y2671" s="105"/>
      <c r="Z2671" s="105"/>
      <c r="AA2671" s="105"/>
      <c r="AB2671" s="105"/>
      <c r="AC2671" s="332">
        <v>1150</v>
      </c>
      <c r="AD2671" s="332">
        <v>1320</v>
      </c>
      <c r="AE2671" s="332">
        <v>1410</v>
      </c>
      <c r="AF2671" s="332">
        <v>1490</v>
      </c>
      <c r="AG2671" s="332">
        <v>1590</v>
      </c>
      <c r="AH2671" s="289">
        <v>1150</v>
      </c>
      <c r="AI2671" s="289">
        <f t="shared" si="450"/>
        <v>0</v>
      </c>
      <c r="AJ2671" s="289">
        <v>1320</v>
      </c>
      <c r="AK2671" s="289">
        <f t="shared" si="451"/>
        <v>0</v>
      </c>
      <c r="AL2671" s="289">
        <v>1410</v>
      </c>
      <c r="AM2671" s="1">
        <f t="shared" si="452"/>
        <v>0</v>
      </c>
      <c r="AN2671" s="30">
        <v>1490</v>
      </c>
      <c r="AO2671" s="1">
        <f t="shared" si="453"/>
        <v>0</v>
      </c>
      <c r="AP2671" s="1">
        <v>1590</v>
      </c>
      <c r="AQ2671" s="1">
        <f t="shared" si="454"/>
        <v>0</v>
      </c>
      <c r="AR2671" s="333"/>
    </row>
    <row r="2672" spans="1:46">
      <c r="A2672" s="8"/>
      <c r="B2672" s="16" t="str">
        <f>IF($C$1="ENG","D (140 - 160 mm)","D (140 - 160 мм)")</f>
        <v>D (140 - 160 мм)</v>
      </c>
      <c r="C2672" s="431"/>
      <c r="D2672" s="18">
        <f t="shared" si="440"/>
        <v>1025</v>
      </c>
      <c r="E2672" s="66">
        <f t="shared" si="441"/>
        <v>1230</v>
      </c>
      <c r="F2672" s="18">
        <f t="shared" si="442"/>
        <v>1175</v>
      </c>
      <c r="G2672" s="66">
        <f t="shared" si="443"/>
        <v>1410</v>
      </c>
      <c r="H2672" s="18">
        <f t="shared" si="444"/>
        <v>1275</v>
      </c>
      <c r="I2672" s="66">
        <f t="shared" si="445"/>
        <v>1530</v>
      </c>
      <c r="J2672" s="18">
        <f t="shared" si="446"/>
        <v>1341.6666666666667</v>
      </c>
      <c r="K2672" s="66">
        <f t="shared" si="447"/>
        <v>1610</v>
      </c>
      <c r="L2672" s="18">
        <f t="shared" si="448"/>
        <v>1441.6666666666667</v>
      </c>
      <c r="M2672" s="66">
        <f t="shared" si="449"/>
        <v>1730</v>
      </c>
      <c r="N2672" s="105"/>
      <c r="O2672" s="106"/>
      <c r="P2672" s="28"/>
      <c r="Q2672" s="105"/>
      <c r="R2672" s="105"/>
      <c r="S2672" s="106"/>
      <c r="T2672" s="105"/>
      <c r="U2672" s="106"/>
      <c r="V2672" s="105"/>
      <c r="W2672" s="106"/>
      <c r="X2672" s="105"/>
      <c r="Y2672" s="105"/>
      <c r="Z2672" s="105"/>
      <c r="AA2672" s="105"/>
      <c r="AB2672" s="105"/>
      <c r="AC2672" s="332">
        <v>1230</v>
      </c>
      <c r="AD2672" s="332">
        <v>1410</v>
      </c>
      <c r="AE2672" s="332">
        <v>1530</v>
      </c>
      <c r="AF2672" s="332">
        <v>1610</v>
      </c>
      <c r="AG2672" s="332">
        <v>1730</v>
      </c>
      <c r="AH2672" s="289">
        <v>1230</v>
      </c>
      <c r="AI2672" s="289">
        <f t="shared" si="450"/>
        <v>0</v>
      </c>
      <c r="AJ2672" s="289">
        <v>1410</v>
      </c>
      <c r="AK2672" s="289">
        <f t="shared" si="451"/>
        <v>0</v>
      </c>
      <c r="AL2672" s="289">
        <v>1530</v>
      </c>
      <c r="AM2672" s="1">
        <f t="shared" si="452"/>
        <v>0</v>
      </c>
      <c r="AN2672" s="30">
        <v>1610</v>
      </c>
      <c r="AO2672" s="1">
        <f t="shared" si="453"/>
        <v>0</v>
      </c>
      <c r="AP2672" s="1">
        <v>1730</v>
      </c>
      <c r="AQ2672" s="1">
        <f t="shared" si="454"/>
        <v>0</v>
      </c>
      <c r="AR2672" s="333"/>
    </row>
    <row r="2673" spans="1:44">
      <c r="A2673" s="8"/>
      <c r="B2673" s="16" t="str">
        <f>IF($C$1="ENG","E (160 - 180 mm)","E (160 - 180 мм)")</f>
        <v>E (160 - 180 мм)</v>
      </c>
      <c r="C2673" s="431"/>
      <c r="D2673" s="18">
        <f t="shared" si="440"/>
        <v>1100</v>
      </c>
      <c r="E2673" s="66">
        <f t="shared" si="441"/>
        <v>1320</v>
      </c>
      <c r="F2673" s="18">
        <f t="shared" si="442"/>
        <v>1275</v>
      </c>
      <c r="G2673" s="66">
        <f t="shared" si="443"/>
        <v>1530</v>
      </c>
      <c r="H2673" s="18">
        <f t="shared" si="444"/>
        <v>1375</v>
      </c>
      <c r="I2673" s="66">
        <f t="shared" si="445"/>
        <v>1650</v>
      </c>
      <c r="J2673" s="18">
        <f t="shared" si="446"/>
        <v>1433.3333333333335</v>
      </c>
      <c r="K2673" s="66">
        <f t="shared" si="447"/>
        <v>1720.0000000000002</v>
      </c>
      <c r="L2673" s="18">
        <f t="shared" si="448"/>
        <v>1541.6666666666667</v>
      </c>
      <c r="M2673" s="66">
        <f t="shared" si="449"/>
        <v>1850</v>
      </c>
      <c r="N2673" s="105"/>
      <c r="O2673" s="106"/>
      <c r="P2673" s="28"/>
      <c r="Q2673" s="105"/>
      <c r="R2673" s="105"/>
      <c r="S2673" s="106"/>
      <c r="T2673" s="105"/>
      <c r="U2673" s="106"/>
      <c r="V2673" s="105"/>
      <c r="W2673" s="106"/>
      <c r="X2673" s="105"/>
      <c r="Y2673" s="105"/>
      <c r="Z2673" s="105"/>
      <c r="AA2673" s="105"/>
      <c r="AB2673" s="105"/>
      <c r="AC2673" s="332">
        <v>1320</v>
      </c>
      <c r="AD2673" s="332">
        <v>1530</v>
      </c>
      <c r="AE2673" s="332">
        <v>1650</v>
      </c>
      <c r="AF2673" s="332">
        <v>1720</v>
      </c>
      <c r="AG2673" s="332">
        <v>1850</v>
      </c>
      <c r="AH2673" s="289">
        <v>1322</v>
      </c>
      <c r="AI2673" s="289">
        <f t="shared" si="450"/>
        <v>1.5151515151514694E-3</v>
      </c>
      <c r="AJ2673" s="289">
        <v>1530</v>
      </c>
      <c r="AK2673" s="289">
        <f t="shared" si="451"/>
        <v>0</v>
      </c>
      <c r="AL2673" s="289">
        <v>1650</v>
      </c>
      <c r="AM2673" s="1">
        <f t="shared" si="452"/>
        <v>0</v>
      </c>
      <c r="AN2673" s="30">
        <v>1720</v>
      </c>
      <c r="AO2673" s="1">
        <f t="shared" si="453"/>
        <v>0</v>
      </c>
      <c r="AP2673" s="1">
        <v>1850</v>
      </c>
      <c r="AQ2673" s="1">
        <f t="shared" si="454"/>
        <v>0</v>
      </c>
      <c r="AR2673" s="333"/>
    </row>
    <row r="2674" spans="1:44">
      <c r="A2674" s="8"/>
      <c r="B2674" s="16" t="str">
        <f>IF($C$1="ENG","F (180 - 200 mm)","F (180 - 200 мм)")</f>
        <v>F (180 - 200 мм)</v>
      </c>
      <c r="C2674" s="431"/>
      <c r="D2674" s="18">
        <f t="shared" si="440"/>
        <v>1166.6666666666667</v>
      </c>
      <c r="E2674" s="66">
        <f t="shared" si="441"/>
        <v>1400</v>
      </c>
      <c r="F2674" s="18">
        <f t="shared" si="442"/>
        <v>1358.3333333333335</v>
      </c>
      <c r="G2674" s="66">
        <f t="shared" si="443"/>
        <v>1630.0000000000002</v>
      </c>
      <c r="H2674" s="18">
        <f t="shared" si="444"/>
        <v>1458.3333333333335</v>
      </c>
      <c r="I2674" s="66">
        <f t="shared" si="445"/>
        <v>1750.0000000000002</v>
      </c>
      <c r="J2674" s="18">
        <f t="shared" si="446"/>
        <v>1525</v>
      </c>
      <c r="K2674" s="66">
        <f t="shared" si="447"/>
        <v>1830</v>
      </c>
      <c r="L2674" s="18">
        <f t="shared" si="448"/>
        <v>1650</v>
      </c>
      <c r="M2674" s="66">
        <f t="shared" si="449"/>
        <v>1980</v>
      </c>
      <c r="N2674" s="105"/>
      <c r="O2674" s="106"/>
      <c r="P2674" s="28"/>
      <c r="Q2674" s="105"/>
      <c r="R2674" s="105"/>
      <c r="S2674" s="106"/>
      <c r="T2674" s="105"/>
      <c r="U2674" s="106"/>
      <c r="V2674" s="105"/>
      <c r="W2674" s="106"/>
      <c r="X2674" s="105"/>
      <c r="Y2674" s="105"/>
      <c r="Z2674" s="105"/>
      <c r="AA2674" s="105"/>
      <c r="AB2674" s="105"/>
      <c r="AC2674" s="332">
        <v>1400</v>
      </c>
      <c r="AD2674" s="332">
        <v>1630</v>
      </c>
      <c r="AE2674" s="332">
        <v>1750</v>
      </c>
      <c r="AF2674" s="332">
        <v>1830</v>
      </c>
      <c r="AG2674" s="332">
        <v>1980</v>
      </c>
      <c r="AH2674" s="289">
        <v>1400</v>
      </c>
      <c r="AI2674" s="289">
        <f t="shared" si="450"/>
        <v>0</v>
      </c>
      <c r="AJ2674" s="289">
        <v>1630</v>
      </c>
      <c r="AK2674" s="289">
        <f t="shared" si="451"/>
        <v>0</v>
      </c>
      <c r="AL2674" s="289">
        <v>1750</v>
      </c>
      <c r="AM2674" s="1">
        <f t="shared" si="452"/>
        <v>0</v>
      </c>
      <c r="AN2674" s="30">
        <v>1830</v>
      </c>
      <c r="AO2674" s="1">
        <f t="shared" si="453"/>
        <v>0</v>
      </c>
      <c r="AP2674" s="1">
        <v>1980</v>
      </c>
      <c r="AQ2674" s="1">
        <f t="shared" si="454"/>
        <v>0</v>
      </c>
      <c r="AR2674" s="333"/>
    </row>
    <row r="2675" spans="1:44">
      <c r="A2675" s="8"/>
      <c r="B2675" s="16" t="str">
        <f>IF($C$1="ENG","G (200 - 220 mm)","G (200 - 220 мм)")</f>
        <v>G (200 - 220 мм)</v>
      </c>
      <c r="C2675" s="431"/>
      <c r="D2675" s="18">
        <f t="shared" si="440"/>
        <v>1241.6666666666667</v>
      </c>
      <c r="E2675" s="66">
        <f t="shared" si="441"/>
        <v>1490</v>
      </c>
      <c r="F2675" s="18">
        <f t="shared" si="442"/>
        <v>1433.3333333333335</v>
      </c>
      <c r="G2675" s="66">
        <f t="shared" si="443"/>
        <v>1720.0000000000002</v>
      </c>
      <c r="H2675" s="18">
        <f t="shared" si="444"/>
        <v>1566.6666666666667</v>
      </c>
      <c r="I2675" s="66">
        <f t="shared" si="445"/>
        <v>1880</v>
      </c>
      <c r="J2675" s="18">
        <f t="shared" si="446"/>
        <v>1616.6666666666667</v>
      </c>
      <c r="K2675" s="66">
        <f t="shared" si="447"/>
        <v>1940</v>
      </c>
      <c r="L2675" s="18">
        <f t="shared" si="448"/>
        <v>1750</v>
      </c>
      <c r="M2675" s="66">
        <f t="shared" si="449"/>
        <v>2100</v>
      </c>
      <c r="N2675" s="105"/>
      <c r="O2675" s="106"/>
      <c r="P2675" s="28"/>
      <c r="Q2675" s="105"/>
      <c r="R2675" s="105"/>
      <c r="S2675" s="106"/>
      <c r="T2675" s="105"/>
      <c r="U2675" s="106"/>
      <c r="V2675" s="105"/>
      <c r="W2675" s="106"/>
      <c r="X2675" s="105"/>
      <c r="Y2675" s="105"/>
      <c r="Z2675" s="105"/>
      <c r="AA2675" s="105"/>
      <c r="AB2675" s="105"/>
      <c r="AC2675" s="332">
        <v>1490</v>
      </c>
      <c r="AD2675" s="332">
        <v>1720</v>
      </c>
      <c r="AE2675" s="332">
        <v>1880</v>
      </c>
      <c r="AF2675" s="332">
        <v>1940</v>
      </c>
      <c r="AG2675" s="332">
        <v>2100</v>
      </c>
      <c r="AH2675" s="289">
        <v>1490</v>
      </c>
      <c r="AI2675" s="289">
        <f t="shared" si="450"/>
        <v>0</v>
      </c>
      <c r="AJ2675" s="289">
        <v>1720</v>
      </c>
      <c r="AK2675" s="289">
        <f t="shared" si="451"/>
        <v>0</v>
      </c>
      <c r="AL2675" s="289">
        <v>1880</v>
      </c>
      <c r="AM2675" s="1">
        <f t="shared" si="452"/>
        <v>0</v>
      </c>
      <c r="AN2675" s="30">
        <v>1940</v>
      </c>
      <c r="AO2675" s="1">
        <f t="shared" si="453"/>
        <v>0</v>
      </c>
      <c r="AP2675" s="1">
        <v>2100</v>
      </c>
      <c r="AQ2675" s="1">
        <f t="shared" si="454"/>
        <v>0</v>
      </c>
      <c r="AR2675" s="333"/>
    </row>
    <row r="2676" spans="1:44">
      <c r="A2676" s="8"/>
      <c r="B2676" s="16" t="str">
        <f>IF($C$1="ENG","H (220 - 240 mm)","H (220 - 240 мм)")</f>
        <v>H (220 - 240 мм)</v>
      </c>
      <c r="C2676" s="431"/>
      <c r="D2676" s="18">
        <f t="shared" si="440"/>
        <v>1308.3333333333335</v>
      </c>
      <c r="E2676" s="66">
        <f t="shared" si="441"/>
        <v>1570.0000000000002</v>
      </c>
      <c r="F2676" s="18">
        <f t="shared" si="442"/>
        <v>1508.3333333333335</v>
      </c>
      <c r="G2676" s="66">
        <f t="shared" si="443"/>
        <v>1810.0000000000002</v>
      </c>
      <c r="H2676" s="18">
        <f t="shared" si="444"/>
        <v>1650</v>
      </c>
      <c r="I2676" s="66">
        <f t="shared" si="445"/>
        <v>1980</v>
      </c>
      <c r="J2676" s="18">
        <f t="shared" si="446"/>
        <v>1716.6666666666667</v>
      </c>
      <c r="K2676" s="66">
        <f t="shared" si="447"/>
        <v>2060</v>
      </c>
      <c r="L2676" s="18">
        <f t="shared" si="448"/>
        <v>1866.6666666666667</v>
      </c>
      <c r="M2676" s="66">
        <f t="shared" si="449"/>
        <v>2240</v>
      </c>
      <c r="N2676" s="105"/>
      <c r="O2676" s="106"/>
      <c r="P2676" s="28"/>
      <c r="Q2676" s="105"/>
      <c r="R2676" s="105"/>
      <c r="S2676" s="106"/>
      <c r="T2676" s="105"/>
      <c r="U2676" s="106"/>
      <c r="V2676" s="105"/>
      <c r="W2676" s="106"/>
      <c r="X2676" s="105"/>
      <c r="Y2676" s="105"/>
      <c r="Z2676" s="105"/>
      <c r="AA2676" s="105"/>
      <c r="AB2676" s="105"/>
      <c r="AC2676" s="332">
        <v>1570</v>
      </c>
      <c r="AD2676" s="332">
        <v>1810</v>
      </c>
      <c r="AE2676" s="332">
        <v>1980</v>
      </c>
      <c r="AF2676" s="332">
        <v>2060</v>
      </c>
      <c r="AG2676" s="332">
        <v>2240</v>
      </c>
      <c r="AH2676" s="289">
        <v>1570</v>
      </c>
      <c r="AI2676" s="289">
        <f t="shared" si="450"/>
        <v>0</v>
      </c>
      <c r="AJ2676" s="289">
        <v>1810</v>
      </c>
      <c r="AK2676" s="289">
        <f t="shared" si="451"/>
        <v>0</v>
      </c>
      <c r="AL2676" s="289">
        <v>1980</v>
      </c>
      <c r="AM2676" s="1">
        <f t="shared" si="452"/>
        <v>0</v>
      </c>
      <c r="AN2676" s="30">
        <v>2060</v>
      </c>
      <c r="AO2676" s="1">
        <f t="shared" si="453"/>
        <v>0</v>
      </c>
      <c r="AP2676" s="1">
        <v>2240</v>
      </c>
      <c r="AQ2676" s="1">
        <f t="shared" si="454"/>
        <v>0</v>
      </c>
      <c r="AR2676" s="333"/>
    </row>
    <row r="2677" spans="1:44">
      <c r="A2677" s="8"/>
      <c r="B2677" s="23" t="str">
        <f>IF($C$1="ENG","I (240 - 260 mm)","I (240 - 260 мм)")</f>
        <v>I (240 - 260 мм)</v>
      </c>
      <c r="C2677" s="432"/>
      <c r="D2677" s="25">
        <f t="shared" si="440"/>
        <v>1383.3333333333335</v>
      </c>
      <c r="E2677" s="69">
        <f t="shared" si="441"/>
        <v>1660.0000000000002</v>
      </c>
      <c r="F2677" s="25">
        <f t="shared" si="442"/>
        <v>1591.6666666666667</v>
      </c>
      <c r="G2677" s="69">
        <f t="shared" si="443"/>
        <v>1910</v>
      </c>
      <c r="H2677" s="25">
        <f t="shared" si="444"/>
        <v>1741.6666666666667</v>
      </c>
      <c r="I2677" s="69">
        <f t="shared" si="445"/>
        <v>2090</v>
      </c>
      <c r="J2677" s="25">
        <f t="shared" si="446"/>
        <v>1808.3333333333335</v>
      </c>
      <c r="K2677" s="69">
        <f t="shared" si="447"/>
        <v>2170</v>
      </c>
      <c r="L2677" s="25">
        <f t="shared" si="448"/>
        <v>1967.5</v>
      </c>
      <c r="M2677" s="69">
        <f t="shared" si="449"/>
        <v>2361</v>
      </c>
      <c r="N2677" s="105"/>
      <c r="O2677" s="106"/>
      <c r="P2677" s="28"/>
      <c r="Q2677" s="105"/>
      <c r="R2677" s="105"/>
      <c r="S2677" s="106"/>
      <c r="T2677" s="105"/>
      <c r="U2677" s="106"/>
      <c r="V2677" s="105"/>
      <c r="W2677" s="106"/>
      <c r="X2677" s="105"/>
      <c r="Y2677" s="105"/>
      <c r="Z2677" s="105"/>
      <c r="AA2677" s="105"/>
      <c r="AB2677" s="105"/>
      <c r="AC2677" s="332">
        <v>1660</v>
      </c>
      <c r="AD2677" s="332">
        <v>1910</v>
      </c>
      <c r="AE2677" s="332">
        <v>2090</v>
      </c>
      <c r="AF2677" s="332">
        <v>2170</v>
      </c>
      <c r="AG2677" s="332">
        <v>2361</v>
      </c>
      <c r="AH2677" s="289">
        <v>1660</v>
      </c>
      <c r="AI2677" s="289">
        <f t="shared" si="450"/>
        <v>0</v>
      </c>
      <c r="AJ2677" s="289">
        <v>1910</v>
      </c>
      <c r="AK2677" s="289">
        <f t="shared" si="451"/>
        <v>0</v>
      </c>
      <c r="AL2677" s="289">
        <v>2090</v>
      </c>
      <c r="AM2677" s="1">
        <f t="shared" si="452"/>
        <v>0</v>
      </c>
      <c r="AN2677" s="30">
        <v>2170</v>
      </c>
      <c r="AO2677" s="1">
        <f t="shared" si="453"/>
        <v>0</v>
      </c>
      <c r="AP2677" s="1">
        <v>2361</v>
      </c>
      <c r="AQ2677" s="1">
        <f t="shared" si="454"/>
        <v>0</v>
      </c>
      <c r="AR2677" s="333"/>
    </row>
    <row r="2678" spans="1:44">
      <c r="C2678" s="245"/>
      <c r="D2678" s="26"/>
      <c r="E2678" s="57"/>
      <c r="F2678" s="26"/>
      <c r="G2678" s="57"/>
      <c r="H2678" s="60"/>
      <c r="I2678" s="48"/>
      <c r="J2678" s="48"/>
      <c r="K2678" s="48"/>
      <c r="L2678" s="48"/>
      <c r="M2678" s="48"/>
      <c r="N2678" s="48"/>
      <c r="O2678" s="48"/>
      <c r="P2678" s="48"/>
      <c r="Q2678" s="48"/>
      <c r="R2678" s="48"/>
      <c r="S2678" s="48"/>
    </row>
    <row r="2679" spans="1:44">
      <c r="B2679" s="212" t="str">
        <f>IF($C$1="ENG","For additonal charge:","Послуги за додаткову плату:")</f>
        <v>Послуги за додаткову плату:</v>
      </c>
      <c r="C2679" s="420"/>
      <c r="D2679" s="213"/>
      <c r="E2679" s="214"/>
      <c r="F2679" s="26"/>
      <c r="G2679" s="57"/>
      <c r="H2679" s="5"/>
      <c r="J2679" s="48"/>
      <c r="K2679" s="48"/>
      <c r="L2679" s="48"/>
      <c r="M2679" s="48"/>
      <c r="N2679" s="48"/>
      <c r="O2679" s="48"/>
      <c r="P2679" s="48"/>
      <c r="Q2679" s="48"/>
      <c r="R2679" s="48"/>
      <c r="S2679" s="48"/>
    </row>
    <row r="2680" spans="1:44" ht="5.0999999999999996" customHeight="1">
      <c r="B2680" s="27"/>
      <c r="C2680" s="245"/>
      <c r="D2680" s="26"/>
      <c r="E2680" s="57"/>
      <c r="F2680" s="26"/>
      <c r="G2680" s="57"/>
      <c r="H2680" s="5"/>
    </row>
    <row r="2681" spans="1:44">
      <c r="B2681" s="275" t="str">
        <f>IF($C$1="ENG","Glazing types:","Вид скління:")</f>
        <v>Вид скління:</v>
      </c>
      <c r="C2681" s="412" t="str">
        <f>IF($C$1="ENG","MDF","Фільонка")</f>
        <v>Фільонка</v>
      </c>
      <c r="D2681" s="101">
        <f t="shared" ref="D2681:D2685" si="455">IF(AC2681="","",(1-$W$2)*(AC2681/1.2))</f>
        <v>1016.6666666666667</v>
      </c>
      <c r="E2681" s="64">
        <f>IF($W$5=0.2,D2681*1.2,D2681)/$W$4</f>
        <v>1220</v>
      </c>
      <c r="F2681" s="26"/>
      <c r="G2681" s="57"/>
      <c r="H2681" s="253"/>
      <c r="L2681" s="105"/>
      <c r="M2681" s="106"/>
      <c r="N2681" s="105"/>
      <c r="O2681" s="106"/>
      <c r="P2681" s="105"/>
      <c r="Q2681" s="106"/>
      <c r="R2681" s="105"/>
      <c r="S2681" s="106"/>
      <c r="T2681" s="105"/>
      <c r="U2681" s="106"/>
      <c r="V2681" s="105"/>
      <c r="W2681" s="106"/>
      <c r="AC2681" s="289">
        <v>1220</v>
      </c>
      <c r="AD2681" s="289">
        <v>1220</v>
      </c>
      <c r="AE2681" s="289">
        <f>AD2681/AC2681-1</f>
        <v>0</v>
      </c>
      <c r="AF2681" s="289"/>
      <c r="AG2681" s="289"/>
      <c r="AH2681" s="289"/>
      <c r="AI2681" s="289"/>
      <c r="AJ2681" s="289"/>
      <c r="AK2681" s="289"/>
      <c r="AL2681" s="289"/>
    </row>
    <row r="2682" spans="1:44">
      <c r="B2682" s="276"/>
      <c r="C2682" s="411" t="str">
        <f>IF($C$1="ENG","Satin","Сатин")</f>
        <v>Сатин</v>
      </c>
      <c r="D2682" s="102">
        <f t="shared" si="455"/>
        <v>933.33333333333337</v>
      </c>
      <c r="E2682" s="66">
        <f t="shared" ref="E2682:E2686" si="456">IF($W$5=0.2,D2682*1.2,D2682)/$W$4</f>
        <v>1120</v>
      </c>
      <c r="F2682" s="26"/>
      <c r="G2682" s="26"/>
      <c r="H2682" s="253"/>
      <c r="L2682" s="105"/>
      <c r="M2682" s="106"/>
      <c r="P2682" s="105"/>
      <c r="Q2682" s="106"/>
      <c r="AC2682" s="289">
        <v>1120</v>
      </c>
      <c r="AD2682" s="289">
        <v>1120</v>
      </c>
      <c r="AE2682" s="289">
        <f t="shared" ref="AE2682:AE2686" si="457">AD2682/AC2682-1</f>
        <v>0</v>
      </c>
      <c r="AF2682" s="289"/>
      <c r="AG2682" s="289"/>
      <c r="AH2682" s="289"/>
      <c r="AI2682" s="289"/>
      <c r="AJ2682" s="289"/>
      <c r="AK2682" s="289"/>
      <c r="AL2682" s="289"/>
    </row>
    <row r="2683" spans="1:44">
      <c r="B2683" s="273"/>
      <c r="C2683" s="411" t="str">
        <f>IF($C$1="ENG","Graphite","Графіт")</f>
        <v>Графіт</v>
      </c>
      <c r="D2683" s="102">
        <f t="shared" si="455"/>
        <v>1275</v>
      </c>
      <c r="E2683" s="66">
        <f t="shared" si="456"/>
        <v>1530</v>
      </c>
      <c r="F2683" s="26"/>
      <c r="G2683" s="26"/>
      <c r="H2683" s="253"/>
      <c r="L2683" s="105"/>
      <c r="M2683" s="106"/>
      <c r="P2683" s="105"/>
      <c r="Q2683" s="106"/>
      <c r="AC2683" s="289">
        <v>1530</v>
      </c>
      <c r="AD2683" s="289">
        <v>1530</v>
      </c>
      <c r="AE2683" s="289">
        <f t="shared" si="457"/>
        <v>0</v>
      </c>
      <c r="AF2683" s="289"/>
      <c r="AG2683" s="289"/>
      <c r="AH2683" s="289"/>
      <c r="AI2683" s="289"/>
      <c r="AJ2683" s="289"/>
      <c r="AK2683" s="289"/>
      <c r="AL2683" s="289"/>
    </row>
    <row r="2684" spans="1:44">
      <c r="B2684" s="273"/>
      <c r="C2684" s="411" t="str">
        <f>IF($C$1="ENG","Bronze","Бронза")</f>
        <v>Бронза</v>
      </c>
      <c r="D2684" s="102">
        <f t="shared" si="455"/>
        <v>1275</v>
      </c>
      <c r="E2684" s="66">
        <f t="shared" si="456"/>
        <v>1530</v>
      </c>
      <c r="F2684" s="26"/>
      <c r="G2684" s="26"/>
      <c r="H2684" s="253"/>
      <c r="L2684" s="105"/>
      <c r="M2684" s="106"/>
      <c r="P2684" s="105"/>
      <c r="Q2684" s="106"/>
      <c r="AC2684" s="289">
        <v>1530</v>
      </c>
      <c r="AD2684" s="289">
        <v>1530</v>
      </c>
      <c r="AE2684" s="289">
        <f t="shared" si="457"/>
        <v>0</v>
      </c>
      <c r="AF2684" s="289"/>
      <c r="AG2684" s="289"/>
      <c r="AH2684" s="289"/>
      <c r="AI2684" s="289"/>
      <c r="AJ2684" s="289"/>
      <c r="AK2684" s="289"/>
      <c r="AL2684" s="289"/>
    </row>
    <row r="2685" spans="1:44">
      <c r="B2685" s="273"/>
      <c r="C2685" s="411" t="str">
        <f>IF($C$1="ENG","Drawing","Малюнок")</f>
        <v>Малюнок</v>
      </c>
      <c r="D2685" s="102">
        <f t="shared" si="455"/>
        <v>1133.3333333333335</v>
      </c>
      <c r="E2685" s="66">
        <f t="shared" si="456"/>
        <v>1360.0000000000002</v>
      </c>
      <c r="F2685" s="26"/>
      <c r="G2685" s="26"/>
      <c r="H2685" s="253"/>
      <c r="L2685" s="105"/>
      <c r="M2685" s="106"/>
      <c r="P2685" s="105"/>
      <c r="Q2685" s="106"/>
      <c r="AC2685" s="289">
        <v>1360</v>
      </c>
      <c r="AD2685" s="289">
        <v>1360</v>
      </c>
      <c r="AE2685" s="289">
        <f t="shared" si="457"/>
        <v>0</v>
      </c>
      <c r="AF2685" s="289"/>
      <c r="AG2685" s="289"/>
      <c r="AH2685" s="289"/>
      <c r="AI2685" s="289"/>
      <c r="AJ2685" s="289"/>
      <c r="AK2685" s="289"/>
      <c r="AL2685" s="289"/>
    </row>
    <row r="2686" spans="1:44">
      <c r="B2686" s="273"/>
      <c r="C2686" s="411" t="str">
        <f>IF($C$1="ENG","Mirror","Дзеркало")</f>
        <v>Дзеркало</v>
      </c>
      <c r="D2686" s="103">
        <f>IF(AC2686="","",(1-$W$2)*(AC2686/1.2))</f>
        <v>1366.6666666666667</v>
      </c>
      <c r="E2686" s="69">
        <f t="shared" si="456"/>
        <v>1640</v>
      </c>
      <c r="F2686" s="26"/>
      <c r="G2686" s="26"/>
      <c r="H2686" s="253"/>
      <c r="L2686" s="105"/>
      <c r="M2686" s="106"/>
      <c r="P2686" s="105"/>
      <c r="Q2686" s="106"/>
      <c r="AC2686" s="289">
        <v>1640</v>
      </c>
      <c r="AD2686" s="289">
        <v>1640</v>
      </c>
      <c r="AE2686" s="289">
        <f t="shared" si="457"/>
        <v>0</v>
      </c>
      <c r="AF2686" s="289"/>
      <c r="AG2686" s="289"/>
      <c r="AH2686" s="289"/>
      <c r="AI2686" s="289"/>
      <c r="AJ2686" s="289"/>
      <c r="AK2686" s="289"/>
      <c r="AL2686" s="289"/>
    </row>
    <row r="2687" spans="1:44" ht="14.25" customHeight="1">
      <c r="T2687" s="548" t="str">
        <f>IF($C$1="ENG",CONCATENATE("down to: ",B2737),CONCATENATE("вниз до: ",B2737))</f>
        <v>вниз до: Дверні Ручки</v>
      </c>
      <c r="U2687" s="548"/>
      <c r="V2687" s="548"/>
      <c r="W2687" s="548"/>
      <c r="AD2687" s="289" t="e">
        <f t="shared" ref="AD2687:AD2688" si="458">T2687/100*13+T2687</f>
        <v>#VALUE!</v>
      </c>
      <c r="AE2687" s="289" t="e">
        <f t="shared" ref="AE2687:AE2688" si="459">AD2687/T2687-1</f>
        <v>#VALUE!</v>
      </c>
    </row>
    <row r="2688" spans="1:44" ht="14.25" customHeight="1">
      <c r="C2688" s="245"/>
      <c r="D2688" s="26"/>
      <c r="E2688" s="57"/>
      <c r="F2688" s="26"/>
      <c r="G2688" s="26"/>
      <c r="H2688" s="5"/>
      <c r="AD2688" s="289">
        <f t="shared" si="458"/>
        <v>0</v>
      </c>
      <c r="AE2688" s="289" t="e">
        <f t="shared" si="459"/>
        <v>#DIV/0!</v>
      </c>
    </row>
    <row r="2689" spans="3:8" ht="14.25" customHeight="1">
      <c r="C2689" s="245"/>
      <c r="D2689" s="26"/>
      <c r="E2689" s="26"/>
      <c r="F2689" s="26"/>
      <c r="G2689" s="26"/>
      <c r="H2689" s="5"/>
    </row>
    <row r="2690" spans="3:8" ht="14.25" customHeight="1">
      <c r="C2690" s="245"/>
      <c r="D2690" s="26"/>
      <c r="E2690" s="26"/>
      <c r="F2690" s="26"/>
      <c r="G2690" s="26"/>
      <c r="H2690" s="5"/>
    </row>
    <row r="2691" spans="3:8" ht="14.25" customHeight="1">
      <c r="C2691" s="245"/>
      <c r="D2691" s="26"/>
      <c r="E2691" s="26"/>
      <c r="F2691" s="26"/>
      <c r="G2691" s="26"/>
      <c r="H2691" s="5"/>
    </row>
    <row r="2692" spans="3:8" ht="14.25" customHeight="1">
      <c r="C2692" s="245"/>
      <c r="D2692" s="26"/>
      <c r="E2692" s="26"/>
      <c r="F2692" s="26"/>
      <c r="G2692" s="26"/>
      <c r="H2692" s="5"/>
    </row>
    <row r="2693" spans="3:8" ht="14.25" customHeight="1">
      <c r="C2693" s="245"/>
      <c r="D2693" s="26"/>
      <c r="E2693" s="26"/>
      <c r="F2693" s="26"/>
      <c r="G2693" s="26"/>
      <c r="H2693" s="5"/>
    </row>
    <row r="2694" spans="3:8" ht="14.25" customHeight="1">
      <c r="C2694" s="245"/>
      <c r="D2694" s="26"/>
      <c r="E2694" s="26"/>
      <c r="F2694" s="26"/>
      <c r="G2694" s="26"/>
      <c r="H2694" s="5"/>
    </row>
    <row r="2695" spans="3:8" ht="14.25" customHeight="1">
      <c r="C2695" s="245"/>
      <c r="D2695" s="26"/>
      <c r="E2695" s="26"/>
      <c r="F2695" s="26"/>
      <c r="G2695" s="26"/>
      <c r="H2695" s="5"/>
    </row>
    <row r="2696" spans="3:8" ht="14.25" customHeight="1">
      <c r="C2696" s="245"/>
      <c r="D2696" s="26"/>
      <c r="E2696" s="26"/>
      <c r="F2696" s="26"/>
      <c r="G2696" s="26"/>
      <c r="H2696" s="5"/>
    </row>
    <row r="2697" spans="3:8" ht="14.25" customHeight="1">
      <c r="C2697" s="245"/>
      <c r="D2697" s="26"/>
      <c r="E2697" s="26"/>
      <c r="F2697" s="26"/>
      <c r="G2697" s="26"/>
      <c r="H2697" s="5"/>
    </row>
    <row r="2698" spans="3:8" ht="14.25" customHeight="1">
      <c r="C2698" s="245"/>
      <c r="D2698" s="26"/>
      <c r="E2698" s="26"/>
      <c r="F2698" s="26"/>
      <c r="G2698" s="26"/>
      <c r="H2698" s="5"/>
    </row>
    <row r="2699" spans="3:8" ht="14.25" customHeight="1">
      <c r="C2699" s="245"/>
      <c r="D2699" s="26"/>
      <c r="E2699" s="26"/>
      <c r="F2699" s="26"/>
      <c r="G2699" s="26"/>
      <c r="H2699" s="5"/>
    </row>
    <row r="2700" spans="3:8" ht="14.25" customHeight="1">
      <c r="C2700" s="245"/>
      <c r="D2700" s="26"/>
      <c r="E2700" s="26"/>
      <c r="F2700" s="26"/>
      <c r="G2700" s="26"/>
      <c r="H2700" s="5"/>
    </row>
    <row r="2701" spans="3:8" ht="14.25" customHeight="1">
      <c r="C2701" s="245"/>
      <c r="D2701" s="26"/>
      <c r="E2701" s="26"/>
      <c r="F2701" s="26"/>
      <c r="G2701" s="26"/>
      <c r="H2701" s="5"/>
    </row>
    <row r="2702" spans="3:8" ht="14.25" customHeight="1">
      <c r="C2702" s="245"/>
      <c r="D2702" s="26"/>
      <c r="E2702" s="26"/>
      <c r="F2702" s="26"/>
      <c r="G2702" s="26"/>
      <c r="H2702" s="5"/>
    </row>
    <row r="2703" spans="3:8" ht="14.25" customHeight="1">
      <c r="C2703" s="245"/>
      <c r="D2703" s="26"/>
      <c r="E2703" s="26"/>
      <c r="F2703" s="26"/>
      <c r="G2703" s="26"/>
      <c r="H2703" s="5"/>
    </row>
    <row r="2704" spans="3:8" ht="14.25" customHeight="1">
      <c r="C2704" s="245"/>
      <c r="D2704" s="26"/>
      <c r="E2704" s="26"/>
      <c r="F2704" s="26"/>
      <c r="G2704" s="26"/>
      <c r="H2704" s="5"/>
    </row>
    <row r="2705" spans="3:8" ht="14.25" customHeight="1">
      <c r="C2705" s="245"/>
      <c r="D2705" s="26"/>
      <c r="E2705" s="26"/>
      <c r="F2705" s="26"/>
      <c r="G2705" s="26"/>
      <c r="H2705" s="5"/>
    </row>
    <row r="2706" spans="3:8" ht="14.25" customHeight="1">
      <c r="C2706" s="245"/>
      <c r="D2706" s="26"/>
      <c r="E2706" s="26"/>
      <c r="F2706" s="26"/>
      <c r="G2706" s="26"/>
      <c r="H2706" s="5"/>
    </row>
    <row r="2707" spans="3:8" ht="14.25" customHeight="1">
      <c r="C2707" s="245"/>
      <c r="D2707" s="26"/>
      <c r="E2707" s="26"/>
      <c r="F2707" s="26"/>
      <c r="G2707" s="26"/>
      <c r="H2707" s="5"/>
    </row>
    <row r="2708" spans="3:8" ht="14.25" customHeight="1">
      <c r="C2708" s="245"/>
      <c r="D2708" s="26"/>
      <c r="E2708" s="26"/>
      <c r="F2708" s="26"/>
      <c r="G2708" s="26"/>
      <c r="H2708" s="5"/>
    </row>
    <row r="2709" spans="3:8" ht="14.25" customHeight="1">
      <c r="C2709" s="245"/>
      <c r="D2709" s="26"/>
      <c r="E2709" s="26"/>
      <c r="F2709" s="26"/>
      <c r="G2709" s="26"/>
      <c r="H2709" s="5"/>
    </row>
    <row r="2710" spans="3:8" ht="14.25" customHeight="1">
      <c r="C2710" s="245"/>
      <c r="D2710" s="26"/>
      <c r="E2710" s="26"/>
      <c r="F2710" s="26"/>
      <c r="G2710" s="26"/>
      <c r="H2710" s="5"/>
    </row>
    <row r="2711" spans="3:8" ht="14.25" customHeight="1">
      <c r="C2711" s="245"/>
      <c r="D2711" s="26"/>
      <c r="E2711" s="26"/>
      <c r="F2711" s="26"/>
      <c r="G2711" s="26"/>
      <c r="H2711" s="5"/>
    </row>
    <row r="2712" spans="3:8" ht="14.25" customHeight="1">
      <c r="C2712" s="245"/>
      <c r="D2712" s="26"/>
      <c r="E2712" s="26"/>
      <c r="F2712" s="26"/>
      <c r="G2712" s="26"/>
      <c r="H2712" s="5"/>
    </row>
    <row r="2713" spans="3:8" ht="14.25" customHeight="1">
      <c r="C2713" s="245"/>
      <c r="D2713" s="26"/>
      <c r="E2713" s="26"/>
      <c r="F2713" s="26"/>
      <c r="G2713" s="26"/>
      <c r="H2713" s="5"/>
    </row>
    <row r="2714" spans="3:8" ht="14.25" customHeight="1">
      <c r="C2714" s="245"/>
      <c r="D2714" s="26"/>
      <c r="E2714" s="26"/>
      <c r="F2714" s="26"/>
      <c r="G2714" s="26"/>
      <c r="H2714" s="5"/>
    </row>
    <row r="2715" spans="3:8" ht="14.25" customHeight="1">
      <c r="C2715" s="245"/>
      <c r="D2715" s="26"/>
      <c r="E2715" s="26"/>
      <c r="F2715" s="26"/>
      <c r="G2715" s="26"/>
      <c r="H2715" s="5"/>
    </row>
    <row r="2716" spans="3:8" ht="14.25" customHeight="1">
      <c r="C2716" s="245"/>
      <c r="D2716" s="26"/>
      <c r="E2716" s="26"/>
      <c r="F2716" s="26"/>
      <c r="G2716" s="26"/>
      <c r="H2716" s="5"/>
    </row>
    <row r="2717" spans="3:8" ht="14.25" customHeight="1">
      <c r="C2717" s="245"/>
      <c r="D2717" s="26"/>
      <c r="E2717" s="26"/>
      <c r="F2717" s="26"/>
      <c r="G2717" s="26"/>
      <c r="H2717" s="5"/>
    </row>
    <row r="2718" spans="3:8" ht="14.25" customHeight="1">
      <c r="C2718" s="245"/>
      <c r="D2718" s="26"/>
      <c r="E2718" s="26"/>
      <c r="F2718" s="26"/>
      <c r="G2718" s="26"/>
      <c r="H2718" s="5"/>
    </row>
    <row r="2719" spans="3:8" ht="14.25" customHeight="1">
      <c r="C2719" s="245"/>
      <c r="D2719" s="26"/>
      <c r="E2719" s="26"/>
      <c r="F2719" s="26"/>
      <c r="G2719" s="26"/>
      <c r="H2719" s="5"/>
    </row>
    <row r="2720" spans="3:8" ht="14.25" customHeight="1">
      <c r="C2720" s="245"/>
      <c r="D2720" s="26"/>
      <c r="E2720" s="26"/>
      <c r="F2720" s="26"/>
      <c r="G2720" s="26"/>
      <c r="H2720" s="5"/>
    </row>
    <row r="2721" spans="3:8" ht="14.25" customHeight="1">
      <c r="C2721" s="245"/>
      <c r="D2721" s="26"/>
      <c r="E2721" s="26"/>
      <c r="F2721" s="26"/>
      <c r="G2721" s="26"/>
      <c r="H2721" s="5"/>
    </row>
    <row r="2722" spans="3:8" ht="14.25" customHeight="1">
      <c r="C2722" s="245"/>
      <c r="D2722" s="26"/>
      <c r="E2722" s="26"/>
      <c r="F2722" s="26"/>
      <c r="G2722" s="26"/>
      <c r="H2722" s="5"/>
    </row>
    <row r="2723" spans="3:8" ht="14.25" customHeight="1">
      <c r="C2723" s="245"/>
      <c r="D2723" s="26"/>
      <c r="E2723" s="26"/>
      <c r="F2723" s="26"/>
      <c r="G2723" s="26"/>
      <c r="H2723" s="5"/>
    </row>
    <row r="2724" spans="3:8" ht="14.25" customHeight="1">
      <c r="C2724" s="245"/>
      <c r="D2724" s="26"/>
      <c r="E2724" s="26"/>
      <c r="F2724" s="26"/>
      <c r="G2724" s="26"/>
      <c r="H2724" s="5"/>
    </row>
    <row r="2725" spans="3:8" ht="14.25" customHeight="1">
      <c r="C2725" s="245"/>
      <c r="D2725" s="26"/>
      <c r="E2725" s="26"/>
      <c r="F2725" s="26"/>
      <c r="G2725" s="26"/>
      <c r="H2725" s="5"/>
    </row>
    <row r="2726" spans="3:8" ht="14.25" customHeight="1">
      <c r="C2726" s="245"/>
      <c r="D2726" s="26"/>
      <c r="E2726" s="26"/>
      <c r="F2726" s="26"/>
      <c r="G2726" s="26"/>
      <c r="H2726" s="5"/>
    </row>
    <row r="2727" spans="3:8" ht="14.25" customHeight="1">
      <c r="C2727" s="245"/>
      <c r="D2727" s="26"/>
      <c r="E2727" s="26"/>
      <c r="F2727" s="26"/>
      <c r="G2727" s="26"/>
      <c r="H2727" s="5"/>
    </row>
    <row r="2728" spans="3:8" ht="14.25" customHeight="1">
      <c r="C2728" s="245"/>
      <c r="D2728" s="26"/>
      <c r="E2728" s="26"/>
      <c r="F2728" s="26"/>
      <c r="G2728" s="26"/>
      <c r="H2728" s="5"/>
    </row>
    <row r="2729" spans="3:8" ht="14.25" customHeight="1">
      <c r="C2729" s="245"/>
      <c r="D2729" s="26"/>
      <c r="E2729" s="26"/>
      <c r="F2729" s="26"/>
      <c r="G2729" s="26"/>
      <c r="H2729" s="5"/>
    </row>
    <row r="2730" spans="3:8" ht="14.25" customHeight="1">
      <c r="C2730" s="245"/>
      <c r="D2730" s="26"/>
      <c r="E2730" s="26"/>
      <c r="F2730" s="26"/>
      <c r="G2730" s="26"/>
      <c r="H2730" s="5"/>
    </row>
    <row r="2731" spans="3:8" ht="14.25" customHeight="1">
      <c r="C2731" s="245"/>
      <c r="D2731" s="26"/>
      <c r="E2731" s="26"/>
      <c r="F2731" s="26"/>
      <c r="G2731" s="26"/>
      <c r="H2731" s="5"/>
    </row>
    <row r="2732" spans="3:8" ht="14.25" customHeight="1">
      <c r="C2732" s="245"/>
      <c r="D2732" s="26"/>
      <c r="E2732" s="26"/>
      <c r="F2732" s="26"/>
      <c r="G2732" s="26"/>
      <c r="H2732" s="5"/>
    </row>
    <row r="2733" spans="3:8" ht="14.25" customHeight="1">
      <c r="C2733" s="245"/>
      <c r="D2733" s="26"/>
      <c r="E2733" s="26"/>
      <c r="F2733" s="26"/>
      <c r="G2733" s="26"/>
      <c r="H2733" s="5"/>
    </row>
    <row r="2734" spans="3:8" ht="14.25" customHeight="1">
      <c r="C2734" s="245"/>
      <c r="D2734" s="26"/>
      <c r="E2734" s="26"/>
      <c r="F2734" s="26"/>
      <c r="G2734" s="26"/>
      <c r="H2734" s="5"/>
    </row>
    <row r="2735" spans="3:8" ht="14.25" customHeight="1">
      <c r="C2735" s="245"/>
      <c r="D2735" s="26"/>
      <c r="E2735" s="26"/>
      <c r="F2735" s="26"/>
      <c r="G2735" s="26"/>
      <c r="H2735" s="5"/>
    </row>
    <row r="2736" spans="3:8" ht="14.25" customHeight="1">
      <c r="C2736" s="245"/>
      <c r="D2736" s="26"/>
      <c r="E2736" s="26"/>
      <c r="F2736" s="26"/>
      <c r="G2736" s="26"/>
      <c r="H2736" s="5"/>
    </row>
    <row r="2737" spans="1:46" s="8" customFormat="1" ht="14.25" customHeight="1">
      <c r="B2737" s="517" t="str">
        <f>TITLE!C53</f>
        <v>Дверні Ручки</v>
      </c>
      <c r="C2737" s="518"/>
      <c r="D2737" s="118"/>
      <c r="E2737" s="118"/>
      <c r="F2737" s="118"/>
      <c r="G2737" s="118"/>
      <c r="H2737" s="118"/>
      <c r="I2737" s="121"/>
      <c r="J2737" s="121"/>
      <c r="K2737" s="121"/>
      <c r="L2737" s="121"/>
      <c r="M2737" s="121"/>
      <c r="N2737" s="121"/>
      <c r="O2737" s="121"/>
      <c r="P2737" s="121"/>
      <c r="Q2737" s="121"/>
      <c r="R2737" s="121"/>
      <c r="S2737" s="121"/>
      <c r="T2737" s="521" t="str">
        <f>IF($C$1="ENG",CONCATENATE("up to: ",B2661),CONCATENATE("вгору до: ",B2661))</f>
        <v>вгору до: Фрамуги</v>
      </c>
      <c r="U2737" s="521"/>
      <c r="V2737" s="521"/>
      <c r="W2737" s="521"/>
      <c r="AC2737" s="1"/>
      <c r="AN2737" s="280"/>
      <c r="AO2737" s="280"/>
      <c r="AP2737" s="280"/>
      <c r="AQ2737" s="280"/>
      <c r="AR2737" s="280"/>
      <c r="AS2737" s="280"/>
      <c r="AT2737" s="280"/>
    </row>
    <row r="2738" spans="1:46" s="8" customFormat="1" ht="5.0999999999999996" customHeight="1">
      <c r="C2738" s="423"/>
      <c r="L2738" s="48"/>
      <c r="M2738" s="48"/>
      <c r="N2738" s="48"/>
      <c r="O2738" s="48"/>
      <c r="P2738" s="48"/>
      <c r="Q2738" s="48"/>
      <c r="R2738" s="48"/>
      <c r="S2738" s="48"/>
      <c r="T2738" s="115"/>
      <c r="U2738" s="115"/>
      <c r="V2738" s="115"/>
      <c r="W2738" s="115"/>
      <c r="AN2738" s="280"/>
      <c r="AO2738" s="280"/>
      <c r="AP2738" s="280"/>
      <c r="AQ2738" s="280"/>
      <c r="AR2738" s="280"/>
      <c r="AS2738" s="280"/>
      <c r="AT2738" s="280"/>
    </row>
    <row r="2739" spans="1:46" ht="33.75" customHeight="1">
      <c r="A2739" s="8"/>
      <c r="B2739" s="61" t="str">
        <f>IF($C$1="ENG","model","модель")</f>
        <v>модель</v>
      </c>
      <c r="C2739" s="434"/>
      <c r="D2739" s="562" t="str">
        <f>IF($C$1="ENG","cat. options","див. каталог")</f>
        <v>див. каталог</v>
      </c>
      <c r="E2739" s="563"/>
      <c r="J2739" s="48"/>
      <c r="K2739" s="48"/>
      <c r="L2739" s="47"/>
      <c r="M2739" s="47"/>
      <c r="N2739" s="47"/>
      <c r="O2739" s="47"/>
      <c r="P2739" s="47"/>
      <c r="Q2739" s="47"/>
      <c r="R2739" s="47"/>
      <c r="S2739" s="47"/>
    </row>
    <row r="2740" spans="1:46" ht="34.5" customHeight="1">
      <c r="A2740" s="8"/>
      <c r="B2740" s="13" t="str">
        <f>IF($C$1="ENG","Door handle VERONA","Ручка VERONA")</f>
        <v>Ручка VERONA</v>
      </c>
      <c r="C2740" s="435"/>
      <c r="D2740" s="15">
        <f>IF(AC2740="","",(1-$W$2)*(AC2740/1.2))</f>
        <v>2666.666666666667</v>
      </c>
      <c r="E2740" s="64">
        <f>IF($W$5=0.2,D2740*1.2,D2740)/$W$4</f>
        <v>3200.0000000000005</v>
      </c>
      <c r="L2740" s="28"/>
      <c r="M2740" s="59"/>
      <c r="N2740" s="28"/>
      <c r="O2740" s="29"/>
      <c r="P2740" s="28"/>
      <c r="Q2740" s="59"/>
      <c r="R2740" s="28"/>
      <c r="S2740" s="29"/>
      <c r="T2740" s="42"/>
      <c r="U2740" s="30"/>
      <c r="W2740" s="20"/>
      <c r="X2740" s="22"/>
      <c r="Y2740" s="22"/>
      <c r="Z2740" s="22"/>
      <c r="AA2740" s="22"/>
      <c r="AB2740" s="22"/>
      <c r="AC2740" s="298">
        <v>3200</v>
      </c>
      <c r="AD2740" s="1">
        <v>3260</v>
      </c>
      <c r="AE2740" s="1">
        <f>AD2740/AC2740-1</f>
        <v>1.8750000000000044E-2</v>
      </c>
      <c r="AF2740" s="289"/>
      <c r="AG2740" s="289"/>
      <c r="AH2740" s="289"/>
      <c r="AI2740" s="289"/>
      <c r="AJ2740" s="289"/>
      <c r="AK2740" s="289"/>
      <c r="AL2740" s="289"/>
    </row>
    <row r="2741" spans="1:46" ht="34.5" customHeight="1">
      <c r="A2741" s="8"/>
      <c r="B2741" s="16" t="str">
        <f>IF($C$1="ENG","Door handle MILANO","Ручка MILANO")</f>
        <v>Ручка MILANO</v>
      </c>
      <c r="C2741" s="436"/>
      <c r="D2741" s="18">
        <f>IF(AC2741="","",(1-$W$2)*(AC2741/1.2))</f>
        <v>2666.666666666667</v>
      </c>
      <c r="E2741" s="66">
        <f>IF($W$5=0.2,D2741*1.2,D2741)/$W$4</f>
        <v>3200.0000000000005</v>
      </c>
      <c r="L2741" s="28"/>
      <c r="M2741" s="59"/>
      <c r="N2741" s="28"/>
      <c r="O2741" s="29"/>
      <c r="P2741" s="28"/>
      <c r="Q2741" s="59"/>
      <c r="R2741" s="28"/>
      <c r="S2741" s="29"/>
      <c r="T2741" s="42"/>
      <c r="U2741" s="30"/>
      <c r="W2741" s="30"/>
      <c r="AC2741" s="298">
        <v>3200</v>
      </c>
      <c r="AD2741" s="1">
        <v>3260</v>
      </c>
      <c r="AE2741" s="1">
        <f t="shared" ref="AE2741:AE2744" si="460">AD2741/AC2741-1</f>
        <v>1.8750000000000044E-2</v>
      </c>
      <c r="AF2741" s="289"/>
      <c r="AG2741" s="289"/>
      <c r="AH2741" s="289"/>
      <c r="AI2741" s="289"/>
      <c r="AJ2741" s="289"/>
      <c r="AK2741" s="289"/>
      <c r="AL2741" s="289"/>
    </row>
    <row r="2742" spans="1:46" ht="34.5" customHeight="1">
      <c r="B2742" s="16" t="str">
        <f>IF($C$1="ENG","Door handle HANDY","Ручка HANDY")</f>
        <v>Ручка HANDY</v>
      </c>
      <c r="C2742" s="436"/>
      <c r="D2742" s="109">
        <f>IF(AC2742="","",(1-$W$2)*(AC2742/1.2))</f>
        <v>1300</v>
      </c>
      <c r="E2742" s="66">
        <f>IF($W$5=0.2,D2742*1.2,D2742)/$W$4</f>
        <v>1560</v>
      </c>
      <c r="L2742" s="28"/>
      <c r="N2742" s="28"/>
      <c r="P2742" s="28"/>
      <c r="R2742" s="28"/>
      <c r="AC2742" s="298">
        <v>1560</v>
      </c>
      <c r="AD2742" s="1">
        <v>1560</v>
      </c>
      <c r="AE2742" s="1">
        <f t="shared" si="460"/>
        <v>0</v>
      </c>
      <c r="AF2742" s="289"/>
      <c r="AG2742" s="289"/>
      <c r="AH2742" s="289"/>
      <c r="AI2742" s="289"/>
      <c r="AJ2742" s="289"/>
      <c r="AK2742" s="289"/>
      <c r="AL2742" s="289"/>
    </row>
    <row r="2743" spans="1:46" ht="34.5" customHeight="1">
      <c r="A2743" s="8"/>
      <c r="B2743" s="16" t="str">
        <f>IF($C$1="ENG","Door handle PRIUS","Ручка PRIUS")</f>
        <v>Ручка PRIUS</v>
      </c>
      <c r="C2743" s="436"/>
      <c r="D2743" s="18">
        <f>IF(AC2743="","",(1-$W$2)*(AC2743/1.2))</f>
        <v>1300</v>
      </c>
      <c r="E2743" s="66">
        <f>IF($W$5=0.2,D2743*1.2,D2743)/$W$4</f>
        <v>1560</v>
      </c>
      <c r="L2743" s="28"/>
      <c r="N2743" s="28"/>
      <c r="O2743" s="29"/>
      <c r="P2743" s="28"/>
      <c r="R2743" s="28"/>
      <c r="S2743" s="29"/>
      <c r="T2743" s="42"/>
      <c r="U2743" s="30"/>
      <c r="W2743" s="30"/>
      <c r="AC2743" s="298">
        <v>1560</v>
      </c>
      <c r="AD2743" s="1">
        <v>1560</v>
      </c>
      <c r="AE2743" s="1">
        <f t="shared" si="460"/>
        <v>0</v>
      </c>
      <c r="AF2743" s="289"/>
      <c r="AG2743" s="289"/>
      <c r="AH2743" s="289"/>
      <c r="AI2743" s="289"/>
      <c r="AJ2743" s="289"/>
      <c r="AK2743" s="289"/>
      <c r="AL2743" s="289"/>
    </row>
    <row r="2744" spans="1:46" ht="34.5" customHeight="1">
      <c r="B2744" s="23" t="str">
        <f>IF($C$1="ENG","Door handle OFFICE","Ручка OFFICE")</f>
        <v>Ручка OFFICE</v>
      </c>
      <c r="C2744" s="437"/>
      <c r="D2744" s="25">
        <f>IF(AC2744="","",(1-$W$2)*(AC2744/1.2))</f>
        <v>625</v>
      </c>
      <c r="E2744" s="69">
        <f>IF($W$5=0.2,D2744*1.2,D2744)/$W$4</f>
        <v>750</v>
      </c>
      <c r="L2744" s="28"/>
      <c r="P2744" s="28"/>
      <c r="AC2744" s="298">
        <v>750</v>
      </c>
      <c r="AD2744" s="1">
        <v>750</v>
      </c>
      <c r="AE2744" s="1">
        <f t="shared" si="460"/>
        <v>0</v>
      </c>
      <c r="AF2744" s="289"/>
      <c r="AG2744" s="289"/>
      <c r="AH2744" s="289"/>
      <c r="AI2744" s="289"/>
      <c r="AJ2744" s="289"/>
      <c r="AK2744" s="289"/>
      <c r="AL2744" s="289"/>
    </row>
    <row r="2745" spans="1:46" ht="14.25" customHeight="1">
      <c r="T2745" s="547" t="str">
        <f>IF($C$1="ENG",CONCATENATE("down to: ",B2795),CONCATENATE("вниз до: ",B2795))</f>
        <v>вниз до: Інші Аксесуари</v>
      </c>
      <c r="U2745" s="547"/>
      <c r="V2745" s="547"/>
      <c r="W2745" s="547"/>
    </row>
    <row r="2746" spans="1:46" ht="14.25" customHeight="1">
      <c r="C2746" s="245"/>
      <c r="D2746" s="26"/>
      <c r="E2746" s="26"/>
      <c r="F2746" s="26"/>
      <c r="G2746" s="26"/>
      <c r="H2746" s="5"/>
    </row>
    <row r="2747" spans="1:46" ht="14.25" customHeight="1">
      <c r="C2747" s="245"/>
      <c r="D2747" s="26"/>
      <c r="E2747" s="26"/>
      <c r="F2747" s="26"/>
      <c r="G2747" s="26"/>
      <c r="H2747" s="5"/>
    </row>
    <row r="2748" spans="1:46" ht="14.25" customHeight="1">
      <c r="C2748" s="245"/>
      <c r="D2748" s="26"/>
      <c r="E2748" s="26"/>
      <c r="F2748" s="26"/>
      <c r="G2748" s="26"/>
      <c r="H2748" s="5"/>
    </row>
    <row r="2749" spans="1:46" ht="14.25" customHeight="1">
      <c r="C2749" s="245"/>
      <c r="D2749" s="26"/>
      <c r="E2749" s="26"/>
      <c r="F2749" s="26"/>
      <c r="G2749" s="26"/>
      <c r="H2749" s="5"/>
    </row>
    <row r="2750" spans="1:46" ht="14.25" customHeight="1">
      <c r="C2750" s="245"/>
      <c r="D2750" s="26"/>
      <c r="E2750" s="26"/>
      <c r="F2750" s="26"/>
      <c r="G2750" s="26"/>
      <c r="H2750" s="5"/>
    </row>
    <row r="2751" spans="1:46" ht="14.25" customHeight="1">
      <c r="C2751" s="245"/>
      <c r="D2751" s="26"/>
      <c r="E2751" s="26"/>
      <c r="F2751" s="26"/>
      <c r="G2751" s="26"/>
      <c r="H2751" s="5"/>
    </row>
    <row r="2752" spans="1:46" ht="14.25" customHeight="1">
      <c r="C2752" s="245"/>
      <c r="D2752" s="26"/>
      <c r="E2752" s="26"/>
      <c r="F2752" s="26"/>
      <c r="G2752" s="26"/>
      <c r="H2752" s="5"/>
    </row>
    <row r="2753" spans="3:8" ht="14.25" customHeight="1">
      <c r="C2753" s="245"/>
      <c r="D2753" s="26"/>
      <c r="E2753" s="26"/>
      <c r="F2753" s="26"/>
      <c r="G2753" s="26"/>
      <c r="H2753" s="5"/>
    </row>
    <row r="2754" spans="3:8" ht="14.25" customHeight="1">
      <c r="C2754" s="245"/>
      <c r="D2754" s="26"/>
      <c r="E2754" s="26"/>
      <c r="F2754" s="26"/>
      <c r="G2754" s="26"/>
      <c r="H2754" s="5"/>
    </row>
    <row r="2755" spans="3:8" ht="14.25" customHeight="1">
      <c r="C2755" s="245"/>
      <c r="D2755" s="26"/>
      <c r="E2755" s="26"/>
      <c r="F2755" s="26"/>
      <c r="G2755" s="26"/>
      <c r="H2755" s="5"/>
    </row>
    <row r="2756" spans="3:8" ht="14.25" customHeight="1">
      <c r="C2756" s="245"/>
      <c r="D2756" s="26"/>
      <c r="E2756" s="26"/>
      <c r="F2756" s="26"/>
      <c r="G2756" s="26"/>
      <c r="H2756" s="5"/>
    </row>
    <row r="2757" spans="3:8" ht="14.25" customHeight="1">
      <c r="C2757" s="245"/>
      <c r="D2757" s="26"/>
      <c r="E2757" s="26"/>
      <c r="F2757" s="26"/>
      <c r="G2757" s="26"/>
      <c r="H2757" s="5"/>
    </row>
    <row r="2758" spans="3:8" ht="14.25" customHeight="1">
      <c r="C2758" s="245"/>
      <c r="D2758" s="26"/>
      <c r="E2758" s="26"/>
      <c r="F2758" s="26"/>
      <c r="G2758" s="26"/>
      <c r="H2758" s="5"/>
    </row>
    <row r="2759" spans="3:8" ht="14.25" customHeight="1">
      <c r="C2759" s="245"/>
      <c r="D2759" s="26"/>
      <c r="E2759" s="26"/>
      <c r="F2759" s="26"/>
      <c r="G2759" s="26"/>
      <c r="H2759" s="5"/>
    </row>
    <row r="2760" spans="3:8" ht="14.25" customHeight="1">
      <c r="C2760" s="245"/>
      <c r="D2760" s="26"/>
      <c r="E2760" s="26"/>
      <c r="F2760" s="26"/>
      <c r="G2760" s="26"/>
      <c r="H2760" s="5"/>
    </row>
    <row r="2761" spans="3:8" ht="14.25" customHeight="1">
      <c r="C2761" s="245"/>
      <c r="D2761" s="26"/>
      <c r="E2761" s="26"/>
      <c r="F2761" s="26"/>
      <c r="G2761" s="26"/>
      <c r="H2761" s="5"/>
    </row>
    <row r="2762" spans="3:8" ht="14.25" customHeight="1">
      <c r="C2762" s="245"/>
      <c r="D2762" s="26"/>
      <c r="E2762" s="26"/>
      <c r="F2762" s="26"/>
      <c r="G2762" s="26"/>
      <c r="H2762" s="5"/>
    </row>
    <row r="2763" spans="3:8" ht="14.25" customHeight="1">
      <c r="C2763" s="245"/>
      <c r="D2763" s="26"/>
      <c r="E2763" s="26"/>
      <c r="F2763" s="26"/>
      <c r="G2763" s="26"/>
      <c r="H2763" s="5"/>
    </row>
    <row r="2764" spans="3:8" ht="14.25" customHeight="1">
      <c r="C2764" s="245"/>
      <c r="D2764" s="26"/>
      <c r="E2764" s="26"/>
      <c r="F2764" s="26"/>
      <c r="G2764" s="26"/>
      <c r="H2764" s="5"/>
    </row>
    <row r="2765" spans="3:8" ht="14.25" customHeight="1">
      <c r="C2765" s="245"/>
      <c r="D2765" s="26"/>
      <c r="E2765" s="26"/>
      <c r="F2765" s="26"/>
      <c r="G2765" s="26"/>
      <c r="H2765" s="5"/>
    </row>
    <row r="2766" spans="3:8" ht="14.25" customHeight="1">
      <c r="C2766" s="245"/>
      <c r="D2766" s="26"/>
      <c r="E2766" s="26"/>
      <c r="F2766" s="26"/>
      <c r="G2766" s="26"/>
      <c r="H2766" s="5"/>
    </row>
    <row r="2767" spans="3:8" ht="14.25" customHeight="1">
      <c r="C2767" s="245"/>
      <c r="D2767" s="26"/>
      <c r="E2767" s="26"/>
      <c r="F2767" s="26"/>
      <c r="G2767" s="26"/>
      <c r="H2767" s="5"/>
    </row>
    <row r="2768" spans="3:8" ht="14.25" customHeight="1">
      <c r="C2768" s="245"/>
      <c r="D2768" s="26"/>
      <c r="E2768" s="26"/>
      <c r="F2768" s="26"/>
      <c r="G2768" s="26"/>
      <c r="H2768" s="5"/>
    </row>
    <row r="2769" spans="3:8" ht="14.25" customHeight="1">
      <c r="C2769" s="245"/>
      <c r="D2769" s="26"/>
      <c r="E2769" s="26"/>
      <c r="F2769" s="26"/>
      <c r="G2769" s="26"/>
      <c r="H2769" s="5"/>
    </row>
    <row r="2770" spans="3:8" ht="14.25" customHeight="1">
      <c r="C2770" s="245"/>
      <c r="D2770" s="26"/>
      <c r="E2770" s="26"/>
      <c r="F2770" s="26"/>
      <c r="G2770" s="26"/>
      <c r="H2770" s="5"/>
    </row>
    <row r="2771" spans="3:8" ht="14.25" customHeight="1">
      <c r="C2771" s="245"/>
      <c r="D2771" s="26"/>
      <c r="E2771" s="26"/>
      <c r="F2771" s="26"/>
      <c r="G2771" s="26"/>
      <c r="H2771" s="5"/>
    </row>
    <row r="2772" spans="3:8" ht="14.25" customHeight="1">
      <c r="C2772" s="245"/>
      <c r="D2772" s="26"/>
      <c r="E2772" s="26"/>
      <c r="F2772" s="26"/>
      <c r="G2772" s="26"/>
      <c r="H2772" s="5"/>
    </row>
    <row r="2773" spans="3:8" ht="14.25" customHeight="1">
      <c r="C2773" s="245"/>
      <c r="D2773" s="26"/>
      <c r="E2773" s="26"/>
      <c r="F2773" s="26"/>
      <c r="G2773" s="26"/>
      <c r="H2773" s="5"/>
    </row>
    <row r="2774" spans="3:8" ht="14.25" customHeight="1">
      <c r="C2774" s="245"/>
      <c r="D2774" s="26"/>
      <c r="E2774" s="26"/>
      <c r="F2774" s="26"/>
      <c r="G2774" s="26"/>
      <c r="H2774" s="5"/>
    </row>
    <row r="2775" spans="3:8" ht="14.25" customHeight="1">
      <c r="C2775" s="245"/>
      <c r="D2775" s="26"/>
      <c r="E2775" s="26"/>
      <c r="F2775" s="26"/>
      <c r="G2775" s="26"/>
      <c r="H2775" s="5"/>
    </row>
    <row r="2776" spans="3:8" ht="14.25" customHeight="1">
      <c r="C2776" s="245"/>
      <c r="D2776" s="26"/>
      <c r="E2776" s="26"/>
      <c r="F2776" s="26"/>
      <c r="G2776" s="26"/>
      <c r="H2776" s="5"/>
    </row>
    <row r="2777" spans="3:8" ht="14.25" customHeight="1">
      <c r="C2777" s="245"/>
      <c r="D2777" s="26"/>
      <c r="E2777" s="26"/>
      <c r="F2777" s="26"/>
      <c r="G2777" s="26"/>
      <c r="H2777" s="5"/>
    </row>
    <row r="2778" spans="3:8" ht="14.25" customHeight="1">
      <c r="C2778" s="245"/>
      <c r="D2778" s="26"/>
      <c r="E2778" s="26"/>
      <c r="F2778" s="26"/>
      <c r="G2778" s="26"/>
      <c r="H2778" s="5"/>
    </row>
    <row r="2779" spans="3:8" ht="14.25" customHeight="1">
      <c r="C2779" s="245"/>
      <c r="D2779" s="26"/>
      <c r="E2779" s="26"/>
      <c r="F2779" s="26"/>
      <c r="G2779" s="26"/>
      <c r="H2779" s="5"/>
    </row>
    <row r="2780" spans="3:8" ht="14.25" customHeight="1">
      <c r="C2780" s="245"/>
      <c r="D2780" s="26"/>
      <c r="E2780" s="26"/>
      <c r="F2780" s="26"/>
      <c r="G2780" s="26"/>
      <c r="H2780" s="5"/>
    </row>
    <row r="2781" spans="3:8" ht="14.25" customHeight="1">
      <c r="C2781" s="245"/>
      <c r="D2781" s="26"/>
      <c r="E2781" s="26"/>
      <c r="F2781" s="26"/>
      <c r="G2781" s="26"/>
      <c r="H2781" s="5"/>
    </row>
    <row r="2782" spans="3:8" ht="14.25" customHeight="1">
      <c r="C2782" s="245"/>
      <c r="D2782" s="26"/>
      <c r="E2782" s="26"/>
      <c r="F2782" s="26"/>
      <c r="G2782" s="26"/>
      <c r="H2782" s="5"/>
    </row>
    <row r="2783" spans="3:8" ht="14.25" customHeight="1">
      <c r="C2783" s="245"/>
      <c r="D2783" s="26"/>
      <c r="E2783" s="26"/>
      <c r="F2783" s="26"/>
      <c r="G2783" s="26"/>
      <c r="H2783" s="5"/>
    </row>
    <row r="2784" spans="3:8" ht="14.25" customHeight="1">
      <c r="C2784" s="245"/>
      <c r="D2784" s="26"/>
      <c r="E2784" s="26"/>
      <c r="F2784" s="26"/>
      <c r="G2784" s="26"/>
      <c r="H2784" s="5"/>
    </row>
    <row r="2785" spans="1:46" ht="14.25" customHeight="1">
      <c r="C2785" s="245"/>
      <c r="D2785" s="26"/>
      <c r="E2785" s="26"/>
      <c r="F2785" s="26"/>
      <c r="G2785" s="26"/>
      <c r="H2785" s="5"/>
    </row>
    <row r="2786" spans="1:46" ht="14.25" customHeight="1">
      <c r="C2786" s="245"/>
      <c r="D2786" s="26"/>
      <c r="E2786" s="26"/>
      <c r="F2786" s="26"/>
      <c r="G2786" s="26"/>
      <c r="H2786" s="5"/>
    </row>
    <row r="2787" spans="1:46" ht="14.25" customHeight="1">
      <c r="C2787" s="245"/>
      <c r="D2787" s="26"/>
      <c r="E2787" s="26"/>
      <c r="F2787" s="26"/>
      <c r="G2787" s="26"/>
      <c r="H2787" s="5"/>
    </row>
    <row r="2788" spans="1:46" ht="14.25" customHeight="1">
      <c r="C2788" s="245"/>
      <c r="D2788" s="26"/>
      <c r="E2788" s="26"/>
      <c r="F2788" s="26"/>
      <c r="G2788" s="26"/>
      <c r="H2788" s="5"/>
    </row>
    <row r="2789" spans="1:46" ht="14.25" customHeight="1">
      <c r="C2789" s="245"/>
      <c r="D2789" s="26"/>
      <c r="E2789" s="26"/>
      <c r="F2789" s="26"/>
      <c r="G2789" s="26"/>
      <c r="H2789" s="5"/>
    </row>
    <row r="2790" spans="1:46" ht="14.25" customHeight="1">
      <c r="C2790" s="245"/>
      <c r="D2790" s="26"/>
      <c r="E2790" s="26"/>
      <c r="F2790" s="26"/>
      <c r="G2790" s="26"/>
      <c r="H2790" s="5"/>
    </row>
    <row r="2791" spans="1:46" ht="14.25" customHeight="1">
      <c r="C2791" s="245"/>
      <c r="D2791" s="26"/>
      <c r="E2791" s="26"/>
      <c r="F2791" s="26"/>
      <c r="G2791" s="26"/>
      <c r="H2791" s="5"/>
    </row>
    <row r="2792" spans="1:46" ht="14.25" customHeight="1">
      <c r="C2792" s="245"/>
      <c r="D2792" s="26"/>
      <c r="E2792" s="26"/>
      <c r="F2792" s="26"/>
      <c r="G2792" s="26"/>
      <c r="H2792" s="5"/>
    </row>
    <row r="2793" spans="1:46" ht="14.25" customHeight="1">
      <c r="C2793" s="245"/>
      <c r="D2793" s="26"/>
      <c r="E2793" s="26"/>
      <c r="F2793" s="26"/>
      <c r="G2793" s="26"/>
      <c r="H2793" s="5"/>
    </row>
    <row r="2794" spans="1:46" ht="14.25" customHeight="1">
      <c r="C2794" s="245"/>
      <c r="D2794" s="26"/>
      <c r="E2794" s="26"/>
      <c r="F2794" s="26"/>
      <c r="G2794" s="26"/>
      <c r="H2794" s="5"/>
    </row>
    <row r="2795" spans="1:46" s="8" customFormat="1">
      <c r="B2795" s="517" t="str">
        <f>TITLE!$C$54</f>
        <v>Інші Аксесуари</v>
      </c>
      <c r="C2795" s="518"/>
      <c r="D2795" s="118"/>
      <c r="E2795" s="118"/>
      <c r="F2795" s="118"/>
      <c r="G2795" s="118"/>
      <c r="H2795" s="118"/>
      <c r="I2795" s="121"/>
      <c r="J2795" s="121"/>
      <c r="K2795" s="121"/>
      <c r="L2795" s="121"/>
      <c r="M2795" s="121"/>
      <c r="N2795" s="121"/>
      <c r="O2795" s="121"/>
      <c r="P2795" s="121"/>
      <c r="Q2795" s="121"/>
      <c r="R2795" s="121"/>
      <c r="S2795" s="121"/>
      <c r="T2795" s="521" t="str">
        <f>IF($C$1="ENG",CONCATENATE("up to: ",B2737),CONCATENATE("вгору до: ",B2737))</f>
        <v>вгору до: Дверні Ручки</v>
      </c>
      <c r="U2795" s="521"/>
      <c r="V2795" s="521"/>
      <c r="W2795" s="521"/>
      <c r="AN2795" s="280"/>
      <c r="AO2795" s="280"/>
      <c r="AP2795" s="280"/>
      <c r="AQ2795" s="280"/>
      <c r="AR2795" s="280"/>
      <c r="AS2795" s="280"/>
      <c r="AT2795" s="280"/>
    </row>
    <row r="2796" spans="1:46" s="8" customFormat="1" ht="5.0999999999999996" customHeight="1">
      <c r="C2796" s="423"/>
      <c r="L2796" s="48"/>
      <c r="M2796" s="48"/>
      <c r="N2796" s="48"/>
      <c r="O2796" s="48"/>
      <c r="P2796" s="48"/>
      <c r="Q2796" s="48"/>
      <c r="R2796" s="48"/>
      <c r="S2796" s="48"/>
      <c r="T2796" s="115"/>
      <c r="U2796" s="115"/>
      <c r="V2796" s="115"/>
      <c r="W2796" s="115"/>
      <c r="AN2796" s="280"/>
      <c r="AO2796" s="280"/>
      <c r="AP2796" s="280"/>
      <c r="AQ2796" s="280"/>
      <c r="AR2796" s="280"/>
      <c r="AS2796" s="280"/>
      <c r="AT2796" s="280"/>
    </row>
    <row r="2797" spans="1:46" ht="24" customHeight="1">
      <c r="A2797" s="8"/>
      <c r="B2797" s="61" t="str">
        <f>IF($C$1="ENG","model","модель")</f>
        <v>модель</v>
      </c>
      <c r="C2797" s="434"/>
      <c r="D2797" s="562" t="str">
        <f>IF($C$1="ENG","price","Ціна")</f>
        <v>Ціна</v>
      </c>
      <c r="E2797" s="563"/>
      <c r="F2797" s="10"/>
      <c r="G2797" s="10"/>
      <c r="H2797" s="10"/>
      <c r="I2797" s="48"/>
      <c r="J2797" s="48"/>
      <c r="K2797" s="48"/>
      <c r="L2797" s="47"/>
      <c r="M2797" s="47"/>
      <c r="N2797" s="47"/>
      <c r="O2797" s="47"/>
      <c r="P2797" s="47"/>
      <c r="Q2797" s="47"/>
      <c r="R2797" s="47"/>
      <c r="S2797" s="47"/>
    </row>
    <row r="2798" spans="1:46" ht="34.5" customHeight="1">
      <c r="A2798" s="8"/>
      <c r="B2798" s="13" t="str">
        <f>IF($C$1="ENG","Door Lock STANDARD","Замок STANDARD")</f>
        <v>Замок STANDARD</v>
      </c>
      <c r="C2798" s="435"/>
      <c r="D2798" s="15">
        <f t="shared" ref="D2798:D2801" si="461">IF(AC2798="","",(1-$W$2)*(AC2798/1.2))</f>
        <v>333.33333333333337</v>
      </c>
      <c r="E2798" s="64">
        <f t="shared" ref="E2798:E2801" si="462">IF($W$5=0.2,D2798*1.2,D2798)/$W$4</f>
        <v>400.00000000000006</v>
      </c>
      <c r="F2798" s="62"/>
      <c r="G2798" s="47"/>
      <c r="H2798" s="47"/>
      <c r="I2798" s="47"/>
      <c r="J2798" s="47"/>
      <c r="K2798" s="47"/>
      <c r="L2798" s="28"/>
      <c r="M2798" s="59"/>
      <c r="N2798" s="28"/>
      <c r="O2798" s="29"/>
      <c r="P2798" s="28"/>
      <c r="Q2798" s="59"/>
      <c r="R2798" s="28"/>
      <c r="S2798" s="29"/>
      <c r="T2798" s="42"/>
      <c r="U2798" s="30"/>
      <c r="W2798" s="20"/>
      <c r="X2798" s="22"/>
      <c r="Y2798" s="22"/>
      <c r="Z2798" s="22"/>
      <c r="AA2798" s="22"/>
      <c r="AB2798" s="22"/>
      <c r="AC2798" s="332">
        <v>400.00000000000006</v>
      </c>
      <c r="AD2798" s="289"/>
      <c r="AE2798" s="289"/>
      <c r="AF2798" s="289"/>
      <c r="AG2798" s="289"/>
      <c r="AH2798" s="289"/>
      <c r="AI2798" s="289"/>
      <c r="AJ2798" s="289"/>
      <c r="AK2798" s="289"/>
      <c r="AL2798" s="289"/>
    </row>
    <row r="2799" spans="1:46" ht="34.5" customHeight="1">
      <c r="A2799" s="8"/>
      <c r="B2799" s="16" t="str">
        <f>IF($C$1="ENG","Door hinge for rabbit door","завіса штирьова")</f>
        <v>завіса штирьова</v>
      </c>
      <c r="C2799" s="436"/>
      <c r="D2799" s="18">
        <f t="shared" si="461"/>
        <v>100</v>
      </c>
      <c r="E2799" s="66">
        <f t="shared" si="462"/>
        <v>120</v>
      </c>
      <c r="F2799" s="65"/>
      <c r="G2799" s="59"/>
      <c r="H2799" s="105"/>
      <c r="I2799" s="106"/>
      <c r="J2799" s="28"/>
      <c r="K2799" s="29"/>
      <c r="L2799" s="28"/>
      <c r="M2799" s="59"/>
      <c r="N2799" s="28"/>
      <c r="O2799" s="29"/>
      <c r="P2799" s="28"/>
      <c r="Q2799" s="59"/>
      <c r="R2799" s="28"/>
      <c r="S2799" s="29"/>
      <c r="T2799" s="42"/>
      <c r="U2799" s="30"/>
      <c r="W2799" s="30"/>
      <c r="AC2799" s="332">
        <v>120</v>
      </c>
      <c r="AD2799" s="289"/>
      <c r="AE2799" s="289"/>
      <c r="AF2799" s="289"/>
      <c r="AG2799" s="289"/>
      <c r="AH2799" s="289"/>
      <c r="AI2799" s="289"/>
      <c r="AJ2799" s="289"/>
      <c r="AK2799" s="289"/>
      <c r="AL2799" s="289"/>
    </row>
    <row r="2800" spans="1:46" ht="34.5" customHeight="1">
      <c r="A2800" s="8"/>
      <c r="B2800" s="16" t="str">
        <f>IF($C$1="ENG","Door lock hatch","відповідна планка")</f>
        <v>відповідна планка</v>
      </c>
      <c r="C2800" s="436"/>
      <c r="D2800" s="18">
        <f t="shared" si="461"/>
        <v>100</v>
      </c>
      <c r="E2800" s="66">
        <f t="shared" si="462"/>
        <v>120</v>
      </c>
      <c r="F2800" s="65"/>
      <c r="G2800" s="59"/>
      <c r="H2800" s="105"/>
      <c r="I2800" s="106"/>
      <c r="J2800" s="28"/>
      <c r="K2800" s="29"/>
      <c r="L2800" s="28"/>
      <c r="M2800" s="59"/>
      <c r="N2800" s="28"/>
      <c r="O2800" s="29"/>
      <c r="P2800" s="28"/>
      <c r="Q2800" s="59"/>
      <c r="R2800" s="28"/>
      <c r="S2800" s="29"/>
      <c r="T2800" s="42"/>
      <c r="U2800" s="30"/>
      <c r="W2800" s="30"/>
      <c r="AC2800" s="332">
        <v>120</v>
      </c>
      <c r="AD2800" s="289"/>
      <c r="AE2800" s="289"/>
      <c r="AF2800" s="289"/>
      <c r="AG2800" s="289"/>
      <c r="AH2800" s="289"/>
      <c r="AI2800" s="289"/>
      <c r="AJ2800" s="289"/>
      <c r="AK2800" s="289"/>
      <c r="AL2800" s="289"/>
    </row>
    <row r="2801" spans="2:38" ht="34.5" customHeight="1">
      <c r="B2801" s="23" t="str">
        <f>IF($C$1="ENG","Door lock latch","Шпінгалет")</f>
        <v>Шпінгалет</v>
      </c>
      <c r="C2801" s="437"/>
      <c r="D2801" s="68">
        <f t="shared" si="461"/>
        <v>166.66666666666669</v>
      </c>
      <c r="E2801" s="69">
        <f t="shared" si="462"/>
        <v>200.00000000000003</v>
      </c>
      <c r="F2801" s="65"/>
      <c r="G2801" s="59"/>
      <c r="H2801" s="105"/>
      <c r="I2801" s="106"/>
      <c r="J2801" s="28"/>
      <c r="K2801" s="29"/>
      <c r="AC2801" s="332">
        <v>200.00000000000003</v>
      </c>
      <c r="AD2801" s="289"/>
      <c r="AE2801" s="289"/>
      <c r="AF2801" s="289"/>
      <c r="AG2801" s="289"/>
      <c r="AH2801" s="289"/>
      <c r="AI2801" s="289"/>
      <c r="AJ2801" s="289"/>
      <c r="AK2801" s="289"/>
      <c r="AL2801" s="289"/>
    </row>
    <row r="2802" spans="2:38" ht="14.25" customHeight="1">
      <c r="F2802" s="26"/>
      <c r="G2802" s="59"/>
      <c r="H2802" s="105"/>
      <c r="I2802" s="106"/>
    </row>
    <row r="2803" spans="2:38" ht="14.25" customHeight="1">
      <c r="C2803" s="245"/>
      <c r="D2803" s="26"/>
      <c r="E2803" s="26"/>
      <c r="F2803" s="26"/>
      <c r="G2803" s="26"/>
      <c r="H2803" s="5"/>
    </row>
    <row r="2804" spans="2:38" ht="14.25" customHeight="1">
      <c r="C2804" s="245"/>
      <c r="D2804" s="26"/>
      <c r="E2804" s="26"/>
      <c r="F2804" s="26"/>
      <c r="G2804" s="26"/>
      <c r="H2804" s="5"/>
    </row>
    <row r="2805" spans="2:38">
      <c r="C2805" s="245"/>
      <c r="D2805" s="26"/>
      <c r="E2805" s="26"/>
      <c r="F2805" s="26"/>
      <c r="G2805" s="26"/>
      <c r="H2805" s="5"/>
    </row>
    <row r="2806" spans="2:38">
      <c r="C2806" s="245"/>
      <c r="D2806" s="26"/>
      <c r="E2806" s="26"/>
    </row>
    <row r="2807" spans="2:38">
      <c r="C2807" s="245"/>
      <c r="D2807" s="26"/>
      <c r="E2807" s="26"/>
    </row>
  </sheetData>
  <sheetProtection password="D276" sheet="1" objects="1" scenarios="1" insertColumns="0" insertRows="0" deleteColumns="0"/>
  <mergeCells count="1028">
    <mergeCell ref="T1537:W1537"/>
    <mergeCell ref="U1268:W1268"/>
    <mergeCell ref="T1611:W1611"/>
    <mergeCell ref="U1635:W1635"/>
    <mergeCell ref="U1413:W1413"/>
    <mergeCell ref="J1170:K1170"/>
    <mergeCell ref="H1463:I1463"/>
    <mergeCell ref="H1465:I1465"/>
    <mergeCell ref="H1318:I1318"/>
    <mergeCell ref="F477:G477"/>
    <mergeCell ref="D478:E478"/>
    <mergeCell ref="F478:G478"/>
    <mergeCell ref="B1557:C1557"/>
    <mergeCell ref="B1548:C1548"/>
    <mergeCell ref="B1929:C1929"/>
    <mergeCell ref="B2261:C2261"/>
    <mergeCell ref="F2188:G2188"/>
    <mergeCell ref="J796:K796"/>
    <mergeCell ref="T793:W793"/>
    <mergeCell ref="H725:I725"/>
    <mergeCell ref="D724:E724"/>
    <mergeCell ref="H721:I721"/>
    <mergeCell ref="D795:E795"/>
    <mergeCell ref="H795:I795"/>
    <mergeCell ref="T1012:W1012"/>
    <mergeCell ref="D1466:E1466"/>
    <mergeCell ref="D1615:E1615"/>
    <mergeCell ref="B1390:C1390"/>
    <mergeCell ref="B1480:C1480"/>
    <mergeCell ref="B1537:C1537"/>
    <mergeCell ref="B1338:C1338"/>
    <mergeCell ref="B961:C961"/>
    <mergeCell ref="B953:C953"/>
    <mergeCell ref="B955:C955"/>
    <mergeCell ref="B957:C957"/>
    <mergeCell ref="B958:C958"/>
    <mergeCell ref="B959:C959"/>
    <mergeCell ref="B960:C960"/>
    <mergeCell ref="B951:C951"/>
    <mergeCell ref="B941:B943"/>
    <mergeCell ref="T1040:W1040"/>
    <mergeCell ref="B881:C881"/>
    <mergeCell ref="B954:C954"/>
    <mergeCell ref="B733:C733"/>
    <mergeCell ref="B882:C882"/>
    <mergeCell ref="B884:C884"/>
    <mergeCell ref="B879:C879"/>
    <mergeCell ref="B949:C949"/>
    <mergeCell ref="B950:C950"/>
    <mergeCell ref="B734:C734"/>
    <mergeCell ref="B736:C736"/>
    <mergeCell ref="B379:C379"/>
    <mergeCell ref="B493:C493"/>
    <mergeCell ref="B876:C876"/>
    <mergeCell ref="B498:C498"/>
    <mergeCell ref="B383:C383"/>
    <mergeCell ref="B669:C669"/>
    <mergeCell ref="B670:C670"/>
    <mergeCell ref="B723:B725"/>
    <mergeCell ref="B742:C742"/>
    <mergeCell ref="B809:C809"/>
    <mergeCell ref="B813:C813"/>
    <mergeCell ref="B804:C804"/>
    <mergeCell ref="B664:C664"/>
    <mergeCell ref="B807:C807"/>
    <mergeCell ref="B805:C805"/>
    <mergeCell ref="B795:B797"/>
    <mergeCell ref="B424:C424"/>
    <mergeCell ref="B412:E412"/>
    <mergeCell ref="B414:B416"/>
    <mergeCell ref="D414:E414"/>
    <mergeCell ref="D415:E415"/>
    <mergeCell ref="D416:E416"/>
    <mergeCell ref="S161:W161"/>
    <mergeCell ref="S287:W287"/>
    <mergeCell ref="B364:E364"/>
    <mergeCell ref="S574:W574"/>
    <mergeCell ref="F165:G165"/>
    <mergeCell ref="F1394:G1394"/>
    <mergeCell ref="F1465:G1465"/>
    <mergeCell ref="B588:C588"/>
    <mergeCell ref="B594:C594"/>
    <mergeCell ref="B1033:C1033"/>
    <mergeCell ref="B576:B578"/>
    <mergeCell ref="B593:C593"/>
    <mergeCell ref="B595:C595"/>
    <mergeCell ref="F1016:G1016"/>
    <mergeCell ref="F577:G577"/>
    <mergeCell ref="B587:C587"/>
    <mergeCell ref="B811:C811"/>
    <mergeCell ref="B812:C812"/>
    <mergeCell ref="D796:E796"/>
    <mergeCell ref="D576:E576"/>
    <mergeCell ref="F1015:G1015"/>
    <mergeCell ref="F1092:G1092"/>
    <mergeCell ref="T499:W499"/>
    <mergeCell ref="F1322:G1322"/>
    <mergeCell ref="D797:E797"/>
    <mergeCell ref="F797:G797"/>
    <mergeCell ref="B741:C741"/>
    <mergeCell ref="B806:C806"/>
    <mergeCell ref="D941:E941"/>
    <mergeCell ref="B815:C815"/>
    <mergeCell ref="B814:C814"/>
    <mergeCell ref="B887:C887"/>
    <mergeCell ref="D2797:E2797"/>
    <mergeCell ref="D2456:E2456"/>
    <mergeCell ref="F2663:G2663"/>
    <mergeCell ref="F2664:G2664"/>
    <mergeCell ref="B1628:C1628"/>
    <mergeCell ref="B1630:C1630"/>
    <mergeCell ref="B1631:C1631"/>
    <mergeCell ref="B1632:C1632"/>
    <mergeCell ref="B1926:C1926"/>
    <mergeCell ref="B1833:C1833"/>
    <mergeCell ref="B1853:C1853"/>
    <mergeCell ref="B1781:C1781"/>
    <mergeCell ref="B1779:C1779"/>
    <mergeCell ref="B1772:C1772"/>
    <mergeCell ref="B1780:C1780"/>
    <mergeCell ref="B1633:C1633"/>
    <mergeCell ref="B1634:C1634"/>
    <mergeCell ref="B1774:C1774"/>
    <mergeCell ref="C2607:C2608"/>
    <mergeCell ref="B2603:C2603"/>
    <mergeCell ref="E2327:K2327"/>
    <mergeCell ref="E2510:K2510"/>
    <mergeCell ref="H2315:K2315"/>
    <mergeCell ref="H2387:K2387"/>
    <mergeCell ref="D2739:E2739"/>
    <mergeCell ref="H2605:I2605"/>
    <mergeCell ref="B2795:C2795"/>
    <mergeCell ref="B2737:C2737"/>
    <mergeCell ref="B2194:C2194"/>
    <mergeCell ref="B2186:C2186"/>
    <mergeCell ref="B2245:C2245"/>
    <mergeCell ref="B2661:C2661"/>
    <mergeCell ref="B106:C106"/>
    <mergeCell ref="E4:I4"/>
    <mergeCell ref="F7:G7"/>
    <mergeCell ref="B32:C32"/>
    <mergeCell ref="F1615:G1615"/>
    <mergeCell ref="H1615:I1615"/>
    <mergeCell ref="H2316:I2316"/>
    <mergeCell ref="D1836:E1836"/>
    <mergeCell ref="D1837:E1837"/>
    <mergeCell ref="F1914:G1914"/>
    <mergeCell ref="H2248:I2248"/>
    <mergeCell ref="F2122:G2122"/>
    <mergeCell ref="F2124:G2124"/>
    <mergeCell ref="D2188:E2188"/>
    <mergeCell ref="D2664:E2664"/>
    <mergeCell ref="H2603:I2603"/>
    <mergeCell ref="F2055:G2055"/>
    <mergeCell ref="D2056:E2056"/>
    <mergeCell ref="F2056:G2056"/>
    <mergeCell ref="D1987:E1987"/>
    <mergeCell ref="F1688:G1688"/>
    <mergeCell ref="E2453:K2453"/>
    <mergeCell ref="H2456:I2456"/>
    <mergeCell ref="D2455:G2455"/>
    <mergeCell ref="H2455:K2455"/>
    <mergeCell ref="F2189:G2189"/>
    <mergeCell ref="D2189:E2189"/>
    <mergeCell ref="E2245:K2245"/>
    <mergeCell ref="D943:E943"/>
    <mergeCell ref="B1184:C1184"/>
    <mergeCell ref="B1258:C1258"/>
    <mergeCell ref="B1254:C1254"/>
    <mergeCell ref="E1:K1"/>
    <mergeCell ref="E2:K2"/>
    <mergeCell ref="D92:E92"/>
    <mergeCell ref="J576:K576"/>
    <mergeCell ref="J577:K577"/>
    <mergeCell ref="H797:I797"/>
    <mergeCell ref="H796:I796"/>
    <mergeCell ref="J795:K795"/>
    <mergeCell ref="J797:K797"/>
    <mergeCell ref="F291:G291"/>
    <mergeCell ref="D291:E291"/>
    <mergeCell ref="H165:I165"/>
    <mergeCell ref="F163:G163"/>
    <mergeCell ref="F164:G164"/>
    <mergeCell ref="F290:G290"/>
    <mergeCell ref="D163:E163"/>
    <mergeCell ref="D725:E725"/>
    <mergeCell ref="F725:G725"/>
    <mergeCell ref="D723:E723"/>
    <mergeCell ref="D12:E12"/>
    <mergeCell ref="F12:G12"/>
    <mergeCell ref="J723:K723"/>
    <mergeCell ref="H724:I724"/>
    <mergeCell ref="J724:K724"/>
    <mergeCell ref="H524:I524"/>
    <mergeCell ref="D526:E526"/>
    <mergeCell ref="F526:G526"/>
    <mergeCell ref="D527:E527"/>
    <mergeCell ref="F527:G527"/>
    <mergeCell ref="D528:E528"/>
    <mergeCell ref="F528:G528"/>
    <mergeCell ref="F414:G414"/>
    <mergeCell ref="B105:C105"/>
    <mergeCell ref="B101:C101"/>
    <mergeCell ref="H7:I7"/>
    <mergeCell ref="D14:E14"/>
    <mergeCell ref="B12:B14"/>
    <mergeCell ref="B25:C25"/>
    <mergeCell ref="B99:C99"/>
    <mergeCell ref="B35:C35"/>
    <mergeCell ref="B29:C29"/>
    <mergeCell ref="B102:C102"/>
    <mergeCell ref="B31:C31"/>
    <mergeCell ref="V7:W7"/>
    <mergeCell ref="B88:C88"/>
    <mergeCell ref="B8:C8"/>
    <mergeCell ref="B7:C7"/>
    <mergeCell ref="B26:C26"/>
    <mergeCell ref="T7:U7"/>
    <mergeCell ref="J7:K7"/>
    <mergeCell ref="P7:Q7"/>
    <mergeCell ref="R7:S7"/>
    <mergeCell ref="B10:E10"/>
    <mergeCell ref="S88:W88"/>
    <mergeCell ref="S38:W38"/>
    <mergeCell ref="D7:E7"/>
    <mergeCell ref="B24:C24"/>
    <mergeCell ref="B33:C33"/>
    <mergeCell ref="B34:C34"/>
    <mergeCell ref="B37:C37"/>
    <mergeCell ref="N7:O7"/>
    <mergeCell ref="B103:C103"/>
    <mergeCell ref="D13:E13"/>
    <mergeCell ref="B36:C36"/>
    <mergeCell ref="T188:W188"/>
    <mergeCell ref="L578:M578"/>
    <mergeCell ref="L1014:M1014"/>
    <mergeCell ref="L1015:M1015"/>
    <mergeCell ref="L1016:M1016"/>
    <mergeCell ref="H577:I577"/>
    <mergeCell ref="F576:G576"/>
    <mergeCell ref="D577:E577"/>
    <mergeCell ref="B738:C738"/>
    <mergeCell ref="B739:C739"/>
    <mergeCell ref="B740:C740"/>
    <mergeCell ref="B793:C793"/>
    <mergeCell ref="B803:C803"/>
    <mergeCell ref="B384:C384"/>
    <mergeCell ref="B731:C731"/>
    <mergeCell ref="B732:C732"/>
    <mergeCell ref="B666:C666"/>
    <mergeCell ref="F796:G796"/>
    <mergeCell ref="B883:C883"/>
    <mergeCell ref="B886:C886"/>
    <mergeCell ref="B591:C591"/>
    <mergeCell ref="B665:C665"/>
    <mergeCell ref="B737:C737"/>
    <mergeCell ref="B574:C574"/>
    <mergeCell ref="B585:C585"/>
    <mergeCell ref="B524:C524"/>
    <mergeCell ref="B476:B478"/>
    <mergeCell ref="B888:C888"/>
    <mergeCell ref="B885:C885"/>
    <mergeCell ref="B667:C667"/>
    <mergeCell ref="B868:B870"/>
    <mergeCell ref="B586:C586"/>
    <mergeCell ref="B2402:C2402"/>
    <mergeCell ref="B2313:C2313"/>
    <mergeCell ref="B2262:C2262"/>
    <mergeCell ref="E2313:K2313"/>
    <mergeCell ref="D2247:G2247"/>
    <mergeCell ref="B2453:C2453"/>
    <mergeCell ref="D2387:G2387"/>
    <mergeCell ref="F2388:G2388"/>
    <mergeCell ref="D2388:E2388"/>
    <mergeCell ref="B2334:C2334"/>
    <mergeCell ref="H2247:K2247"/>
    <mergeCell ref="J2248:K2248"/>
    <mergeCell ref="H1092:I1092"/>
    <mergeCell ref="J1320:K1320"/>
    <mergeCell ref="J1321:K1321"/>
    <mergeCell ref="J1466:K1466"/>
    <mergeCell ref="J1394:K1394"/>
    <mergeCell ref="J1243:K1243"/>
    <mergeCell ref="H1394:I1394"/>
    <mergeCell ref="H1540:I1540"/>
    <mergeCell ref="J1540:K1540"/>
    <mergeCell ref="H1539:I1539"/>
    <mergeCell ref="H1321:I1321"/>
    <mergeCell ref="H1390:I1390"/>
    <mergeCell ref="B1337:C1337"/>
    <mergeCell ref="B1339:C1339"/>
    <mergeCell ref="B1329:C1329"/>
    <mergeCell ref="B1170:B1172"/>
    <mergeCell ref="B1549:C1549"/>
    <mergeCell ref="B1486:C1486"/>
    <mergeCell ref="B1476:C1476"/>
    <mergeCell ref="B1925:C1925"/>
    <mergeCell ref="D289:E289"/>
    <mergeCell ref="H576:I576"/>
    <mergeCell ref="B661:C661"/>
    <mergeCell ref="B721:C721"/>
    <mergeCell ref="B659:C659"/>
    <mergeCell ref="F578:G578"/>
    <mergeCell ref="H1090:I1090"/>
    <mergeCell ref="J1016:K1016"/>
    <mergeCell ref="D868:E868"/>
    <mergeCell ref="H941:I941"/>
    <mergeCell ref="H942:I942"/>
    <mergeCell ref="B2130:C2130"/>
    <mergeCell ref="H1241:I1241"/>
    <mergeCell ref="H1245:I1245"/>
    <mergeCell ref="H1093:I1093"/>
    <mergeCell ref="B2122:B2124"/>
    <mergeCell ref="B1030:C1030"/>
    <mergeCell ref="D942:E942"/>
    <mergeCell ref="B1335:C1335"/>
    <mergeCell ref="B1336:C1336"/>
    <mergeCell ref="J1171:K1171"/>
    <mergeCell ref="J1172:K1172"/>
    <mergeCell ref="D1540:E1540"/>
    <mergeCell ref="D1393:E1393"/>
    <mergeCell ref="J1092:K1092"/>
    <mergeCell ref="J1392:K1392"/>
    <mergeCell ref="D1467:E1467"/>
    <mergeCell ref="D1322:E1322"/>
    <mergeCell ref="J1094:K1094"/>
    <mergeCell ref="D1321:E1321"/>
    <mergeCell ref="D1912:E1912"/>
    <mergeCell ref="D578:E578"/>
    <mergeCell ref="J2664:K2664"/>
    <mergeCell ref="D2605:E2605"/>
    <mergeCell ref="F2605:G2605"/>
    <mergeCell ref="H2661:I2661"/>
    <mergeCell ref="D2606:E2606"/>
    <mergeCell ref="D2663:E2663"/>
    <mergeCell ref="F2606:G2606"/>
    <mergeCell ref="J2606:K2606"/>
    <mergeCell ref="B2517:C2517"/>
    <mergeCell ref="J2605:K2605"/>
    <mergeCell ref="B2385:C2385"/>
    <mergeCell ref="E2385:K2385"/>
    <mergeCell ref="B1854:C1854"/>
    <mergeCell ref="B1930:C1930"/>
    <mergeCell ref="B1851:C1851"/>
    <mergeCell ref="B1858:C1858"/>
    <mergeCell ref="B1859:C1859"/>
    <mergeCell ref="H2606:I2606"/>
    <mergeCell ref="H2663:I2663"/>
    <mergeCell ref="H2664:I2664"/>
    <mergeCell ref="B2277:C2277"/>
    <mergeCell ref="E2277:K2277"/>
    <mergeCell ref="D2279:G2279"/>
    <mergeCell ref="H2279:K2279"/>
    <mergeCell ref="D2280:E2280"/>
    <mergeCell ref="F2280:G2280"/>
    <mergeCell ref="H2280:I2280"/>
    <mergeCell ref="J2280:K2280"/>
    <mergeCell ref="B2476:C2476"/>
    <mergeCell ref="B2002:C2002"/>
    <mergeCell ref="B2120:C2120"/>
    <mergeCell ref="H2189:I2189"/>
    <mergeCell ref="T364:W364"/>
    <mergeCell ref="H574:I574"/>
    <mergeCell ref="L576:M576"/>
    <mergeCell ref="L577:M577"/>
    <mergeCell ref="T647:W647"/>
    <mergeCell ref="D649:E649"/>
    <mergeCell ref="F649:G649"/>
    <mergeCell ref="H649:I649"/>
    <mergeCell ref="J649:K649"/>
    <mergeCell ref="D650:E650"/>
    <mergeCell ref="F650:G650"/>
    <mergeCell ref="L649:M649"/>
    <mergeCell ref="D651:E651"/>
    <mergeCell ref="F651:G651"/>
    <mergeCell ref="H651:I651"/>
    <mergeCell ref="J651:K651"/>
    <mergeCell ref="T671:W671"/>
    <mergeCell ref="T597:W597"/>
    <mergeCell ref="T548:W548"/>
    <mergeCell ref="S524:W524"/>
    <mergeCell ref="T425:W425"/>
    <mergeCell ref="H414:I414"/>
    <mergeCell ref="F415:G415"/>
    <mergeCell ref="H415:I415"/>
    <mergeCell ref="F416:G416"/>
    <mergeCell ref="H416:I416"/>
    <mergeCell ref="T412:W412"/>
    <mergeCell ref="H474:I474"/>
    <mergeCell ref="S474:W474"/>
    <mergeCell ref="D476:E476"/>
    <mergeCell ref="F476:G476"/>
    <mergeCell ref="D477:E477"/>
    <mergeCell ref="T889:W889"/>
    <mergeCell ref="H1015:I1015"/>
    <mergeCell ref="F1014:G1014"/>
    <mergeCell ref="H1012:I1012"/>
    <mergeCell ref="J1015:K1015"/>
    <mergeCell ref="H1016:I1016"/>
    <mergeCell ref="H939:I939"/>
    <mergeCell ref="H866:I866"/>
    <mergeCell ref="J869:K869"/>
    <mergeCell ref="D1014:E1014"/>
    <mergeCell ref="D870:E870"/>
    <mergeCell ref="D869:E869"/>
    <mergeCell ref="H723:I723"/>
    <mergeCell ref="F869:G869"/>
    <mergeCell ref="F870:G870"/>
    <mergeCell ref="T314:W314"/>
    <mergeCell ref="T386:W386"/>
    <mergeCell ref="J942:K942"/>
    <mergeCell ref="J868:K868"/>
    <mergeCell ref="H647:I647"/>
    <mergeCell ref="F724:G724"/>
    <mergeCell ref="J1014:K1014"/>
    <mergeCell ref="T743:W743"/>
    <mergeCell ref="H870:I870"/>
    <mergeCell ref="J870:K870"/>
    <mergeCell ref="H868:I868"/>
    <mergeCell ref="F868:G868"/>
    <mergeCell ref="F941:G941"/>
    <mergeCell ref="H869:I869"/>
    <mergeCell ref="L795:M795"/>
    <mergeCell ref="L796:M796"/>
    <mergeCell ref="L797:M797"/>
    <mergeCell ref="T866:W866"/>
    <mergeCell ref="T962:W962"/>
    <mergeCell ref="F943:G943"/>
    <mergeCell ref="H943:I943"/>
    <mergeCell ref="J943:K943"/>
    <mergeCell ref="F942:G942"/>
    <mergeCell ref="T816:W816"/>
    <mergeCell ref="H650:I650"/>
    <mergeCell ref="F795:G795"/>
    <mergeCell ref="J725:K725"/>
    <mergeCell ref="F723:G723"/>
    <mergeCell ref="T721:W721"/>
    <mergeCell ref="P2315:S2315"/>
    <mergeCell ref="T2186:W2186"/>
    <mergeCell ref="P2245:S2245"/>
    <mergeCell ref="H2188:I2188"/>
    <mergeCell ref="H2186:I2186"/>
    <mergeCell ref="J2188:K2188"/>
    <mergeCell ref="L2277:O2277"/>
    <mergeCell ref="P2277:S2277"/>
    <mergeCell ref="L2279:O2279"/>
    <mergeCell ref="P2279:S2279"/>
    <mergeCell ref="L2280:M2280"/>
    <mergeCell ref="N2280:O2280"/>
    <mergeCell ref="P2280:Q2280"/>
    <mergeCell ref="T1168:W1168"/>
    <mergeCell ref="U1340:W1340"/>
    <mergeCell ref="F1170:G1170"/>
    <mergeCell ref="F1171:G1171"/>
    <mergeCell ref="H1171:I1171"/>
    <mergeCell ref="J1465:K1465"/>
    <mergeCell ref="J1093:K1093"/>
    <mergeCell ref="T2795:W2795"/>
    <mergeCell ref="T2263:W2263"/>
    <mergeCell ref="T2313:W2313"/>
    <mergeCell ref="T2335:W2335"/>
    <mergeCell ref="T2661:W2661"/>
    <mergeCell ref="T2737:W2737"/>
    <mergeCell ref="T2315:W2315"/>
    <mergeCell ref="T2687:W2687"/>
    <mergeCell ref="T2518:W2518"/>
    <mergeCell ref="T2603:W2603"/>
    <mergeCell ref="T2611:W2611"/>
    <mergeCell ref="T2745:W2745"/>
    <mergeCell ref="V2388:W2388"/>
    <mergeCell ref="V2456:W2456"/>
    <mergeCell ref="V2316:W2316"/>
    <mergeCell ref="T2316:U2316"/>
    <mergeCell ref="T2388:U2388"/>
    <mergeCell ref="T2277:W2277"/>
    <mergeCell ref="T2279:W2279"/>
    <mergeCell ref="T2477:W2477"/>
    <mergeCell ref="V2280:W2280"/>
    <mergeCell ref="T2280:U2280"/>
    <mergeCell ref="H1094:I1094"/>
    <mergeCell ref="H1168:I1168"/>
    <mergeCell ref="D1170:E1170"/>
    <mergeCell ref="D1243:E1243"/>
    <mergeCell ref="F1245:G1245"/>
    <mergeCell ref="P2456:Q2456"/>
    <mergeCell ref="R2456:S2456"/>
    <mergeCell ref="P2453:S2453"/>
    <mergeCell ref="T2453:W2453"/>
    <mergeCell ref="T2456:U2456"/>
    <mergeCell ref="T2247:W2247"/>
    <mergeCell ref="T2248:U2248"/>
    <mergeCell ref="V2248:W2248"/>
    <mergeCell ref="D2122:E2122"/>
    <mergeCell ref="D2124:E2124"/>
    <mergeCell ref="D2123:E2123"/>
    <mergeCell ref="D2316:E2316"/>
    <mergeCell ref="D2315:G2315"/>
    <mergeCell ref="D2248:E2248"/>
    <mergeCell ref="F2123:G2123"/>
    <mergeCell ref="P2313:S2313"/>
    <mergeCell ref="P2455:S2455"/>
    <mergeCell ref="T2455:W2455"/>
    <mergeCell ref="T2387:W2387"/>
    <mergeCell ref="P2388:Q2388"/>
    <mergeCell ref="T2403:W2403"/>
    <mergeCell ref="R2280:S2280"/>
    <mergeCell ref="T1860:W1860"/>
    <mergeCell ref="J1322:K1322"/>
    <mergeCell ref="T1390:W1390"/>
    <mergeCell ref="T1463:W1463"/>
    <mergeCell ref="U1487:W1487"/>
    <mergeCell ref="H2388:I2388"/>
    <mergeCell ref="J2316:K2316"/>
    <mergeCell ref="R2248:S2248"/>
    <mergeCell ref="P2248:Q2248"/>
    <mergeCell ref="B2134:C2134"/>
    <mergeCell ref="J2388:K2388"/>
    <mergeCell ref="B1698:C1698"/>
    <mergeCell ref="P2387:S2387"/>
    <mergeCell ref="N2388:O2388"/>
    <mergeCell ref="R2388:S2388"/>
    <mergeCell ref="B2001:C2001"/>
    <mergeCell ref="F1913:G1913"/>
    <mergeCell ref="J1914:K1914"/>
    <mergeCell ref="S2053:W2053"/>
    <mergeCell ref="T2070:W2070"/>
    <mergeCell ref="B2066:C2066"/>
    <mergeCell ref="H2055:I2055"/>
    <mergeCell ref="J2055:K2055"/>
    <mergeCell ref="H2056:I2056"/>
    <mergeCell ref="J2056:K2056"/>
    <mergeCell ref="H2057:I2057"/>
    <mergeCell ref="J2057:K2057"/>
    <mergeCell ref="B2055:B2057"/>
    <mergeCell ref="B2068:C2068"/>
    <mergeCell ref="B2067:C2067"/>
    <mergeCell ref="D2057:E2057"/>
    <mergeCell ref="F2057:G2057"/>
    <mergeCell ref="B1998:C1998"/>
    <mergeCell ref="B1985:C1985"/>
    <mergeCell ref="D1762:I1762"/>
    <mergeCell ref="B2285:C2285"/>
    <mergeCell ref="P2316:Q2316"/>
    <mergeCell ref="R2316:S2316"/>
    <mergeCell ref="P2385:S2385"/>
    <mergeCell ref="T2385:W2385"/>
    <mergeCell ref="T2245:W2245"/>
    <mergeCell ref="T2003:W2003"/>
    <mergeCell ref="H1913:I1913"/>
    <mergeCell ref="H1914:I1914"/>
    <mergeCell ref="T1985:W1985"/>
    <mergeCell ref="P2247:S2247"/>
    <mergeCell ref="T2195:W2195"/>
    <mergeCell ref="T2136:W2136"/>
    <mergeCell ref="B2000:C2000"/>
    <mergeCell ref="B2188:B2189"/>
    <mergeCell ref="B2133:C2133"/>
    <mergeCell ref="B1999:C1999"/>
    <mergeCell ref="B2069:C2069"/>
    <mergeCell ref="J2189:K2189"/>
    <mergeCell ref="T1935:W1935"/>
    <mergeCell ref="S2120:W2120"/>
    <mergeCell ref="F2248:G2248"/>
    <mergeCell ref="F2316:G2316"/>
    <mergeCell ref="B1708:C1708"/>
    <mergeCell ref="B1835:B1837"/>
    <mergeCell ref="B1855:C1855"/>
    <mergeCell ref="B1778:C1778"/>
    <mergeCell ref="B1773:C1773"/>
    <mergeCell ref="B1910:C1910"/>
    <mergeCell ref="B1848:C1848"/>
    <mergeCell ref="B1709:C1709"/>
    <mergeCell ref="B1852:C1852"/>
    <mergeCell ref="B1777:C1777"/>
    <mergeCell ref="B1934:C1934"/>
    <mergeCell ref="B1776:C1776"/>
    <mergeCell ref="B1771:C1771"/>
    <mergeCell ref="B1775:C1775"/>
    <mergeCell ref="B1849:C1849"/>
    <mergeCell ref="L2055:M2055"/>
    <mergeCell ref="B1850:C1850"/>
    <mergeCell ref="B2003:C2003"/>
    <mergeCell ref="D2055:E2055"/>
    <mergeCell ref="B1933:C1933"/>
    <mergeCell ref="D1913:E1913"/>
    <mergeCell ref="B1928:C1928"/>
    <mergeCell ref="D1914:E1914"/>
    <mergeCell ref="B1931:C1931"/>
    <mergeCell ref="B1932:C1932"/>
    <mergeCell ref="B1699:C1699"/>
    <mergeCell ref="B1265:C1265"/>
    <mergeCell ref="B1401:C1401"/>
    <mergeCell ref="T1910:W1910"/>
    <mergeCell ref="B1987:B1989"/>
    <mergeCell ref="D1988:E1988"/>
    <mergeCell ref="D1989:E1989"/>
    <mergeCell ref="B1703:C1703"/>
    <mergeCell ref="B1927:C1927"/>
    <mergeCell ref="B1912:B1914"/>
    <mergeCell ref="J1837:K1837"/>
    <mergeCell ref="J1615:K1615"/>
    <mergeCell ref="T1833:W1833"/>
    <mergeCell ref="B1623:C1623"/>
    <mergeCell ref="U1783:W1783"/>
    <mergeCell ref="B1857:C1857"/>
    <mergeCell ref="B1701:C1701"/>
    <mergeCell ref="D1689:E1689"/>
    <mergeCell ref="B1782:C1782"/>
    <mergeCell ref="B1856:C1856"/>
    <mergeCell ref="D1835:E1835"/>
    <mergeCell ref="F1835:G1835"/>
    <mergeCell ref="B1687:B1689"/>
    <mergeCell ref="D1687:E1687"/>
    <mergeCell ref="D1688:E1688"/>
    <mergeCell ref="D1392:E1392"/>
    <mergeCell ref="B1707:C1707"/>
    <mergeCell ref="F1687:G1687"/>
    <mergeCell ref="H1687:I1687"/>
    <mergeCell ref="J1687:K1687"/>
    <mergeCell ref="T1760:W1760"/>
    <mergeCell ref="H1688:I1688"/>
    <mergeCell ref="B1403:C1403"/>
    <mergeCell ref="B1181:C1181"/>
    <mergeCell ref="J1614:K1614"/>
    <mergeCell ref="J1835:K1835"/>
    <mergeCell ref="J1836:K1836"/>
    <mergeCell ref="F1836:G1836"/>
    <mergeCell ref="B1479:C1479"/>
    <mergeCell ref="B1241:C1241"/>
    <mergeCell ref="B1408:C1408"/>
    <mergeCell ref="B1409:C1409"/>
    <mergeCell ref="B1410:C1410"/>
    <mergeCell ref="B1474:C1474"/>
    <mergeCell ref="B1411:C1411"/>
    <mergeCell ref="B1412:C1412"/>
    <mergeCell ref="B1463:C1463"/>
    <mergeCell ref="B1465:B1467"/>
    <mergeCell ref="B1400:C1400"/>
    <mergeCell ref="B1331:C1331"/>
    <mergeCell ref="B1333:C1333"/>
    <mergeCell ref="B1257:C1257"/>
    <mergeCell ref="B1259:C1259"/>
    <mergeCell ref="B1334:C1334"/>
    <mergeCell ref="B1318:C1318"/>
    <mergeCell ref="B1320:B1322"/>
    <mergeCell ref="J1244:K1244"/>
    <mergeCell ref="J1245:K1245"/>
    <mergeCell ref="B1477:C1477"/>
    <mergeCell ref="F1614:G1614"/>
    <mergeCell ref="B1706:C1706"/>
    <mergeCell ref="H1611:I1611"/>
    <mergeCell ref="B1704:C1704"/>
    <mergeCell ref="B1539:B1541"/>
    <mergeCell ref="D1245:E1245"/>
    <mergeCell ref="D1171:E1171"/>
    <mergeCell ref="F1243:G1243"/>
    <mergeCell ref="B1189:C1189"/>
    <mergeCell ref="B1185:C1185"/>
    <mergeCell ref="L1243:M1243"/>
    <mergeCell ref="L1244:M1244"/>
    <mergeCell ref="L1245:M1245"/>
    <mergeCell ref="B1182:C1182"/>
    <mergeCell ref="D1172:E1172"/>
    <mergeCell ref="F1172:G1172"/>
    <mergeCell ref="H1172:I1172"/>
    <mergeCell ref="B1187:C1187"/>
    <mergeCell ref="B1190:C1190"/>
    <mergeCell ref="B1243:B1245"/>
    <mergeCell ref="T1318:W1318"/>
    <mergeCell ref="B1392:B1394"/>
    <mergeCell ref="B1267:C1267"/>
    <mergeCell ref="B1262:C1262"/>
    <mergeCell ref="B1328:C1328"/>
    <mergeCell ref="B1264:C1264"/>
    <mergeCell ref="B1332:C1332"/>
    <mergeCell ref="H1244:I1244"/>
    <mergeCell ref="J1393:K1393"/>
    <mergeCell ref="H1322:I1322"/>
    <mergeCell ref="H1320:I1320"/>
    <mergeCell ref="H1243:I1243"/>
    <mergeCell ref="F1466:G1466"/>
    <mergeCell ref="F1912:G1912"/>
    <mergeCell ref="H1764:I1764"/>
    <mergeCell ref="L1322:M1322"/>
    <mergeCell ref="L1392:M1392"/>
    <mergeCell ref="L1393:M1393"/>
    <mergeCell ref="B1256:C1256"/>
    <mergeCell ref="F1321:G1321"/>
    <mergeCell ref="F1244:G1244"/>
    <mergeCell ref="B1260:C1260"/>
    <mergeCell ref="B1405:C1405"/>
    <mergeCell ref="D1394:E1394"/>
    <mergeCell ref="D1465:E1465"/>
    <mergeCell ref="D1320:E1320"/>
    <mergeCell ref="L1170:M1170"/>
    <mergeCell ref="L1171:M1171"/>
    <mergeCell ref="L1172:M1172"/>
    <mergeCell ref="B1475:C1475"/>
    <mergeCell ref="B1404:C1404"/>
    <mergeCell ref="B1406:C1406"/>
    <mergeCell ref="B1330:C1330"/>
    <mergeCell ref="B1478:C1478"/>
    <mergeCell ref="B1482:C1482"/>
    <mergeCell ref="B1483:C1483"/>
    <mergeCell ref="B1484:C1484"/>
    <mergeCell ref="B1485:C1485"/>
    <mergeCell ref="F1392:G1392"/>
    <mergeCell ref="H1392:I1392"/>
    <mergeCell ref="F1393:G1393"/>
    <mergeCell ref="H1393:I1393"/>
    <mergeCell ref="B1255:C1255"/>
    <mergeCell ref="D1244:E1244"/>
    <mergeCell ref="T1118:W1118"/>
    <mergeCell ref="T1710:W1710"/>
    <mergeCell ref="F1467:G1467"/>
    <mergeCell ref="F1320:G1320"/>
    <mergeCell ref="J1764:K1764"/>
    <mergeCell ref="F1539:G1539"/>
    <mergeCell ref="J1539:K1539"/>
    <mergeCell ref="H1541:I1541"/>
    <mergeCell ref="J1541:K1541"/>
    <mergeCell ref="H1467:I1467"/>
    <mergeCell ref="H1912:I1912"/>
    <mergeCell ref="H1837:I1837"/>
    <mergeCell ref="F1837:G1837"/>
    <mergeCell ref="D1763:I1763"/>
    <mergeCell ref="H1689:I1689"/>
    <mergeCell ref="F1764:G1764"/>
    <mergeCell ref="T1561:W1561"/>
    <mergeCell ref="T1685:W1685"/>
    <mergeCell ref="L1613:M1613"/>
    <mergeCell ref="L1614:M1614"/>
    <mergeCell ref="L1615:M1615"/>
    <mergeCell ref="L1687:M1687"/>
    <mergeCell ref="L1688:M1688"/>
    <mergeCell ref="J1613:K1613"/>
    <mergeCell ref="H1613:I1613"/>
    <mergeCell ref="H1614:I1614"/>
    <mergeCell ref="J1688:K1688"/>
    <mergeCell ref="H1685:I1685"/>
    <mergeCell ref="F1541:G1541"/>
    <mergeCell ref="F1540:G1540"/>
    <mergeCell ref="L1394:M1394"/>
    <mergeCell ref="F1613:G1613"/>
    <mergeCell ref="B1705:C1705"/>
    <mergeCell ref="B1697:C1697"/>
    <mergeCell ref="B1762:B1764"/>
    <mergeCell ref="H1836:I1836"/>
    <mergeCell ref="B866:C866"/>
    <mergeCell ref="B1551:C1551"/>
    <mergeCell ref="B1760:C1760"/>
    <mergeCell ref="D1614:E1614"/>
    <mergeCell ref="D1764:E1764"/>
    <mergeCell ref="B1624:C1624"/>
    <mergeCell ref="B1625:C1625"/>
    <mergeCell ref="B1558:C1558"/>
    <mergeCell ref="B1554:C1554"/>
    <mergeCell ref="B1552:C1552"/>
    <mergeCell ref="B1556:C1556"/>
    <mergeCell ref="B1559:C1559"/>
    <mergeCell ref="B1560:C1560"/>
    <mergeCell ref="B1700:C1700"/>
    <mergeCell ref="B1553:C1553"/>
    <mergeCell ref="B1627:C1627"/>
    <mergeCell ref="B1702:C1702"/>
    <mergeCell ref="B1613:B1615"/>
    <mergeCell ref="D1613:E1613"/>
    <mergeCell ref="B1626:C1626"/>
    <mergeCell ref="B1685:C1685"/>
    <mergeCell ref="B1622:C1622"/>
    <mergeCell ref="B1104:C1104"/>
    <mergeCell ref="B1106:C1106"/>
    <mergeCell ref="B939:C939"/>
    <mergeCell ref="B1110:C1110"/>
    <mergeCell ref="B1183:C1183"/>
    <mergeCell ref="D1094:E1094"/>
    <mergeCell ref="D1016:E1016"/>
    <mergeCell ref="D1093:E1093"/>
    <mergeCell ref="D1092:E1092"/>
    <mergeCell ref="B1116:C1116"/>
    <mergeCell ref="B1168:C1168"/>
    <mergeCell ref="B1107:C1107"/>
    <mergeCell ref="B1032:C1032"/>
    <mergeCell ref="B1117:C1117"/>
    <mergeCell ref="B1114:C1114"/>
    <mergeCell ref="B1012:C1012"/>
    <mergeCell ref="B1090:C1090"/>
    <mergeCell ref="B1105:C1105"/>
    <mergeCell ref="B1035:C1035"/>
    <mergeCell ref="B1036:C1036"/>
    <mergeCell ref="B1031:C1031"/>
    <mergeCell ref="B1034:C1034"/>
    <mergeCell ref="B1039:C1039"/>
    <mergeCell ref="B1028:C1028"/>
    <mergeCell ref="B1026:C1026"/>
    <mergeCell ref="B1037:C1037"/>
    <mergeCell ref="B1038:C1038"/>
    <mergeCell ref="B1027:C1027"/>
    <mergeCell ref="B1092:B1094"/>
    <mergeCell ref="B1029:C1029"/>
    <mergeCell ref="B1112:C1112"/>
    <mergeCell ref="B1550:C1550"/>
    <mergeCell ref="F1689:G1689"/>
    <mergeCell ref="B877:C877"/>
    <mergeCell ref="B878:C878"/>
    <mergeCell ref="B880:C880"/>
    <mergeCell ref="F1094:G1094"/>
    <mergeCell ref="B1261:C1261"/>
    <mergeCell ref="B1263:C1263"/>
    <mergeCell ref="F1093:G1093"/>
    <mergeCell ref="B1407:C1407"/>
    <mergeCell ref="B1481:C1481"/>
    <mergeCell ref="B1555:C1555"/>
    <mergeCell ref="B1629:C1629"/>
    <mergeCell ref="B1402:C1402"/>
    <mergeCell ref="B1611:C1611"/>
    <mergeCell ref="B1266:C1266"/>
    <mergeCell ref="D1539:E1539"/>
    <mergeCell ref="D1541:E1541"/>
    <mergeCell ref="B952:C952"/>
    <mergeCell ref="B956:C956"/>
    <mergeCell ref="B1014:B1016"/>
    <mergeCell ref="D1015:E1015"/>
    <mergeCell ref="B1188:C1188"/>
    <mergeCell ref="B1186:C1186"/>
    <mergeCell ref="B1179:C1179"/>
    <mergeCell ref="B1180:C1180"/>
    <mergeCell ref="B1178:C1178"/>
    <mergeCell ref="B1115:C1115"/>
    <mergeCell ref="B1111:C1111"/>
    <mergeCell ref="B1108:C1108"/>
    <mergeCell ref="B1113:C1113"/>
    <mergeCell ref="B1109:C1109"/>
    <mergeCell ref="B810:C810"/>
    <mergeCell ref="B658:C658"/>
    <mergeCell ref="B668:C668"/>
    <mergeCell ref="B546:C546"/>
    <mergeCell ref="B547:C547"/>
    <mergeCell ref="B536:C536"/>
    <mergeCell ref="B537:C537"/>
    <mergeCell ref="B538:C538"/>
    <mergeCell ref="B539:C539"/>
    <mergeCell ref="B540:C540"/>
    <mergeCell ref="B541:C541"/>
    <mergeCell ref="B542:C542"/>
    <mergeCell ref="B543:C543"/>
    <mergeCell ref="B544:C544"/>
    <mergeCell ref="B526:B528"/>
    <mergeCell ref="B423:C423"/>
    <mergeCell ref="D366:E366"/>
    <mergeCell ref="D367:E367"/>
    <mergeCell ref="D368:E368"/>
    <mergeCell ref="B376:C376"/>
    <mergeCell ref="B375:C375"/>
    <mergeCell ref="B596:C596"/>
    <mergeCell ref="B377:C377"/>
    <mergeCell ref="B491:C491"/>
    <mergeCell ref="B589:C589"/>
    <mergeCell ref="B663:C663"/>
    <mergeCell ref="B735:C735"/>
    <mergeCell ref="B808:C808"/>
    <mergeCell ref="B422:C422"/>
    <mergeCell ref="B545:C545"/>
    <mergeCell ref="B660:C660"/>
    <mergeCell ref="B662:C662"/>
    <mergeCell ref="B306:C306"/>
    <mergeCell ref="B590:C590"/>
    <mergeCell ref="B592:C592"/>
    <mergeCell ref="B649:B651"/>
    <mergeCell ref="B647:C647"/>
    <mergeCell ref="B385:C385"/>
    <mergeCell ref="B373:C373"/>
    <mergeCell ref="B474:C474"/>
    <mergeCell ref="B487:C487"/>
    <mergeCell ref="B488:C488"/>
    <mergeCell ref="B489:C489"/>
    <mergeCell ref="B490:C490"/>
    <mergeCell ref="B492:C492"/>
    <mergeCell ref="B494:C494"/>
    <mergeCell ref="B495:C495"/>
    <mergeCell ref="B496:C496"/>
    <mergeCell ref="B497:C497"/>
    <mergeCell ref="B108:C108"/>
    <mergeCell ref="B174:C174"/>
    <mergeCell ref="B186:C186"/>
    <mergeCell ref="B176:C176"/>
    <mergeCell ref="B289:B291"/>
    <mergeCell ref="B179:C179"/>
    <mergeCell ref="B110:C110"/>
    <mergeCell ref="B183:C183"/>
    <mergeCell ref="B175:C175"/>
    <mergeCell ref="B374:C374"/>
    <mergeCell ref="B161:E161"/>
    <mergeCell ref="B109:C109"/>
    <mergeCell ref="B178:C178"/>
    <mergeCell ref="B180:C180"/>
    <mergeCell ref="B163:B165"/>
    <mergeCell ref="B187:C187"/>
    <mergeCell ref="D165:E165"/>
    <mergeCell ref="D164:E164"/>
    <mergeCell ref="B287:C287"/>
    <mergeCell ref="B177:C177"/>
    <mergeCell ref="B182:C182"/>
    <mergeCell ref="B184:C184"/>
    <mergeCell ref="B185:C185"/>
    <mergeCell ref="B301:C301"/>
    <mergeCell ref="B300:C300"/>
    <mergeCell ref="B302:C302"/>
    <mergeCell ref="B304:C304"/>
    <mergeCell ref="B303:C303"/>
    <mergeCell ref="B307:C307"/>
    <mergeCell ref="B305:C305"/>
    <mergeCell ref="B366:B368"/>
    <mergeCell ref="B308:C308"/>
    <mergeCell ref="L2664:M2664"/>
    <mergeCell ref="H289:I289"/>
    <mergeCell ref="H290:I290"/>
    <mergeCell ref="H291:I291"/>
    <mergeCell ref="H1537:I1537"/>
    <mergeCell ref="J1467:K1467"/>
    <mergeCell ref="J941:K941"/>
    <mergeCell ref="L650:M650"/>
    <mergeCell ref="H1835:I1835"/>
    <mergeCell ref="J1689:K1689"/>
    <mergeCell ref="J650:K650"/>
    <mergeCell ref="H793:I793"/>
    <mergeCell ref="J2663:K2663"/>
    <mergeCell ref="J1912:K1912"/>
    <mergeCell ref="J1913:K1913"/>
    <mergeCell ref="J578:K578"/>
    <mergeCell ref="H578:I578"/>
    <mergeCell ref="L2605:M2605"/>
    <mergeCell ref="L651:M651"/>
    <mergeCell ref="L723:M723"/>
    <mergeCell ref="L724:M724"/>
    <mergeCell ref="L725:M725"/>
    <mergeCell ref="H1014:I1014"/>
    <mergeCell ref="H1170:I1170"/>
    <mergeCell ref="L2606:M2606"/>
    <mergeCell ref="L2663:M2663"/>
    <mergeCell ref="L2456:M2456"/>
    <mergeCell ref="L1689:M1689"/>
    <mergeCell ref="E2469:K2469"/>
    <mergeCell ref="F289:G289"/>
    <mergeCell ref="D290:E290"/>
    <mergeCell ref="L1092:M1092"/>
    <mergeCell ref="N2456:O2456"/>
    <mergeCell ref="L2056:M2056"/>
    <mergeCell ref="L2057:M2057"/>
    <mergeCell ref="L2188:M2188"/>
    <mergeCell ref="L2385:O2385"/>
    <mergeCell ref="L2387:O2387"/>
    <mergeCell ref="L2388:M2388"/>
    <mergeCell ref="L2189:M2189"/>
    <mergeCell ref="L2245:O2245"/>
    <mergeCell ref="L2247:O2247"/>
    <mergeCell ref="L2315:O2315"/>
    <mergeCell ref="L2316:M2316"/>
    <mergeCell ref="N2316:O2316"/>
    <mergeCell ref="L2248:M2248"/>
    <mergeCell ref="N2248:O2248"/>
    <mergeCell ref="L2313:O2313"/>
    <mergeCell ref="L2453:O2453"/>
    <mergeCell ref="L2455:O2455"/>
    <mergeCell ref="T939:W939"/>
    <mergeCell ref="T1191:W1191"/>
    <mergeCell ref="T1241:W1241"/>
    <mergeCell ref="H1466:I1466"/>
    <mergeCell ref="B2053:C2053"/>
    <mergeCell ref="B309:C309"/>
    <mergeCell ref="B310:C310"/>
    <mergeCell ref="B312:C312"/>
    <mergeCell ref="B313:C313"/>
    <mergeCell ref="B311:C311"/>
    <mergeCell ref="B378:C378"/>
    <mergeCell ref="B380:C380"/>
    <mergeCell ref="B381:C381"/>
    <mergeCell ref="B382:C382"/>
    <mergeCell ref="L7:M7"/>
    <mergeCell ref="L1093:M1093"/>
    <mergeCell ref="L1094:M1094"/>
    <mergeCell ref="L1321:M1321"/>
    <mergeCell ref="F13:G13"/>
    <mergeCell ref="F14:G14"/>
    <mergeCell ref="F90:G90"/>
    <mergeCell ref="F91:G91"/>
    <mergeCell ref="F92:G92"/>
    <mergeCell ref="B100:C100"/>
    <mergeCell ref="D91:E91"/>
    <mergeCell ref="D90:E90"/>
    <mergeCell ref="B90:B92"/>
    <mergeCell ref="B98:C98"/>
    <mergeCell ref="B107:C107"/>
    <mergeCell ref="B27:C27"/>
    <mergeCell ref="B30:C30"/>
    <mergeCell ref="B28:C28"/>
    <mergeCell ref="D2498:E2498"/>
    <mergeCell ref="H2498:I2498"/>
    <mergeCell ref="L2498:M2498"/>
    <mergeCell ref="N2498:O2498"/>
    <mergeCell ref="B2495:C2495"/>
    <mergeCell ref="E2495:K2495"/>
    <mergeCell ref="L2495:O2495"/>
    <mergeCell ref="P2495:S2495"/>
    <mergeCell ref="T2495:W2495"/>
    <mergeCell ref="D2497:G2497"/>
    <mergeCell ref="H2497:K2497"/>
    <mergeCell ref="L2497:O2497"/>
    <mergeCell ref="S111:W111"/>
    <mergeCell ref="H2122:I2122"/>
    <mergeCell ref="H2123:I2123"/>
    <mergeCell ref="H2124:I2124"/>
    <mergeCell ref="L1465:M1465"/>
    <mergeCell ref="L1466:M1466"/>
    <mergeCell ref="L1467:M1467"/>
    <mergeCell ref="L1539:M1539"/>
    <mergeCell ref="L1540:M1540"/>
    <mergeCell ref="L1541:M1541"/>
    <mergeCell ref="L1320:M1320"/>
    <mergeCell ref="L868:M868"/>
    <mergeCell ref="L869:M869"/>
    <mergeCell ref="L870:M870"/>
    <mergeCell ref="L941:M941"/>
    <mergeCell ref="L942:M942"/>
    <mergeCell ref="L943:M943"/>
    <mergeCell ref="H163:I163"/>
    <mergeCell ref="H164:I164"/>
    <mergeCell ref="T1090:W1090"/>
  </mergeCells>
  <phoneticPr fontId="5" type="noConversion"/>
  <dataValidations count="1">
    <dataValidation type="list" allowBlank="1" showInputMessage="1" showErrorMessage="1" sqref="W5">
      <formula1>vat</formula1>
    </dataValidation>
  </dataValidations>
  <hyperlinks>
    <hyperlink ref="B7:C7" location="MENU" display="НА ГЛАВНУЮ"/>
    <hyperlink ref="T2313" location="Frame_Premi" display="Frame_Premi"/>
    <hyperlink ref="T2335" location="Framugi" display="Framugi"/>
    <hyperlink ref="S88" location="Door_Standard" display="Door_Standard"/>
    <hyperlink ref="S161" location="Door_RutaF" display="Door_RutaF"/>
    <hyperlink ref="S574" location="Door_Idea_line" display="Door_Idea_line"/>
    <hyperlink ref="T1012" location="Door_Lada" display="Door_Lada"/>
    <hyperlink ref="T1090" location="Door_LadaK" display="Door_LadaK"/>
    <hyperlink ref="T1760" location="Door_LadaN" display="Door_LadaN"/>
    <hyperlink ref="T1833" location="Door_Lineya" display="Door_Lineya"/>
    <hyperlink ref="T1910" location="Door_Line" display="Door_Line"/>
    <hyperlink ref="T1985" location="Door_Elegant" display="Door_Elegant"/>
    <hyperlink ref="S2120" location="Door_VertoEleg" display="Door_VertoEleg"/>
    <hyperlink ref="T2245" location="Verto_Slide" display="Verto_Slide"/>
    <hyperlink ref="T2186" location="Door_Dobor" display="Door_Dobor"/>
    <hyperlink ref="T2661" location="Frame_VFit" display="Frame_VFit"/>
    <hyperlink ref="T2195" location="Framugi" display="Framugi"/>
    <hyperlink ref="T2195:W2195" location="Frame_Stand" display="Frame_Stand"/>
    <hyperlink ref="T188:W188" location="Door_Idea" display="Door_Idea"/>
    <hyperlink ref="T314:W314" location="Door_IdeaLoft" display="Door_IdeaLoft"/>
    <hyperlink ref="T597:W597" location="Door_LadaB" display="Door_LadaB"/>
    <hyperlink ref="T1040:W1040" location="Door_LadaN" display="Door_LadaN"/>
    <hyperlink ref="T1118:W1118" location="Door_Mira" display="Door_Mira"/>
    <hyperlink ref="U1783:X1783" location="Door_Line" display="Door_Line"/>
    <hyperlink ref="T1860:W1860" location="Door_Elegant" display="Door_Elegant"/>
    <hyperlink ref="T1935:W1935" location="Door_Glasford" display="Door_Glasford"/>
    <hyperlink ref="T2136:W2136" location="Verto_Slide" display="Verto_Slide"/>
    <hyperlink ref="T2003:W2003" location="Door_Dobor_Lada" display="Door_Dobor_Lada"/>
    <hyperlink ref="S2120:W2120" location="Door_Dobor_Lada" display="Door_Dobor_Lada"/>
    <hyperlink ref="T1760:W1760" location="Door_Pollo" display="Door_Pollo"/>
    <hyperlink ref="E1773" location="Door_Lineya" display="Door_Lineya"/>
    <hyperlink ref="T2263:W2263" location="Frame_VFit" display="Frame_VFit"/>
    <hyperlink ref="T2737:W2737" location="Framugi" display="Framugi"/>
    <hyperlink ref="T2745" location="Framugi" display="Framugi"/>
    <hyperlink ref="T2745:W2745" location="Furniture" display="Furniture"/>
    <hyperlink ref="T2687:W2687" location="DoorHandles" display="DoorHandles"/>
    <hyperlink ref="T2795:W2795" location="DoorHandles" display="DoorHandles"/>
    <hyperlink ref="E36" location="DoorHandles" display="см. Таблицу Ручки"/>
    <hyperlink ref="E109" location="DoorHandles" display="см. Таблицу Ручки"/>
    <hyperlink ref="E186" location="DoorHandles" display="см. Таблицу Ручки"/>
    <hyperlink ref="E312" location="DoorHandles" display="см. Таблицу Ручки"/>
    <hyperlink ref="E596" location="DoorHandles" display="см. Таблицу Ручки"/>
    <hyperlink ref="E1039" location="DoorHandles" display="см. Таблицу Ручки"/>
    <hyperlink ref="E1117" location="DoorHandles" display="см. Таблицу Ручки"/>
    <hyperlink ref="E1781" location="DoorHandles" display="DoorHandles"/>
    <hyperlink ref="E1858" location="DoorHandles" display="см. Таблицу Ручки"/>
    <hyperlink ref="E1934" location="DoorHandles" display="см. Таблицу Ручки"/>
    <hyperlink ref="E1772" location="Door_Lineya" display="Door_Lineya"/>
    <hyperlink ref="T2385" location="Frame_Premi" display="Frame_Premi"/>
    <hyperlink ref="T2403" location="Framugi" display="Framugi"/>
    <hyperlink ref="T2661:W2661" location="Plinths" display="Plinths"/>
    <hyperlink ref="T2385:W2385" location="Frame_VFit" display="Frame_VFit"/>
    <hyperlink ref="T2335:W2335" location="Frame_VFitPlus" display="Frame_VFitPlus"/>
    <hyperlink ref="T2453" location="Frame_Premi" display="Frame_Premi"/>
    <hyperlink ref="T2518" location="Framugi" display="Framugi"/>
    <hyperlink ref="T2453:W2453" location="Frame_VFitPlus" display="Frame_VFitPlus"/>
    <hyperlink ref="T2403:W2403" location="Frame_VFitComfort" display="Frame_VFitComfort"/>
    <hyperlink ref="T1241" location="Door_LadaK" display="Door_LadaK"/>
    <hyperlink ref="E1267" location="DoorHandles" display="см. Таблицу Ручки"/>
    <hyperlink ref="U1268:X1268" location="Door_Pollo" display="Door_Pollo"/>
    <hyperlink ref="T1241:W1241" location="Door_Mira" display="Door_Mira"/>
    <hyperlink ref="U1268:W1268" location="Door_Linda" display="Door_Linda"/>
    <hyperlink ref="T1537" location="Door_LadaK" display="Door_LadaK"/>
    <hyperlink ref="T1561:W1561" location="Door_Modern" display="Door_Modern"/>
    <hyperlink ref="T1537:W1537" location="Door_Eva" display="Door_Eva"/>
    <hyperlink ref="E1560" location="DoorHandles" display="см. Таблицу Ручки"/>
    <hyperlink ref="T1611" location="Door_LadaK" display="Door_LadaK"/>
    <hyperlink ref="U1635:X1635" location="Door_Lineya" display="Door_Lineya"/>
    <hyperlink ref="T1611:W1611" location="Door_Trend" display="Door_Trend"/>
    <hyperlink ref="E1634" location="DoorHandles" display="см. Таблицу Ручки"/>
    <hyperlink ref="U1635:W1635" location="Door_Pollo" display="Door_Pollo"/>
    <hyperlink ref="T2313:W2313" location="Frame_Stand" display="Frame_Stand"/>
    <hyperlink ref="T2603" location="Frame_Premi" display="Frame_Premi"/>
    <hyperlink ref="T2603:W2603" location="Frame_VFitComfort" display="Frame_VFitComfort"/>
    <hyperlink ref="T2518:W2518" location="Plinths" display="Plinths"/>
    <hyperlink ref="T2611" location="Framugi" display="Framugi"/>
    <hyperlink ref="T2611:W2611" location="Framugi" display="Framugi"/>
    <hyperlink ref="T793" location="Door_Idea_line" display="Door_Idea_line"/>
    <hyperlink ref="T816:W816" location="Door_Nika" display="Door_Nika"/>
    <hyperlink ref="E815" location="DoorHandles" display="см. Таблицу Ручки"/>
    <hyperlink ref="T793:W793" location="Door_LadaC" display="Door_LadaC"/>
    <hyperlink ref="T647" location="Door_Idea_line" display="Door_Idea_line"/>
    <hyperlink ref="T671:W671" location="Door_LadaC" display="Door_LadaC"/>
    <hyperlink ref="E670" location="DoorHandles" display="см. Таблицу Ручки"/>
    <hyperlink ref="T647:W647" location="Door_LadaA" display="Door_LadaA"/>
    <hyperlink ref="T721" location="Door_Idea_line" display="Door_Idea_line"/>
    <hyperlink ref="T743:W743" location="Door_LadaD" display="Door_LadaD"/>
    <hyperlink ref="E742" location="DoorHandles" display="см. Таблицу Ручки"/>
    <hyperlink ref="T721:W721" location="Door_LadaB" display="Door_LadaB"/>
    <hyperlink ref="T866" location="Door_Idea_line" display="Door_Idea_line"/>
    <hyperlink ref="T889:W889" location="Door_Lisa" display="Door_Lisa"/>
    <hyperlink ref="E888" location="DoorHandles" display="см. Таблицу Ручки"/>
    <hyperlink ref="T866:W866" location="Door_LadaC" display="Door_LadaC"/>
    <hyperlink ref="T939" location="Door_Idea_line" display="Door_Idea_line"/>
    <hyperlink ref="T962:W962" location="Door_LadaK" display="Door_LadaK"/>
    <hyperlink ref="E961" location="DoorHandles" display="см. Таблицу Ручки"/>
    <hyperlink ref="T939:W939" location="Door_LadaC" display="Door_LadaC"/>
    <hyperlink ref="T1168" location="Door_Idea_line" display="Door_Idea_line"/>
    <hyperlink ref="T1191:W1191" location="Door_LadaL" display="Door_LadaL"/>
    <hyperlink ref="E1190" location="DoorHandles" display="см. Таблицу Ручки"/>
    <hyperlink ref="T1168:W1168" location="Door_LadaN" display="Door_LadaN"/>
    <hyperlink ref="T1012:W1012" location="Door_Lisa" display="Door_Lisa"/>
    <hyperlink ref="T1318" location="Door_Idea_line" display="Door_Idea_line"/>
    <hyperlink ref="U1340:W1340" location="Door_Tiana" display="Door_Tiana"/>
    <hyperlink ref="E1339" location="DoorHandles" display="см. Таблицу Ручки"/>
    <hyperlink ref="T1318:W1318" location="Door_LadaL" display="Door_LadaL"/>
    <hyperlink ref="T1390" location="Door_Idea_line" display="Door_Idea_line"/>
    <hyperlink ref="U1413:X1413" location="Door_Eva" display="Door_Eva"/>
    <hyperlink ref="E1412" location="DoorHandles" display="см. Таблицу Ручки"/>
    <hyperlink ref="T1390:W1390" location="Door_Linda" display="Door_Linda"/>
    <hyperlink ref="T1463" location="Door_Idea_line" display="Door_Idea_line"/>
    <hyperlink ref="U1487:X1487" location="Door_LadaL" display="Door_LadaL"/>
    <hyperlink ref="E1486" location="DoorHandles" display="см. Таблицу Ручки"/>
    <hyperlink ref="T1463:W1463" location="Door_Tiana" display="Door_Tiana"/>
    <hyperlink ref="T1685" location="Door_LadaK" display="Door_LadaK"/>
    <hyperlink ref="T1710:W1710" location="Door_Lineya" display="Door_Lineya"/>
    <hyperlink ref="T1685:W1685" location="Door_Modern" display="Door_Modern"/>
    <hyperlink ref="E1709" location="DoorHandles" display="см. Таблицу Ручки"/>
    <hyperlink ref="U1487:W1487" location="Door_Trend" display="Door_Trend"/>
    <hyperlink ref="S2053" location="Door_VertoEleg" display="Door_VertoEleg"/>
    <hyperlink ref="S2053:W2053" location="Door_Glasford" display="Door_Glasford"/>
    <hyperlink ref="T2070:W2070" location="Door_Dobor" display="Door_Dobor"/>
    <hyperlink ref="T364" location="Door_Gordana" display="Door_Gordana"/>
    <hyperlink ref="T386:W386" location="Door_LadaA" display="Door_LadaA"/>
    <hyperlink ref="E384" location="DoorHandles" display="см. Таблицу Ручки"/>
    <hyperlink ref="T364:W364" location="Door_Idea" display="Door_Idea"/>
    <hyperlink ref="O88" location="Door_Standard" display="Door_Standard"/>
    <hyperlink ref="O161" location="Door_RutaF" display="Door_RutaF"/>
    <hyperlink ref="O287" location="Door_Gordana" display="Door_Gordana"/>
    <hyperlink ref="O574" location="Door_Idea_line" display="Door_Idea_line"/>
    <hyperlink ref="O2120" location="Door_Dobor_Lada" display="Door_Dobor_Lada"/>
    <hyperlink ref="O2053" location="Door_Glasford" display="Door_Glasford"/>
    <hyperlink ref="S287" location="Door_RutaF" display="Door_RutaF"/>
    <hyperlink ref="S474" location="Door_Idea_line" display="Door_Idea_line"/>
    <hyperlink ref="T499:W499" location="Door_LadaB" display="Door_LadaB"/>
    <hyperlink ref="E498" location="DoorHandles" display="см. Таблицу Ручки"/>
    <hyperlink ref="O474" location="Door_Idea_line" display="Door_Idea_line"/>
    <hyperlink ref="T2495" location="Frame_Premi" display="Frame_Premi"/>
    <hyperlink ref="T2495:W2495" location="Frame_VFitPlus" display="Frame_VFitPlus"/>
    <hyperlink ref="T2477" location="Framugi" display="Framugi"/>
    <hyperlink ref="T2477:W2477" location="Plinths" display="Plinths"/>
    <hyperlink ref="S524" location="Door_Idea_line" display="Door_Idea_line"/>
    <hyperlink ref="T548:W548" location="Door_LadaB" display="Door_LadaB"/>
    <hyperlink ref="E547" location="DoorHandles" display="см. Таблицу Ручки"/>
    <hyperlink ref="O524" location="Door_Idea_line" display="Door_Idea_line"/>
    <hyperlink ref="T412" location="Door_Gordana" display="Door_Gordana"/>
    <hyperlink ref="T425:W425" location="Door_LadaA" display="Door_LadaA"/>
    <hyperlink ref="E424" location="DoorHandles" display="см. Таблицу Ручки"/>
    <hyperlink ref="T412:W412" location="Door_Idea" display="Door_Idea"/>
    <hyperlink ref="T2277" location="Verto_Slide" display="Verto_Slide"/>
  </hyperlinks>
  <pageMargins left="0.23622047244094491" right="0.27559055118110237" top="0.27559055118110237" bottom="0.31496062992125984" header="0.27559055118110237" footer="0.31496062992125984"/>
  <pageSetup paperSize="9" scale="86" fitToHeight="50" orientation="landscape" r:id="rId1"/>
  <headerFooter alignWithMargins="0"/>
  <rowBreaks count="18" manualBreakCount="18">
    <brk id="87" max="18" man="1"/>
    <brk id="160" max="18" man="1"/>
    <brk id="286" max="18" man="1"/>
    <brk id="573" max="18" man="1"/>
    <brk id="1011" max="18" man="1"/>
    <brk id="1089" max="18" man="1"/>
    <brk id="1758" max="18" man="1"/>
    <brk id="1831" max="18" man="1"/>
    <brk id="1908" max="18" man="1"/>
    <brk id="1984" max="18" man="1"/>
    <brk id="2118" max="18" man="1"/>
    <brk id="2184" max="18" man="1"/>
    <brk id="2244" max="18" man="1"/>
    <brk id="2312" max="18" man="1"/>
    <brk id="2384" max="16383" man="1"/>
    <brk id="2660" max="18" man="1"/>
    <brk id="2736" max="16383" man="1"/>
    <brk id="2794" max="18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 codeName="Лист3">
    <tabColor indexed="22"/>
  </sheetPr>
  <dimension ref="A1:R555"/>
  <sheetViews>
    <sheetView showGridLines="0" zoomScale="85" zoomScaleNormal="85" workbookViewId="0">
      <pane ySplit="6" topLeftCell="A187" activePane="bottomLeft" state="frozen"/>
      <selection pane="bottomLeft" activeCell="A429" sqref="A429:XFD436"/>
    </sheetView>
  </sheetViews>
  <sheetFormatPr defaultColWidth="9.140625" defaultRowHeight="12.75"/>
  <cols>
    <col min="1" max="1" width="1" style="33" customWidth="1"/>
    <col min="2" max="2" width="17.7109375" style="33" customWidth="1"/>
    <col min="3" max="3" width="11.7109375" style="33" customWidth="1"/>
    <col min="4" max="13" width="14.7109375" style="33" customWidth="1"/>
    <col min="14" max="16384" width="9.140625" style="33"/>
  </cols>
  <sheetData>
    <row r="1" spans="1:18" ht="12.75" customHeight="1">
      <c r="B1" s="113" t="str">
        <f>TITLE!B2</f>
        <v>ВЕРСІЯ: 60.00.25</v>
      </c>
      <c r="C1" s="235" t="str">
        <f>Products!C1</f>
        <v>UA</v>
      </c>
      <c r="M1" s="215" t="str">
        <f>IF($C$1="ENG","PRINT VERSION","ВЕРСІЯ ДЛЯ ДРУКУ")</f>
        <v>ВЕРСІЯ ДЛЯ ДРУКУ</v>
      </c>
    </row>
    <row r="2" spans="1:18">
      <c r="H2" s="338"/>
      <c r="I2" s="338"/>
      <c r="J2" s="236"/>
      <c r="K2" s="237" t="str">
        <f>Products!U2</f>
        <v>знижка</v>
      </c>
      <c r="L2" s="238">
        <f>Products!W2</f>
        <v>0</v>
      </c>
      <c r="M2" s="243"/>
    </row>
    <row r="3" spans="1:18">
      <c r="D3" s="590" t="str">
        <f>Products!E4</f>
        <v>РОЗДРІБНІ ЦІНИ НА ПРОДУКЦІЮ ТМ VERTO</v>
      </c>
      <c r="E3" s="590"/>
      <c r="F3" s="590"/>
      <c r="G3" s="590"/>
      <c r="H3" s="339"/>
      <c r="I3" s="339"/>
      <c r="J3" s="229"/>
      <c r="K3" s="239" t="str">
        <f>Products!U4</f>
        <v>курс валют (за 1 грн.)</v>
      </c>
      <c r="L3" s="240">
        <f>Products!W4</f>
        <v>1</v>
      </c>
      <c r="M3" s="229"/>
    </row>
    <row r="4" spans="1:18" ht="12.75" customHeight="1">
      <c r="D4" s="591" t="str">
        <f>Products!E5</f>
        <v>діє з: 28 липня 2025 р.</v>
      </c>
      <c r="E4" s="591"/>
      <c r="F4" s="591"/>
      <c r="G4" s="591"/>
      <c r="H4" s="339"/>
      <c r="I4" s="339"/>
      <c r="J4" s="229"/>
      <c r="K4" s="241" t="str">
        <f>Products!U5</f>
        <v>ПДВ</v>
      </c>
      <c r="L4" s="242">
        <f>Products!W5</f>
        <v>0.2</v>
      </c>
      <c r="M4" s="229"/>
    </row>
    <row r="5" spans="1:18" ht="5.0999999999999996" customHeight="1">
      <c r="C5" s="35"/>
      <c r="D5" s="35"/>
      <c r="E5" s="35"/>
    </row>
    <row r="6" spans="1:18" ht="12.75" customHeight="1">
      <c r="B6" s="592" t="str">
        <f>Products!B8</f>
        <v>Асортимент</v>
      </c>
      <c r="C6" s="593"/>
      <c r="D6" s="594" t="str">
        <f>CONCATENATE(D3," ",Products!E8)</f>
        <v>РОЗДРІБНІ ЦІНИ НА ПРОДУКЦІЮ ТМ VERTO з ПДВ</v>
      </c>
      <c r="E6" s="595"/>
      <c r="F6" s="595"/>
      <c r="G6" s="595"/>
      <c r="H6" s="595"/>
      <c r="I6" s="595"/>
      <c r="J6" s="595"/>
      <c r="K6" s="595"/>
      <c r="L6" s="595"/>
      <c r="M6" s="596"/>
    </row>
    <row r="8" spans="1:18" s="31" customFormat="1" ht="12.75" customHeight="1">
      <c r="B8" s="570" t="str">
        <f>TITLE!$C$8</f>
        <v>Полотна каркасно-щитові: СТАНДАРТ</v>
      </c>
      <c r="C8" s="571"/>
      <c r="D8" s="571"/>
      <c r="E8" s="571"/>
      <c r="F8" s="170"/>
      <c r="G8" s="170"/>
      <c r="H8" s="170"/>
      <c r="I8" s="170"/>
      <c r="J8" s="343"/>
      <c r="K8" s="343"/>
      <c r="L8" s="343"/>
      <c r="M8" s="344"/>
    </row>
    <row r="9" spans="1:18">
      <c r="A9" s="31"/>
      <c r="B9" s="568" t="str">
        <f>Products!B12</f>
        <v>модель</v>
      </c>
      <c r="C9" s="166" t="str">
        <f>Products!C12</f>
        <v>покриття:</v>
      </c>
      <c r="D9" s="169" t="str">
        <f>Products!D12</f>
        <v>SIMPL / V-CELL</v>
      </c>
      <c r="E9" s="169" t="str">
        <f>Products!F12</f>
        <v>UNI-MAT</v>
      </c>
      <c r="F9" s="46"/>
      <c r="G9" s="46"/>
      <c r="H9" s="216"/>
      <c r="I9" s="216"/>
      <c r="J9" s="216"/>
      <c r="K9" s="345"/>
      <c r="L9" s="346" t="str">
        <f>Products!B24</f>
        <v>вентиляційні віддушини (1ряд)</v>
      </c>
      <c r="M9" s="347">
        <f>Products!E24</f>
        <v>250</v>
      </c>
      <c r="O9" s="217"/>
      <c r="P9" s="217"/>
      <c r="Q9" s="217"/>
      <c r="R9" s="217"/>
    </row>
    <row r="10" spans="1:18">
      <c r="A10" s="31"/>
      <c r="B10" s="568"/>
      <c r="C10" s="157" t="str">
        <f>Products!C13</f>
        <v>заповнення:</v>
      </c>
      <c r="D10" s="168" t="str">
        <f>Products!D13</f>
        <v>сотове заповнення</v>
      </c>
      <c r="E10" s="168" t="str">
        <f>Products!F13</f>
        <v>сотове заповнення</v>
      </c>
      <c r="F10" s="146"/>
      <c r="G10" s="146"/>
      <c r="H10" s="216"/>
      <c r="I10" s="216"/>
      <c r="J10" s="216"/>
      <c r="K10" s="348"/>
      <c r="L10" s="346" t="str">
        <f>Products!B25</f>
        <v>вентиляційний підріз</v>
      </c>
      <c r="M10" s="347">
        <f>Products!E25</f>
        <v>170.00000000000003</v>
      </c>
      <c r="O10" s="217"/>
      <c r="P10" s="217"/>
      <c r="Q10" s="217"/>
      <c r="R10" s="217"/>
    </row>
    <row r="11" spans="1:18" ht="12.75" customHeight="1">
      <c r="A11" s="31"/>
      <c r="B11" s="569"/>
      <c r="C11" s="158" t="str">
        <f>Products!C14</f>
        <v>скління:</v>
      </c>
      <c r="D11" s="161" t="str">
        <f>Products!D14</f>
        <v>Сатин</v>
      </c>
      <c r="E11" s="161" t="str">
        <f>Products!F14</f>
        <v>Сатин</v>
      </c>
      <c r="F11" s="159"/>
      <c r="G11" s="160"/>
      <c r="H11" s="216"/>
      <c r="I11" s="216"/>
      <c r="J11" s="216"/>
      <c r="K11" s="348"/>
      <c r="L11" s="346" t="str">
        <f>Products!B26</f>
        <v>третя завіса</v>
      </c>
      <c r="M11" s="347">
        <f>Products!E26</f>
        <v>80</v>
      </c>
      <c r="O11" s="218"/>
      <c r="P11" s="218"/>
      <c r="Q11" s="218"/>
      <c r="R11" s="218"/>
    </row>
    <row r="12" spans="1:18">
      <c r="A12" s="31"/>
      <c r="B12" s="13" t="str">
        <f>Products!B15</f>
        <v>1А</v>
      </c>
      <c r="C12" s="163"/>
      <c r="D12" s="185">
        <f>Products!E15</f>
        <v>5650.0000000000009</v>
      </c>
      <c r="E12" s="183">
        <f>Products!G15</f>
        <v>6400.0000000000009</v>
      </c>
      <c r="F12" s="97"/>
      <c r="G12" s="97"/>
      <c r="H12" s="219"/>
      <c r="I12" s="219"/>
      <c r="J12" s="350"/>
      <c r="K12" s="348"/>
      <c r="L12" s="346" t="str">
        <f>Products!B27</f>
        <v>скло Графіт / Бронза</v>
      </c>
      <c r="M12" s="347">
        <f>Products!E27</f>
        <v>550</v>
      </c>
    </row>
    <row r="13" spans="1:18">
      <c r="A13" s="31"/>
      <c r="B13" s="16" t="str">
        <f>Products!B16</f>
        <v>1Б</v>
      </c>
      <c r="C13" s="164"/>
      <c r="D13" s="185">
        <f>Products!E16</f>
        <v>5960</v>
      </c>
      <c r="E13" s="185">
        <f>Products!G16</f>
        <v>6780</v>
      </c>
      <c r="F13" s="97"/>
      <c r="G13" s="97"/>
      <c r="H13" s="220"/>
      <c r="I13" s="220"/>
      <c r="J13" s="351"/>
      <c r="K13" s="348"/>
      <c r="L13" s="346" t="str">
        <f>Products!B28</f>
        <v>замок Soft</v>
      </c>
      <c r="M13" s="347">
        <f>Products!E28</f>
        <v>550</v>
      </c>
    </row>
    <row r="14" spans="1:18">
      <c r="A14" s="31"/>
      <c r="B14" s="16" t="str">
        <f>Products!B17</f>
        <v>2А</v>
      </c>
      <c r="C14" s="164"/>
      <c r="D14" s="185">
        <f>Products!E17</f>
        <v>5730</v>
      </c>
      <c r="E14" s="185">
        <f>Products!G17</f>
        <v>6480</v>
      </c>
      <c r="F14" s="97"/>
      <c r="G14" s="97"/>
      <c r="H14" s="221"/>
      <c r="I14" s="221"/>
      <c r="J14" s="352"/>
      <c r="K14" s="348"/>
      <c r="L14" s="346" t="str">
        <f>Products!B29</f>
        <v>замок Soft чорн.</v>
      </c>
      <c r="M14" s="347">
        <f>Products!E29</f>
        <v>680.00000000000011</v>
      </c>
    </row>
    <row r="15" spans="1:18">
      <c r="A15" s="31"/>
      <c r="B15" s="16" t="str">
        <f>Products!B18</f>
        <v>2Б</v>
      </c>
      <c r="C15" s="164"/>
      <c r="D15" s="185">
        <f>Products!E18</f>
        <v>6040.0000000000009</v>
      </c>
      <c r="E15" s="185">
        <f>Products!G18</f>
        <v>6860</v>
      </c>
      <c r="F15" s="97"/>
      <c r="G15" s="97"/>
      <c r="H15" s="220"/>
      <c r="I15" s="220"/>
      <c r="J15" s="351"/>
      <c r="K15" s="348"/>
      <c r="L15" s="346" t="str">
        <f>Products!B30</f>
        <v>замок Magnet</v>
      </c>
      <c r="M15" s="347">
        <f>Products!E30</f>
        <v>800.00000000000011</v>
      </c>
    </row>
    <row r="16" spans="1:18">
      <c r="A16" s="31"/>
      <c r="B16" s="16" t="str">
        <f>Products!B19</f>
        <v>3.0 - 3.1</v>
      </c>
      <c r="C16" s="164"/>
      <c r="D16" s="185">
        <f>Products!E19</f>
        <v>5410.0000000000009</v>
      </c>
      <c r="E16" s="185">
        <f>Products!G19</f>
        <v>6140</v>
      </c>
      <c r="F16" s="97"/>
      <c r="G16" s="97"/>
      <c r="H16" s="220"/>
      <c r="I16" s="220"/>
      <c r="J16" s="351"/>
      <c r="K16" s="348"/>
      <c r="L16" s="346" t="str">
        <f>Products!B31</f>
        <v>замок Magnet чорн.</v>
      </c>
      <c r="M16" s="347">
        <f>Products!E31</f>
        <v>1000</v>
      </c>
    </row>
    <row r="17" spans="1:17">
      <c r="A17" s="31"/>
      <c r="B17" s="23" t="str">
        <f>Products!B20</f>
        <v>4.0 - 4.2</v>
      </c>
      <c r="C17" s="165"/>
      <c r="D17" s="187">
        <f>Products!E20</f>
        <v>5410.0000000000009</v>
      </c>
      <c r="E17" s="187">
        <f>Products!G20</f>
        <v>6140</v>
      </c>
      <c r="F17" s="97"/>
      <c r="G17" s="97"/>
      <c r="H17" s="220"/>
      <c r="I17" s="220"/>
      <c r="J17" s="351"/>
      <c r="K17" s="348"/>
      <c r="L17" s="346" t="str">
        <f>Products!B32</f>
        <v>ручка-замок (для дверей купе)</v>
      </c>
      <c r="M17" s="347">
        <f>Products!E32</f>
        <v>560</v>
      </c>
    </row>
    <row r="18" spans="1:17">
      <c r="A18" s="31"/>
      <c r="B18" s="313"/>
      <c r="C18" s="314"/>
      <c r="D18" s="196"/>
      <c r="E18" s="199"/>
      <c r="F18" s="97"/>
      <c r="G18" s="97"/>
      <c r="H18" s="220"/>
      <c r="I18" s="220"/>
      <c r="J18" s="351"/>
      <c r="K18" s="348"/>
      <c r="L18" s="346" t="str">
        <f>Products!B33</f>
        <v>циліндр несиметричний</v>
      </c>
      <c r="M18" s="347">
        <f>Products!E33</f>
        <v>390</v>
      </c>
    </row>
    <row r="19" spans="1:17">
      <c r="C19" s="34"/>
      <c r="D19" s="34"/>
      <c r="E19" s="34"/>
      <c r="F19" s="31"/>
      <c r="J19" s="353"/>
      <c r="K19" s="348"/>
      <c r="L19" s="346" t="str">
        <f>Products!B34</f>
        <v>завіса Prestige (1 шт)</v>
      </c>
      <c r="M19" s="347">
        <f>Products!E34</f>
        <v>260</v>
      </c>
      <c r="N19" s="218"/>
      <c r="O19" s="218"/>
      <c r="P19" s="218"/>
      <c r="Q19" s="218"/>
    </row>
    <row r="20" spans="1:17">
      <c r="C20" s="34"/>
      <c r="D20" s="34"/>
      <c r="E20" s="34"/>
      <c r="F20" s="31"/>
      <c r="J20" s="353"/>
      <c r="K20" s="348"/>
      <c r="L20" s="346" t="str">
        <f>Products!B35</f>
        <v>накладка на завіси (1 к-т)</v>
      </c>
      <c r="M20" s="347">
        <f>Products!E35</f>
        <v>80</v>
      </c>
      <c r="N20" s="218"/>
      <c r="O20" s="218"/>
      <c r="P20" s="218"/>
      <c r="Q20" s="218"/>
    </row>
    <row r="21" spans="1:17" ht="21">
      <c r="C21" s="34"/>
      <c r="D21" s="34"/>
      <c r="E21" s="34"/>
      <c r="F21" s="31"/>
      <c r="J21" s="353"/>
      <c r="K21" s="348"/>
      <c r="L21" s="346" t="str">
        <f>Products!B36</f>
        <v>дверна ручка</v>
      </c>
      <c r="M21" s="347" t="str">
        <f>Products!E36</f>
        <v>див. Таблицю Ручки</v>
      </c>
      <c r="N21" s="218"/>
      <c r="O21" s="218"/>
      <c r="P21" s="218"/>
      <c r="Q21" s="218"/>
    </row>
    <row r="22" spans="1:17">
      <c r="C22" s="34"/>
      <c r="D22" s="34"/>
      <c r="E22" s="34"/>
      <c r="F22" s="31"/>
      <c r="J22" s="353"/>
      <c r="K22" s="348"/>
      <c r="L22" s="346" t="str">
        <f>Products!B37</f>
        <v>ДСП трубчасте</v>
      </c>
      <c r="M22" s="347">
        <f>Products!E37</f>
        <v>1300.0000000000002</v>
      </c>
      <c r="N22" s="218"/>
      <c r="O22" s="218"/>
      <c r="P22" s="218"/>
      <c r="Q22" s="218"/>
    </row>
    <row r="23" spans="1:17">
      <c r="C23" s="34"/>
      <c r="D23" s="34"/>
      <c r="E23" s="34"/>
      <c r="F23" s="31"/>
      <c r="J23" s="353"/>
      <c r="N23" s="218"/>
      <c r="O23" s="218"/>
      <c r="P23" s="218"/>
      <c r="Q23" s="218"/>
    </row>
    <row r="24" spans="1:17">
      <c r="C24" s="34"/>
      <c r="D24" s="34"/>
      <c r="E24" s="34"/>
      <c r="F24" s="31"/>
      <c r="J24" s="353"/>
      <c r="N24" s="218"/>
      <c r="O24" s="218"/>
      <c r="P24" s="218"/>
      <c r="Q24" s="218"/>
    </row>
    <row r="25" spans="1:17" s="31" customFormat="1" ht="12.75" customHeight="1">
      <c r="B25" s="570" t="str">
        <f>TITLE!$C$9</f>
        <v>Полотна каркасно-щитові: КУПАВА</v>
      </c>
      <c r="C25" s="571"/>
      <c r="D25" s="571"/>
      <c r="E25" s="571"/>
      <c r="F25" s="170"/>
      <c r="G25" s="170"/>
      <c r="H25" s="170"/>
      <c r="I25" s="170"/>
      <c r="J25" s="343"/>
      <c r="K25" s="343"/>
      <c r="L25" s="355"/>
      <c r="M25" s="356"/>
      <c r="N25" s="218"/>
      <c r="O25" s="218"/>
      <c r="P25" s="218"/>
      <c r="Q25" s="218"/>
    </row>
    <row r="26" spans="1:17">
      <c r="A26" s="31"/>
      <c r="B26" s="568" t="str">
        <f>Products!B90</f>
        <v>модель</v>
      </c>
      <c r="C26" s="166" t="str">
        <f>Products!C90</f>
        <v>покриття:</v>
      </c>
      <c r="D26" s="167" t="str">
        <f>Products!D90</f>
        <v>SIMPL / V-CELL</v>
      </c>
      <c r="E26" s="167" t="str">
        <f>Products!F90</f>
        <v>UNI-MAT</v>
      </c>
      <c r="F26" s="46"/>
      <c r="G26" s="46"/>
      <c r="H26" s="216"/>
      <c r="I26" s="216"/>
      <c r="J26" s="216"/>
      <c r="K26" s="357"/>
      <c r="L26" s="341" t="str">
        <f>Products!B98</f>
        <v>вентиляційний підріз</v>
      </c>
      <c r="M26" s="358">
        <f>Products!E98</f>
        <v>170.00000000000003</v>
      </c>
    </row>
    <row r="27" spans="1:17">
      <c r="A27" s="31"/>
      <c r="B27" s="568"/>
      <c r="C27" s="157" t="str">
        <f>Products!C91</f>
        <v>заповнення:</v>
      </c>
      <c r="D27" s="168" t="str">
        <f>Products!D91</f>
        <v>сотове заповнення</v>
      </c>
      <c r="E27" s="168" t="str">
        <f>Products!F91</f>
        <v>сотове заповнення</v>
      </c>
      <c r="F27" s="146"/>
      <c r="G27" s="146"/>
      <c r="H27" s="216"/>
      <c r="I27" s="216"/>
      <c r="J27" s="216"/>
      <c r="K27" s="348"/>
      <c r="L27" s="342" t="str">
        <f>Products!B99</f>
        <v>третя завіса</v>
      </c>
      <c r="M27" s="349">
        <f>Products!E99</f>
        <v>80</v>
      </c>
    </row>
    <row r="28" spans="1:17" ht="12.75" customHeight="1">
      <c r="A28" s="31"/>
      <c r="B28" s="569"/>
      <c r="C28" s="158" t="str">
        <f>Products!C92</f>
        <v>скління:</v>
      </c>
      <c r="D28" s="161" t="str">
        <f>Products!D92</f>
        <v>Сатин</v>
      </c>
      <c r="E28" s="161" t="str">
        <f>Products!F92</f>
        <v>Сатин</v>
      </c>
      <c r="F28" s="159"/>
      <c r="G28" s="160"/>
      <c r="H28" s="216"/>
      <c r="I28" s="216"/>
      <c r="J28" s="216"/>
      <c r="K28" s="348"/>
      <c r="L28" s="342" t="str">
        <f>Products!B100</f>
        <v>скло Графіт / Бронза</v>
      </c>
      <c r="M28" s="349">
        <f>Products!E100</f>
        <v>550</v>
      </c>
    </row>
    <row r="29" spans="1:17">
      <c r="A29" s="31"/>
      <c r="B29" s="16" t="str">
        <f>Products!B93</f>
        <v>3.0 - 3.1</v>
      </c>
      <c r="C29" s="164"/>
      <c r="D29" s="185">
        <f>Products!E93</f>
        <v>3910</v>
      </c>
      <c r="E29" s="185">
        <f>Products!G93</f>
        <v>4450</v>
      </c>
      <c r="F29" s="97"/>
      <c r="G29" s="97"/>
      <c r="H29" s="222"/>
      <c r="I29" s="222"/>
      <c r="J29" s="359"/>
      <c r="K29" s="348"/>
      <c r="L29" s="342" t="str">
        <f>Products!B101</f>
        <v>замок Soft</v>
      </c>
      <c r="M29" s="349">
        <f>Products!E101</f>
        <v>550</v>
      </c>
    </row>
    <row r="30" spans="1:17">
      <c r="A30" s="31"/>
      <c r="B30" s="23" t="str">
        <f>Products!B94</f>
        <v>4.0 - 4.1</v>
      </c>
      <c r="C30" s="165"/>
      <c r="D30" s="187">
        <f>Products!E94</f>
        <v>4400</v>
      </c>
      <c r="E30" s="187">
        <f>Products!G94</f>
        <v>5000</v>
      </c>
      <c r="F30" s="97"/>
      <c r="G30" s="97"/>
      <c r="H30" s="222"/>
      <c r="I30" s="222"/>
      <c r="J30" s="359"/>
      <c r="K30" s="348"/>
      <c r="L30" s="342" t="str">
        <f>Products!B102</f>
        <v>замок Soft чорн.</v>
      </c>
      <c r="M30" s="349">
        <f>Products!E102</f>
        <v>680.00000000000011</v>
      </c>
    </row>
    <row r="31" spans="1:17">
      <c r="A31" s="31"/>
      <c r="B31" s="313"/>
      <c r="C31" s="314"/>
      <c r="D31" s="196"/>
      <c r="E31" s="199"/>
      <c r="F31" s="97"/>
      <c r="G31" s="97"/>
      <c r="H31" s="222"/>
      <c r="I31" s="222"/>
      <c r="J31" s="359"/>
      <c r="K31" s="348"/>
      <c r="L31" s="342" t="str">
        <f>Products!B103</f>
        <v>замок Magnet</v>
      </c>
      <c r="M31" s="349">
        <f>Products!E103</f>
        <v>800.00000000000011</v>
      </c>
    </row>
    <row r="32" spans="1:17">
      <c r="C32" s="34"/>
      <c r="D32" s="34"/>
      <c r="E32" s="34"/>
      <c r="J32" s="353"/>
      <c r="K32" s="348"/>
      <c r="L32" s="342" t="str">
        <f>Products!C104</f>
        <v>замок Magnet чорн.</v>
      </c>
      <c r="M32" s="349">
        <f>Products!E104</f>
        <v>1000</v>
      </c>
    </row>
    <row r="33" spans="1:13">
      <c r="C33" s="34"/>
      <c r="D33" s="34"/>
      <c r="E33" s="34"/>
      <c r="J33" s="353"/>
      <c r="K33" s="348"/>
      <c r="L33" s="342" t="str">
        <f>Products!B105</f>
        <v>ручка-замок (для дверей купе)</v>
      </c>
      <c r="M33" s="349">
        <f>Products!E105</f>
        <v>560</v>
      </c>
    </row>
    <row r="34" spans="1:13">
      <c r="C34" s="34"/>
      <c r="D34" s="34"/>
      <c r="E34" s="34"/>
      <c r="J34" s="353"/>
      <c r="K34" s="348"/>
      <c r="L34" s="342" t="str">
        <f>Products!B106</f>
        <v>циліндр несиметричний</v>
      </c>
      <c r="M34" s="349">
        <f>Products!E106</f>
        <v>390</v>
      </c>
    </row>
    <row r="35" spans="1:13">
      <c r="C35" s="34"/>
      <c r="D35" s="34"/>
      <c r="E35" s="34"/>
      <c r="J35" s="353"/>
      <c r="K35" s="348"/>
      <c r="L35" s="342" t="str">
        <f>Products!B107</f>
        <v>завіса Prestige (1 шт)</v>
      </c>
      <c r="M35" s="349">
        <f>Products!E107</f>
        <v>260</v>
      </c>
    </row>
    <row r="36" spans="1:13">
      <c r="C36" s="34"/>
      <c r="D36" s="34"/>
      <c r="E36" s="34"/>
      <c r="J36" s="353"/>
      <c r="K36" s="348"/>
      <c r="L36" s="342" t="str">
        <f>Products!B108</f>
        <v>накладка на завіси (1 к-т)</v>
      </c>
      <c r="M36" s="349">
        <f>Products!E108</f>
        <v>80</v>
      </c>
    </row>
    <row r="37" spans="1:13" ht="21">
      <c r="C37" s="34"/>
      <c r="D37" s="34"/>
      <c r="E37" s="34"/>
      <c r="J37" s="353"/>
      <c r="K37" s="348"/>
      <c r="L37" s="342" t="str">
        <f>Products!B109</f>
        <v>дверна ручка</v>
      </c>
      <c r="M37" s="349" t="str">
        <f>Products!E109</f>
        <v>див. Таблицю Ручки</v>
      </c>
    </row>
    <row r="38" spans="1:13">
      <c r="C38" s="34"/>
      <c r="D38" s="34"/>
      <c r="E38" s="34"/>
      <c r="J38" s="353"/>
      <c r="K38" s="348"/>
      <c r="L38" s="342" t="str">
        <f>Products!B110</f>
        <v>ДСП трубчасте</v>
      </c>
      <c r="M38" s="349">
        <f>Products!E110</f>
        <v>1300.0000000000002</v>
      </c>
    </row>
    <row r="39" spans="1:13">
      <c r="C39" s="34"/>
      <c r="D39" s="34"/>
      <c r="E39" s="34"/>
      <c r="J39" s="353"/>
    </row>
    <row r="40" spans="1:13" s="31" customFormat="1" ht="12.75" customHeight="1">
      <c r="B40" s="570" t="str">
        <f>TITLE!$C$10</f>
        <v>Полотна каркасно-щитові: ГЕОМЕТРІЯ</v>
      </c>
      <c r="C40" s="571"/>
      <c r="D40" s="571"/>
      <c r="E40" s="571"/>
      <c r="F40" s="170"/>
      <c r="G40" s="170"/>
      <c r="H40" s="170"/>
      <c r="I40" s="170"/>
      <c r="J40" s="343"/>
      <c r="K40" s="343"/>
      <c r="L40" s="355"/>
      <c r="M40" s="356"/>
    </row>
    <row r="41" spans="1:13">
      <c r="A41" s="31"/>
      <c r="B41" s="568" t="str">
        <f>Products!B163</f>
        <v>модель</v>
      </c>
      <c r="C41" s="166" t="str">
        <f>Products!C163</f>
        <v>покриття:</v>
      </c>
      <c r="D41" s="167" t="str">
        <f>Products!D163</f>
        <v>SIMPL / V-CELL</v>
      </c>
      <c r="E41" s="130" t="str">
        <f>Products!F163</f>
        <v>UNI-MAT</v>
      </c>
      <c r="F41" s="130" t="str">
        <f>Products!H163</f>
        <v>RESIST</v>
      </c>
      <c r="G41" s="326"/>
      <c r="H41" s="46"/>
      <c r="I41" s="46"/>
      <c r="J41" s="46"/>
      <c r="K41" s="357"/>
      <c r="L41" s="341" t="str">
        <f>Products!B174</f>
        <v>вентиляційні віддушини (1ряд)</v>
      </c>
      <c r="M41" s="358">
        <f>Products!E174</f>
        <v>250</v>
      </c>
    </row>
    <row r="42" spans="1:13">
      <c r="A42" s="31"/>
      <c r="B42" s="568"/>
      <c r="C42" s="157" t="str">
        <f>Products!C164</f>
        <v>заповнення:</v>
      </c>
      <c r="D42" s="168" t="str">
        <f>Products!D164</f>
        <v>сотове заповнення</v>
      </c>
      <c r="E42" s="140" t="str">
        <f>Products!F164</f>
        <v>сотове заповнення</v>
      </c>
      <c r="F42" s="140" t="str">
        <f>Products!H164</f>
        <v>сотове заповнення</v>
      </c>
      <c r="G42" s="47"/>
      <c r="H42" s="47"/>
      <c r="I42" s="47"/>
      <c r="J42" s="47"/>
      <c r="K42" s="348"/>
      <c r="L42" s="342" t="str">
        <f>Products!B175</f>
        <v>вентиляційний підріз</v>
      </c>
      <c r="M42" s="349">
        <f>Products!E175</f>
        <v>170.00000000000003</v>
      </c>
    </row>
    <row r="43" spans="1:13" ht="12.75" customHeight="1">
      <c r="A43" s="31"/>
      <c r="B43" s="569"/>
      <c r="C43" s="158" t="str">
        <f>Products!C165</f>
        <v>скління:</v>
      </c>
      <c r="D43" s="161" t="str">
        <f>Products!D165</f>
        <v>Сатин</v>
      </c>
      <c r="E43" s="119" t="str">
        <f>Products!F165</f>
        <v>Сатин</v>
      </c>
      <c r="F43" s="119" t="str">
        <f>Products!H165</f>
        <v>Сатин</v>
      </c>
      <c r="G43" s="160"/>
      <c r="H43" s="159"/>
      <c r="I43" s="159"/>
      <c r="J43" s="159"/>
      <c r="K43" s="348"/>
      <c r="L43" s="342" t="str">
        <f>Products!B176</f>
        <v>третя завіса</v>
      </c>
      <c r="M43" s="349">
        <f>Products!E176</f>
        <v>80</v>
      </c>
    </row>
    <row r="44" spans="1:13">
      <c r="A44" s="31"/>
      <c r="B44" s="13" t="str">
        <f>Products!B166</f>
        <v>1.0 - 1.1</v>
      </c>
      <c r="C44" s="163"/>
      <c r="D44" s="183">
        <f>Products!E166</f>
        <v>3890</v>
      </c>
      <c r="E44" s="184">
        <f>Products!G166</f>
        <v>4420</v>
      </c>
      <c r="F44" s="184">
        <f>Products!I166</f>
        <v>4700</v>
      </c>
      <c r="G44" s="199"/>
      <c r="H44" s="97"/>
      <c r="I44" s="97"/>
      <c r="J44" s="360"/>
      <c r="K44" s="348"/>
      <c r="L44" s="342" t="str">
        <f>Products!B177</f>
        <v>скло Графіт / Бронза</v>
      </c>
      <c r="M44" s="349">
        <f>Products!E177</f>
        <v>550</v>
      </c>
    </row>
    <row r="45" spans="1:13">
      <c r="A45" s="31"/>
      <c r="B45" s="16" t="str">
        <f>Products!B167</f>
        <v>3.0 - 3.3</v>
      </c>
      <c r="C45" s="164"/>
      <c r="D45" s="185">
        <f>Products!E167</f>
        <v>4190</v>
      </c>
      <c r="E45" s="186">
        <f>Products!G167</f>
        <v>4780</v>
      </c>
      <c r="F45" s="186">
        <f>Products!I167</f>
        <v>4960.0000000000009</v>
      </c>
      <c r="G45" s="199"/>
      <c r="H45" s="97"/>
      <c r="I45" s="97"/>
      <c r="J45" s="360"/>
      <c r="K45" s="348"/>
      <c r="L45" s="342" t="str">
        <f>Products!B178</f>
        <v>замок Soft</v>
      </c>
      <c r="M45" s="349">
        <f>Products!E178</f>
        <v>550</v>
      </c>
    </row>
    <row r="46" spans="1:13">
      <c r="A46" s="31"/>
      <c r="B46" s="16" t="str">
        <f>Products!B168</f>
        <v>4.0 - 4.4</v>
      </c>
      <c r="C46" s="164"/>
      <c r="D46" s="185">
        <f>Products!E168</f>
        <v>4190</v>
      </c>
      <c r="E46" s="186">
        <f>Products!G168</f>
        <v>4780</v>
      </c>
      <c r="F46" s="186">
        <f>Products!I168</f>
        <v>4960.0000000000009</v>
      </c>
      <c r="G46" s="199"/>
      <c r="H46" s="97"/>
      <c r="I46" s="97"/>
      <c r="J46" s="360"/>
      <c r="K46" s="348"/>
      <c r="L46" s="342" t="str">
        <f>Products!B179</f>
        <v>замок Soft чорн.</v>
      </c>
      <c r="M46" s="349">
        <f>Products!E179</f>
        <v>680.00000000000011</v>
      </c>
    </row>
    <row r="47" spans="1:13">
      <c r="A47" s="31"/>
      <c r="B47" s="16" t="str">
        <f>Products!B169</f>
        <v>5.0 - 5.5</v>
      </c>
      <c r="C47" s="164"/>
      <c r="D47" s="185">
        <f>Products!E169</f>
        <v>4190</v>
      </c>
      <c r="E47" s="186">
        <f>Products!G169</f>
        <v>4780</v>
      </c>
      <c r="F47" s="186">
        <f>Products!I169</f>
        <v>4960.0000000000009</v>
      </c>
      <c r="G47" s="199"/>
      <c r="H47" s="97"/>
      <c r="I47" s="97"/>
      <c r="J47" s="360"/>
      <c r="K47" s="348"/>
      <c r="L47" s="342" t="str">
        <f>Products!B180</f>
        <v>замок Magnet</v>
      </c>
      <c r="M47" s="349">
        <f>Products!E180</f>
        <v>800.00000000000011</v>
      </c>
    </row>
    <row r="48" spans="1:13">
      <c r="A48" s="31"/>
      <c r="B48" s="23" t="str">
        <f>Products!B170</f>
        <v>6.0 - 6.6</v>
      </c>
      <c r="C48" s="165"/>
      <c r="D48" s="187">
        <f>Products!E170</f>
        <v>4190</v>
      </c>
      <c r="E48" s="188">
        <f>Products!G170</f>
        <v>4780</v>
      </c>
      <c r="F48" s="188">
        <f>Products!I170</f>
        <v>4960.0000000000009</v>
      </c>
      <c r="G48" s="199"/>
      <c r="H48" s="97"/>
      <c r="I48" s="97"/>
      <c r="J48" s="360"/>
      <c r="K48" s="348"/>
      <c r="L48" s="342" t="str">
        <f>Products!C181</f>
        <v>замок Magnet чорн.</v>
      </c>
      <c r="M48" s="349">
        <f>Products!E181</f>
        <v>1000</v>
      </c>
    </row>
    <row r="49" spans="1:13">
      <c r="A49" s="31"/>
      <c r="H49" s="97"/>
      <c r="I49" s="97"/>
      <c r="J49" s="360"/>
      <c r="K49" s="348"/>
      <c r="L49" s="342" t="str">
        <f>Products!B182</f>
        <v>ручка-замок (для дверей купе)</v>
      </c>
      <c r="M49" s="349">
        <f>Products!E182</f>
        <v>560</v>
      </c>
    </row>
    <row r="50" spans="1:13">
      <c r="A50" s="31"/>
      <c r="B50" s="175"/>
      <c r="C50" s="176"/>
      <c r="D50" s="199"/>
      <c r="E50" s="199"/>
      <c r="F50" s="199"/>
      <c r="G50" s="199"/>
      <c r="H50" s="97"/>
      <c r="I50" s="97"/>
      <c r="J50" s="360"/>
      <c r="K50" s="348"/>
      <c r="L50" s="342" t="str">
        <f>Products!B183</f>
        <v>циліндр несиметричний</v>
      </c>
      <c r="M50" s="349">
        <f>Products!E183</f>
        <v>390</v>
      </c>
    </row>
    <row r="51" spans="1:13">
      <c r="A51" s="31"/>
      <c r="B51" s="175"/>
      <c r="C51" s="176"/>
      <c r="D51" s="199"/>
      <c r="E51" s="199"/>
      <c r="F51" s="199"/>
      <c r="G51" s="199"/>
      <c r="H51" s="97"/>
      <c r="I51" s="97"/>
      <c r="J51" s="360"/>
      <c r="K51" s="348"/>
      <c r="L51" s="342" t="str">
        <f>Products!B184</f>
        <v>завіса Prestige (1 шт)</v>
      </c>
      <c r="M51" s="349">
        <f>Products!E184</f>
        <v>260</v>
      </c>
    </row>
    <row r="52" spans="1:13">
      <c r="A52" s="31"/>
      <c r="B52" s="175"/>
      <c r="C52" s="176"/>
      <c r="D52" s="199"/>
      <c r="E52" s="199"/>
      <c r="F52" s="199"/>
      <c r="G52" s="199"/>
      <c r="H52" s="97"/>
      <c r="I52" s="97"/>
      <c r="J52" s="360"/>
      <c r="K52" s="348"/>
      <c r="L52" s="342" t="str">
        <f>Products!B185</f>
        <v>накладка на завіси (1 к-т)</v>
      </c>
      <c r="M52" s="349">
        <f>Products!E185</f>
        <v>80</v>
      </c>
    </row>
    <row r="53" spans="1:13" ht="21">
      <c r="E53" s="34"/>
      <c r="J53" s="353"/>
      <c r="K53" s="348"/>
      <c r="L53" s="342" t="str">
        <f>Products!B186</f>
        <v>дверна ручка</v>
      </c>
      <c r="M53" s="349" t="str">
        <f>Products!E186</f>
        <v>див. Таблицю Ручки</v>
      </c>
    </row>
    <row r="54" spans="1:13">
      <c r="E54" s="34"/>
      <c r="J54" s="353"/>
      <c r="K54" s="348"/>
      <c r="L54" s="342" t="str">
        <f>Products!B187</f>
        <v>ДСП трубчасте</v>
      </c>
      <c r="M54" s="349">
        <f>Products!E187</f>
        <v>1300.0000000000002</v>
      </c>
    </row>
    <row r="55" spans="1:13">
      <c r="C55" s="34"/>
      <c r="D55" s="34"/>
      <c r="E55" s="34"/>
      <c r="J55" s="353"/>
    </row>
    <row r="56" spans="1:13" s="31" customFormat="1" ht="12.75" customHeight="1">
      <c r="B56" s="570" t="str">
        <f>TITLE!$C$11</f>
        <v>Полотна каркасно-щитові: ІДЕЯ</v>
      </c>
      <c r="C56" s="571"/>
      <c r="D56" s="571"/>
      <c r="E56" s="571"/>
      <c r="F56" s="170"/>
      <c r="G56" s="170"/>
      <c r="H56" s="170"/>
      <c r="I56" s="170"/>
      <c r="J56" s="343"/>
      <c r="K56" s="343"/>
      <c r="L56" s="355"/>
      <c r="M56" s="356"/>
    </row>
    <row r="57" spans="1:13">
      <c r="A57" s="31"/>
      <c r="B57" s="568" t="str">
        <f>Products!B289</f>
        <v>модель</v>
      </c>
      <c r="C57" s="166" t="str">
        <f>Products!C289</f>
        <v>покриття:</v>
      </c>
      <c r="D57" s="162" t="str">
        <f>Products!D289</f>
        <v>SIMPL / V-CELL</v>
      </c>
      <c r="E57" s="167" t="str">
        <f>Products!F289</f>
        <v>UNI-MAT</v>
      </c>
      <c r="F57" s="167" t="str">
        <f>Products!H289</f>
        <v>RESIST</v>
      </c>
      <c r="G57" s="46"/>
      <c r="H57" s="216"/>
      <c r="I57" s="216"/>
      <c r="J57" s="216"/>
      <c r="K57" s="357"/>
      <c r="L57" s="341" t="str">
        <f>Products!B300</f>
        <v>вентиляційні віддушини (1ряд)</v>
      </c>
      <c r="M57" s="358">
        <f>Products!E300</f>
        <v>250</v>
      </c>
    </row>
    <row r="58" spans="1:13">
      <c r="A58" s="31"/>
      <c r="B58" s="568"/>
      <c r="C58" s="157" t="str">
        <f>Products!C290</f>
        <v>заповнення:</v>
      </c>
      <c r="D58" s="138" t="str">
        <f>Products!D290</f>
        <v>сотове заповнення</v>
      </c>
      <c r="E58" s="168" t="str">
        <f>Products!F290</f>
        <v>сотове заповнення</v>
      </c>
      <c r="F58" s="168" t="str">
        <f>Products!H290</f>
        <v>сотове заповнення</v>
      </c>
      <c r="G58" s="146"/>
      <c r="H58" s="216"/>
      <c r="I58" s="216"/>
      <c r="J58" s="216"/>
      <c r="K58" s="348"/>
      <c r="L58" s="342" t="str">
        <f>Products!B301</f>
        <v>вентиляційний підріз</v>
      </c>
      <c r="M58" s="349">
        <f>Products!E301</f>
        <v>170.00000000000003</v>
      </c>
    </row>
    <row r="59" spans="1:13" ht="12.75" customHeight="1">
      <c r="A59" s="31"/>
      <c r="B59" s="569"/>
      <c r="C59" s="158" t="str">
        <f>Products!C291</f>
        <v>скління:</v>
      </c>
      <c r="D59" s="125" t="str">
        <f>Products!D291</f>
        <v xml:space="preserve">Сатин </v>
      </c>
      <c r="E59" s="174" t="str">
        <f>Products!F291</f>
        <v>Сатин</v>
      </c>
      <c r="F59" s="174" t="str">
        <f>Products!H291</f>
        <v>Сатин</v>
      </c>
      <c r="G59" s="160"/>
      <c r="H59" s="216"/>
      <c r="I59" s="216"/>
      <c r="J59" s="216"/>
      <c r="K59" s="348"/>
      <c r="L59" s="342" t="str">
        <f>Products!B302</f>
        <v>третя завіса</v>
      </c>
      <c r="M59" s="349">
        <f>Products!E302</f>
        <v>80</v>
      </c>
    </row>
    <row r="60" spans="1:13">
      <c r="A60" s="31"/>
      <c r="B60" s="13" t="str">
        <f>Products!B292</f>
        <v>1.0.</v>
      </c>
      <c r="C60" s="163"/>
      <c r="D60" s="183">
        <f>Products!E292</f>
        <v>2490</v>
      </c>
      <c r="E60" s="184">
        <f>Products!G292</f>
        <v>2860</v>
      </c>
      <c r="F60" s="184">
        <f>Products!I292</f>
        <v>3170.0000000000005</v>
      </c>
      <c r="G60" s="97"/>
      <c r="H60" s="223"/>
      <c r="I60" s="223"/>
      <c r="J60" s="350"/>
      <c r="K60" s="348"/>
      <c r="L60" s="342" t="str">
        <f>Products!B303</f>
        <v>скло Графіт / Бронза</v>
      </c>
      <c r="M60" s="349">
        <f>Products!E303</f>
        <v>550</v>
      </c>
    </row>
    <row r="61" spans="1:13">
      <c r="A61" s="31"/>
      <c r="B61" s="16" t="str">
        <f>Products!B293</f>
        <v>3.0 - 3.3</v>
      </c>
      <c r="C61" s="164"/>
      <c r="D61" s="185">
        <f>Products!E293</f>
        <v>4790</v>
      </c>
      <c r="E61" s="186">
        <f>Products!G293</f>
        <v>5510</v>
      </c>
      <c r="F61" s="186">
        <f>Products!I293</f>
        <v>5950.0000000000009</v>
      </c>
      <c r="G61" s="97"/>
      <c r="H61" s="223"/>
      <c r="I61" s="223"/>
      <c r="J61" s="350"/>
      <c r="K61" s="348"/>
      <c r="L61" s="342" t="str">
        <f>Products!B304</f>
        <v>замок Soft</v>
      </c>
      <c r="M61" s="349">
        <f>Products!E304</f>
        <v>550</v>
      </c>
    </row>
    <row r="62" spans="1:13">
      <c r="A62" s="31"/>
      <c r="B62" s="107" t="str">
        <f>Products!B294</f>
        <v>4.0 - 4.4</v>
      </c>
      <c r="C62" s="171"/>
      <c r="D62" s="189">
        <f>Products!E294</f>
        <v>4990.0000000000009</v>
      </c>
      <c r="E62" s="190">
        <f>Products!G294</f>
        <v>5750</v>
      </c>
      <c r="F62" s="190">
        <f>Products!I294</f>
        <v>6080</v>
      </c>
      <c r="G62" s="97"/>
      <c r="H62" s="223"/>
      <c r="I62" s="223"/>
      <c r="J62" s="350"/>
      <c r="K62" s="348"/>
      <c r="L62" s="342" t="str">
        <f>Products!B305</f>
        <v>замок Soft чорн.</v>
      </c>
      <c r="M62" s="349">
        <f>Products!E305</f>
        <v>680.00000000000011</v>
      </c>
    </row>
    <row r="63" spans="1:13">
      <c r="A63" s="31"/>
      <c r="B63" s="107" t="str">
        <f>Products!B295</f>
        <v>6.0 - 6.6</v>
      </c>
      <c r="C63" s="171"/>
      <c r="D63" s="189">
        <f>Products!E295</f>
        <v>5450</v>
      </c>
      <c r="E63" s="190">
        <f>Products!G295</f>
        <v>6270</v>
      </c>
      <c r="F63" s="190">
        <f>Products!I295</f>
        <v>6550.0000000000009</v>
      </c>
      <c r="G63" s="97"/>
      <c r="H63" s="223"/>
      <c r="I63" s="223"/>
      <c r="J63" s="350"/>
      <c r="K63" s="348"/>
      <c r="L63" s="342" t="str">
        <f>Products!B306</f>
        <v>замок Magnet</v>
      </c>
      <c r="M63" s="349">
        <f>Products!E306</f>
        <v>800.00000000000011</v>
      </c>
    </row>
    <row r="64" spans="1:13">
      <c r="A64" s="31"/>
      <c r="B64" s="23" t="str">
        <f>Products!B296</f>
        <v>7.0 - 7.1</v>
      </c>
      <c r="C64" s="165"/>
      <c r="D64" s="187">
        <f>Products!E296</f>
        <v>4170</v>
      </c>
      <c r="E64" s="188">
        <f>Products!G296</f>
        <v>4790</v>
      </c>
      <c r="F64" s="188">
        <f>Products!I296</f>
        <v>4990.0000000000009</v>
      </c>
      <c r="G64" s="97"/>
      <c r="H64" s="223"/>
      <c r="I64" s="223"/>
      <c r="J64" s="350"/>
      <c r="K64" s="348"/>
      <c r="L64" s="342" t="str">
        <f>Products!B307</f>
        <v>замок Magnet чорн.</v>
      </c>
      <c r="M64" s="349">
        <f>Products!E307</f>
        <v>1000</v>
      </c>
    </row>
    <row r="65" spans="1:13">
      <c r="A65" s="31"/>
      <c r="F65" s="97"/>
      <c r="G65" s="97"/>
      <c r="H65" s="223"/>
      <c r="I65" s="223"/>
      <c r="J65" s="350"/>
      <c r="K65" s="348"/>
      <c r="L65" s="342" t="str">
        <f>Products!B308</f>
        <v>ручка-замок (для дверей купе)</v>
      </c>
      <c r="M65" s="349">
        <f>Products!E308</f>
        <v>560</v>
      </c>
    </row>
    <row r="66" spans="1:13">
      <c r="A66" s="31"/>
      <c r="F66" s="97"/>
      <c r="G66" s="97"/>
      <c r="H66" s="223"/>
      <c r="I66" s="223"/>
      <c r="J66" s="350"/>
      <c r="K66" s="348"/>
      <c r="L66" s="342" t="str">
        <f>Products!B309</f>
        <v>циліндр несиметричний</v>
      </c>
      <c r="M66" s="349">
        <f>Products!E309</f>
        <v>390</v>
      </c>
    </row>
    <row r="67" spans="1:13">
      <c r="A67" s="31"/>
      <c r="F67" s="97"/>
      <c r="G67" s="97"/>
      <c r="H67" s="223"/>
      <c r="I67" s="223"/>
      <c r="J67" s="350"/>
      <c r="K67" s="348"/>
      <c r="L67" s="342" t="str">
        <f>Products!B310</f>
        <v>завіса Prestige (1 шт)</v>
      </c>
      <c r="M67" s="349">
        <f>Products!E310</f>
        <v>260</v>
      </c>
    </row>
    <row r="68" spans="1:13">
      <c r="C68" s="34"/>
      <c r="D68" s="34"/>
      <c r="E68" s="34"/>
      <c r="J68" s="353"/>
      <c r="K68" s="348"/>
      <c r="L68" s="342" t="str">
        <f>Products!B311</f>
        <v>накладка на завіси (1 к-т)</v>
      </c>
      <c r="M68" s="349">
        <f>Products!E311</f>
        <v>80</v>
      </c>
    </row>
    <row r="69" spans="1:13" ht="21">
      <c r="C69" s="34"/>
      <c r="D69" s="34"/>
      <c r="E69" s="34"/>
      <c r="J69" s="353"/>
      <c r="K69" s="348"/>
      <c r="L69" s="342" t="str">
        <f>Products!B312</f>
        <v>дверна ручка</v>
      </c>
      <c r="M69" s="349" t="str">
        <f>Products!E312</f>
        <v>див. Таблицю Ручки</v>
      </c>
    </row>
    <row r="70" spans="1:13">
      <c r="C70" s="34"/>
      <c r="D70" s="34"/>
      <c r="E70" s="34"/>
      <c r="J70" s="353"/>
      <c r="K70" s="348"/>
      <c r="L70" s="342" t="str">
        <f>Products!B313</f>
        <v>ДСП трубчасте</v>
      </c>
      <c r="M70" s="349">
        <f>Products!E313</f>
        <v>1300.0000000000002</v>
      </c>
    </row>
    <row r="71" spans="1:13" s="31" customFormat="1" ht="12.75" customHeight="1">
      <c r="B71" s="570" t="str">
        <f>TITLE!$C$12</f>
        <v>Полотна каркасно-щитові: ІДЕЯ-ЛОФТ</v>
      </c>
      <c r="C71" s="571"/>
      <c r="D71" s="571"/>
      <c r="E71" s="571"/>
      <c r="F71" s="170"/>
      <c r="G71" s="170"/>
      <c r="H71" s="170"/>
      <c r="I71" s="170"/>
      <c r="J71" s="343"/>
      <c r="K71" s="343"/>
      <c r="L71" s="355"/>
      <c r="M71" s="356"/>
    </row>
    <row r="72" spans="1:13">
      <c r="A72" s="31"/>
      <c r="B72" s="568" t="str">
        <f>Products!B366</f>
        <v>модель</v>
      </c>
      <c r="C72" s="166" t="str">
        <f>Products!C366</f>
        <v>покриття:</v>
      </c>
      <c r="D72" s="167" t="str">
        <f>Products!D366</f>
        <v>LOFT</v>
      </c>
      <c r="E72" s="97"/>
      <c r="F72" s="46"/>
      <c r="G72" s="46"/>
      <c r="H72" s="216"/>
      <c r="I72" s="216"/>
      <c r="J72" s="216"/>
      <c r="K72" s="357"/>
      <c r="L72" s="341" t="str">
        <f>Products!B373</f>
        <v>вентиляційні віддушини (1ряд)</v>
      </c>
      <c r="M72" s="358">
        <f>Products!E373</f>
        <v>250</v>
      </c>
    </row>
    <row r="73" spans="1:13">
      <c r="A73" s="31"/>
      <c r="B73" s="568"/>
      <c r="C73" s="157" t="str">
        <f>Products!C367</f>
        <v>заповнення:</v>
      </c>
      <c r="D73" s="168" t="str">
        <f>Products!D367</f>
        <v>сотове заповнення</v>
      </c>
      <c r="E73" s="97"/>
      <c r="F73" s="146"/>
      <c r="G73" s="146"/>
      <c r="H73" s="216"/>
      <c r="I73" s="216"/>
      <c r="J73" s="216"/>
      <c r="K73" s="348"/>
      <c r="L73" s="342" t="str">
        <f>Products!B374</f>
        <v>вентиляційний підріз</v>
      </c>
      <c r="M73" s="349">
        <f>Products!E374</f>
        <v>170.00000000000003</v>
      </c>
    </row>
    <row r="74" spans="1:13" ht="12.75" customHeight="1">
      <c r="A74" s="31"/>
      <c r="B74" s="569"/>
      <c r="C74" s="158"/>
      <c r="D74" s="161"/>
      <c r="E74" s="97"/>
      <c r="F74" s="159"/>
      <c r="G74" s="160"/>
      <c r="H74" s="216"/>
      <c r="I74" s="216"/>
      <c r="J74" s="216"/>
      <c r="K74" s="348"/>
      <c r="L74" s="342" t="str">
        <f>Products!B375</f>
        <v>третя завіса</v>
      </c>
      <c r="M74" s="349">
        <f>Products!E375</f>
        <v>80</v>
      </c>
    </row>
    <row r="75" spans="1:13">
      <c r="A75" s="31"/>
      <c r="B75" s="49" t="str">
        <f>Products!B369</f>
        <v>1.0.</v>
      </c>
      <c r="C75" s="329"/>
      <c r="D75" s="195">
        <f>Products!E369</f>
        <v>3870</v>
      </c>
      <c r="E75" s="97"/>
      <c r="F75" s="97"/>
      <c r="G75" s="97"/>
      <c r="H75" s="223"/>
      <c r="I75" s="223"/>
      <c r="J75" s="350"/>
      <c r="K75" s="348"/>
      <c r="L75" s="342" t="str">
        <f>Products!B376</f>
        <v>замок Soft</v>
      </c>
      <c r="M75" s="349">
        <f>Products!E376</f>
        <v>550</v>
      </c>
    </row>
    <row r="76" spans="1:13">
      <c r="A76" s="31"/>
      <c r="E76" s="97"/>
      <c r="F76" s="97"/>
      <c r="G76" s="97"/>
      <c r="H76" s="223"/>
      <c r="I76" s="223"/>
      <c r="J76" s="350"/>
      <c r="K76" s="348"/>
      <c r="L76" s="342" t="str">
        <f>Products!B377</f>
        <v>замок Soft чорн.</v>
      </c>
      <c r="M76" s="349">
        <f>Products!E377</f>
        <v>680.00000000000011</v>
      </c>
    </row>
    <row r="77" spans="1:13">
      <c r="A77" s="31"/>
      <c r="E77" s="97"/>
      <c r="F77" s="97"/>
      <c r="G77" s="97"/>
      <c r="H77" s="223"/>
      <c r="I77" s="223"/>
      <c r="J77" s="350"/>
      <c r="K77" s="348"/>
      <c r="L77" s="342" t="str">
        <f>Products!B378</f>
        <v>замок Magnet</v>
      </c>
      <c r="M77" s="349">
        <f>Products!E378</f>
        <v>800.00000000000011</v>
      </c>
    </row>
    <row r="78" spans="1:13">
      <c r="A78" s="31"/>
      <c r="E78" s="97"/>
      <c r="F78" s="97"/>
      <c r="G78" s="97"/>
      <c r="H78" s="223"/>
      <c r="I78" s="223"/>
      <c r="J78" s="350"/>
      <c r="K78" s="348"/>
      <c r="L78" s="342" t="str">
        <f>Products!B379</f>
        <v>замок Magnet чорн.</v>
      </c>
      <c r="M78" s="349">
        <f>Products!E379</f>
        <v>1000</v>
      </c>
    </row>
    <row r="79" spans="1:13">
      <c r="A79" s="31"/>
      <c r="E79" s="97"/>
      <c r="F79" s="97"/>
      <c r="G79" s="97"/>
      <c r="H79" s="223"/>
      <c r="I79" s="223"/>
      <c r="J79" s="350"/>
      <c r="K79" s="348"/>
      <c r="L79" s="342" t="str">
        <f>Products!B380</f>
        <v>ручка-замок (для дверей купе)</v>
      </c>
      <c r="M79" s="349">
        <f>Products!E380</f>
        <v>560</v>
      </c>
    </row>
    <row r="80" spans="1:13">
      <c r="A80" s="31"/>
      <c r="E80" s="97"/>
      <c r="F80" s="97"/>
      <c r="G80" s="97"/>
      <c r="H80" s="223"/>
      <c r="I80" s="223"/>
      <c r="J80" s="350"/>
      <c r="K80" s="348"/>
      <c r="L80" s="342" t="str">
        <f>Products!B381</f>
        <v>циліндр несиметричний</v>
      </c>
      <c r="M80" s="349">
        <f>Products!E381</f>
        <v>390</v>
      </c>
    </row>
    <row r="81" spans="1:13">
      <c r="A81" s="31"/>
      <c r="F81" s="97"/>
      <c r="G81" s="97"/>
      <c r="H81" s="223"/>
      <c r="I81" s="223"/>
      <c r="J81" s="350"/>
      <c r="K81" s="348"/>
      <c r="L81" s="342" t="str">
        <f>Products!B382</f>
        <v>завіса Prestige (1 шт)</v>
      </c>
      <c r="M81" s="349">
        <f>Products!E382</f>
        <v>260</v>
      </c>
    </row>
    <row r="82" spans="1:13">
      <c r="C82" s="34"/>
      <c r="D82" s="34"/>
      <c r="E82" s="34"/>
      <c r="J82" s="353"/>
      <c r="K82" s="348"/>
      <c r="L82" s="342" t="str">
        <f>Products!B383</f>
        <v>накладка на завіси (1 к-т)</v>
      </c>
      <c r="M82" s="349">
        <f>Products!E383</f>
        <v>80</v>
      </c>
    </row>
    <row r="83" spans="1:13" ht="21">
      <c r="C83" s="34"/>
      <c r="D83" s="34"/>
      <c r="E83" s="34"/>
      <c r="J83" s="353"/>
      <c r="K83" s="348"/>
      <c r="L83" s="342" t="str">
        <f>Products!B384</f>
        <v>дверна ручка</v>
      </c>
      <c r="M83" s="349" t="str">
        <f>Products!E384</f>
        <v>див. Таблицю Ручки</v>
      </c>
    </row>
    <row r="84" spans="1:13">
      <c r="C84" s="34"/>
      <c r="D84" s="34"/>
      <c r="E84" s="34"/>
      <c r="J84" s="353"/>
      <c r="K84" s="348"/>
      <c r="L84" s="342" t="str">
        <f>Products!B385</f>
        <v>ДСП трубчасте</v>
      </c>
      <c r="M84" s="349">
        <f>Products!E385</f>
        <v>1300.0000000000002</v>
      </c>
    </row>
    <row r="85" spans="1:13">
      <c r="B85" s="570" t="str">
        <f>TITLE!C13</f>
        <v>Полотна каркасно-щитові: ІДЕЯ-АЛЮМ</v>
      </c>
      <c r="C85" s="571"/>
      <c r="D85" s="571"/>
      <c r="E85" s="571"/>
      <c r="F85" s="170"/>
      <c r="G85" s="170"/>
      <c r="H85" s="170"/>
      <c r="I85" s="170"/>
      <c r="J85" s="343"/>
      <c r="K85" s="494"/>
      <c r="L85" s="489"/>
      <c r="M85" s="490"/>
    </row>
    <row r="86" spans="1:13">
      <c r="B86" s="568" t="str">
        <f>Products!B414</f>
        <v>модель</v>
      </c>
      <c r="C86" s="166" t="str">
        <f>Products!C414</f>
        <v>покриття:</v>
      </c>
      <c r="D86" s="167" t="str">
        <f>Products!D414</f>
        <v>SIMPL / V-CELL</v>
      </c>
      <c r="E86" s="167" t="str">
        <f>Products!F414</f>
        <v>UNI-MAT</v>
      </c>
      <c r="F86" s="167" t="str">
        <f>Products!H414</f>
        <v>RESIST</v>
      </c>
      <c r="G86" s="46"/>
      <c r="H86" s="216"/>
      <c r="I86" s="216"/>
      <c r="J86" s="216"/>
      <c r="K86" s="357"/>
      <c r="L86" s="495" t="str">
        <f>Products!B422</f>
        <v>вентиляційні віддушини (1ряд)</v>
      </c>
      <c r="M86" s="367">
        <f>Products!E422</f>
        <v>250</v>
      </c>
    </row>
    <row r="87" spans="1:13" ht="21">
      <c r="B87" s="568"/>
      <c r="C87" s="166" t="str">
        <f>Products!C415</f>
        <v>заповнення:</v>
      </c>
      <c r="D87" s="167" t="str">
        <f>Products!D415</f>
        <v>сотове заповнення</v>
      </c>
      <c r="E87" s="167" t="str">
        <f>Products!F415</f>
        <v>сотове заповнення</v>
      </c>
      <c r="F87" s="167" t="str">
        <f>Products!H415</f>
        <v>сотове заповнення</v>
      </c>
      <c r="G87" s="146"/>
      <c r="H87" s="216"/>
      <c r="I87" s="216"/>
      <c r="J87" s="216"/>
      <c r="K87" s="348"/>
      <c r="L87" s="491" t="str">
        <f>Products!B423</f>
        <v>замок Magnet чорн.</v>
      </c>
      <c r="M87" s="376">
        <f>Products!E423</f>
        <v>1000</v>
      </c>
    </row>
    <row r="88" spans="1:13" ht="21">
      <c r="B88" s="569"/>
      <c r="C88" s="166" t="str">
        <f>Products!C416</f>
        <v>скління:</v>
      </c>
      <c r="D88" s="167"/>
      <c r="E88" s="167"/>
      <c r="F88" s="167"/>
      <c r="G88" s="160"/>
      <c r="H88" s="216"/>
      <c r="I88" s="216"/>
      <c r="J88" s="216"/>
      <c r="K88" s="492"/>
      <c r="L88" s="493" t="str">
        <f>Products!B424</f>
        <v>дверна ручка</v>
      </c>
      <c r="M88" s="369" t="str">
        <f>Products!E424</f>
        <v>див. Таблицю Ручки</v>
      </c>
    </row>
    <row r="89" spans="1:13">
      <c r="B89" s="49">
        <f>Products!B417</f>
        <v>1</v>
      </c>
      <c r="C89" s="329"/>
      <c r="D89" s="195">
        <f>Products!E417</f>
        <v>4490</v>
      </c>
      <c r="E89" s="195">
        <f>Products!G417</f>
        <v>4860</v>
      </c>
      <c r="F89" s="195">
        <f>Products!I417</f>
        <v>5170.0000000000009</v>
      </c>
      <c r="G89" s="97"/>
      <c r="H89" s="223"/>
      <c r="I89" s="223"/>
      <c r="J89" s="350"/>
      <c r="K89" s="486"/>
      <c r="L89" s="487"/>
      <c r="M89" s="488"/>
    </row>
    <row r="90" spans="1:13">
      <c r="B90" s="49">
        <f>Products!B418</f>
        <v>2</v>
      </c>
      <c r="C90" s="329"/>
      <c r="D90" s="195">
        <f>Products!E418</f>
        <v>4890</v>
      </c>
      <c r="E90" s="195">
        <f>Products!G418</f>
        <v>5260.0000000000009</v>
      </c>
      <c r="F90" s="195">
        <f>Products!I418</f>
        <v>5570</v>
      </c>
      <c r="G90" s="97"/>
      <c r="H90" s="223"/>
      <c r="I90" s="223"/>
      <c r="J90" s="350"/>
      <c r="K90" s="486"/>
      <c r="L90" s="487"/>
      <c r="M90" s="488"/>
    </row>
    <row r="91" spans="1:13">
      <c r="B91" s="496"/>
      <c r="C91" s="314"/>
      <c r="D91" s="196"/>
      <c r="E91" s="196"/>
      <c r="F91" s="196"/>
      <c r="G91" s="97"/>
      <c r="H91" s="223"/>
      <c r="I91" s="223"/>
      <c r="J91" s="350"/>
      <c r="K91" s="486"/>
      <c r="L91" s="487"/>
      <c r="M91" s="488"/>
    </row>
    <row r="92" spans="1:13">
      <c r="B92" s="570" t="str">
        <f>Products!B474</f>
        <v>Полотна збірні: КЛАСІК</v>
      </c>
      <c r="C92" s="571"/>
      <c r="D92" s="571"/>
      <c r="E92" s="571"/>
      <c r="F92" s="170"/>
      <c r="G92" s="170"/>
      <c r="H92" s="170"/>
      <c r="I92" s="170"/>
      <c r="J92" s="343"/>
      <c r="K92" s="343"/>
      <c r="L92" s="355"/>
      <c r="M92" s="356"/>
    </row>
    <row r="93" spans="1:13">
      <c r="B93" s="576" t="str">
        <f>Products!B476</f>
        <v>модель</v>
      </c>
      <c r="C93" s="166" t="str">
        <f>Products!C476</f>
        <v>покриття:</v>
      </c>
      <c r="D93" s="169" t="str">
        <f>Products!D476</f>
        <v>UNI-MAT</v>
      </c>
      <c r="E93" s="169" t="str">
        <f>Products!F476</f>
        <v>RESIST</v>
      </c>
      <c r="F93" s="146"/>
      <c r="G93" s="146"/>
      <c r="H93" s="146"/>
      <c r="I93" s="216"/>
      <c r="J93" s="216"/>
      <c r="K93" s="345"/>
      <c r="L93" s="346" t="str">
        <f>Products!B487</f>
        <v>полотно розміром 100</v>
      </c>
      <c r="M93" s="347">
        <f>Products!E487</f>
        <v>720</v>
      </c>
    </row>
    <row r="94" spans="1:13" ht="22.5">
      <c r="B94" s="577"/>
      <c r="C94" s="157" t="str">
        <f>Products!C477</f>
        <v>заповнення:</v>
      </c>
      <c r="D94" s="168" t="str">
        <f>Products!D477</f>
        <v>клеєний сосновий брус</v>
      </c>
      <c r="E94" s="168" t="str">
        <f>Products!F477</f>
        <v>клеєний сосновий брус</v>
      </c>
      <c r="F94" s="414"/>
      <c r="G94" s="414"/>
      <c r="H94" s="414"/>
      <c r="I94" s="216"/>
      <c r="J94" s="216"/>
      <c r="K94" s="348"/>
      <c r="L94" s="342" t="str">
        <f>Products!B488</f>
        <v>вентиляційний підріз</v>
      </c>
      <c r="M94" s="349">
        <f>Products!E488</f>
        <v>170.00000000000003</v>
      </c>
    </row>
    <row r="95" spans="1:13">
      <c r="B95" s="578"/>
      <c r="C95" s="158" t="str">
        <f>Products!C478</f>
        <v>скління:</v>
      </c>
      <c r="D95" s="161" t="str">
        <f>Products!D478</f>
        <v>Сатин</v>
      </c>
      <c r="E95" s="161" t="str">
        <f>Products!F478</f>
        <v>Сатин</v>
      </c>
      <c r="F95" s="414"/>
      <c r="G95" s="414"/>
      <c r="H95" s="414"/>
      <c r="I95" s="216"/>
      <c r="J95" s="216"/>
      <c r="K95" s="348"/>
      <c r="L95" s="342" t="str">
        <f>Products!B489</f>
        <v>скло Графіт / Бронза</v>
      </c>
      <c r="M95" s="349">
        <f>Products!E489</f>
        <v>550</v>
      </c>
    </row>
    <row r="96" spans="1:13">
      <c r="B96" s="114" t="str">
        <f>Products!B479</f>
        <v>1.0-1.1</v>
      </c>
      <c r="C96" s="173"/>
      <c r="D96" s="292">
        <f>Products!E479</f>
        <v>7020</v>
      </c>
      <c r="E96" s="292">
        <f>Products!G479</f>
        <v>7300.0000000000009</v>
      </c>
      <c r="F96" s="199"/>
      <c r="G96" s="199"/>
      <c r="H96" s="199"/>
      <c r="I96" s="31"/>
      <c r="J96" s="361"/>
      <c r="K96" s="348"/>
      <c r="L96" s="342" t="str">
        <f>Products!B490</f>
        <v>замок Soft</v>
      </c>
      <c r="M96" s="349">
        <f>Products!E490</f>
        <v>550</v>
      </c>
    </row>
    <row r="97" spans="2:13">
      <c r="B97" s="16" t="str">
        <f>Products!B480</f>
        <v>1А.1</v>
      </c>
      <c r="C97" s="164"/>
      <c r="D97" s="185">
        <f>Products!E480</f>
        <v>6830</v>
      </c>
      <c r="E97" s="185">
        <f>Products!G480</f>
        <v>7100</v>
      </c>
      <c r="F97" s="199"/>
      <c r="G97" s="199"/>
      <c r="H97" s="199"/>
      <c r="I97" s="31"/>
      <c r="J97" s="361"/>
      <c r="K97" s="348"/>
      <c r="L97" s="342" t="str">
        <f>Products!B491</f>
        <v>замок Soft чорн.</v>
      </c>
      <c r="M97" s="349">
        <f>Products!E491</f>
        <v>680.00000000000011</v>
      </c>
    </row>
    <row r="98" spans="2:13">
      <c r="B98" s="16" t="str">
        <f>Products!B481</f>
        <v>2.0-2.1</v>
      </c>
      <c r="C98" s="164"/>
      <c r="D98" s="185">
        <f>Products!E481</f>
        <v>7290</v>
      </c>
      <c r="E98" s="185">
        <f>Products!G481</f>
        <v>7580</v>
      </c>
      <c r="F98" s="199"/>
      <c r="G98" s="199"/>
      <c r="H98" s="199"/>
      <c r="I98" s="31"/>
      <c r="J98" s="361"/>
      <c r="K98" s="348"/>
      <c r="L98" s="342" t="str">
        <f>Products!B492</f>
        <v>замок Magnet</v>
      </c>
      <c r="M98" s="349">
        <f>Products!E492</f>
        <v>800.00000000000011</v>
      </c>
    </row>
    <row r="99" spans="2:13">
      <c r="B99" s="16" t="str">
        <f>Products!B482</f>
        <v>2А.1</v>
      </c>
      <c r="C99" s="441"/>
      <c r="D99" s="185">
        <f>Products!E482</f>
        <v>7060.0000000000009</v>
      </c>
      <c r="E99" s="185">
        <f>Products!G482</f>
        <v>7340</v>
      </c>
      <c r="F99" s="97"/>
      <c r="G99" s="97"/>
      <c r="H99" s="31"/>
      <c r="I99" s="31"/>
      <c r="J99" s="361"/>
      <c r="K99" s="348"/>
      <c r="L99" s="342" t="str">
        <f>Products!B493</f>
        <v>замок Magnet чорн.</v>
      </c>
      <c r="M99" s="349">
        <f>Products!E493</f>
        <v>1000</v>
      </c>
    </row>
    <row r="100" spans="2:13">
      <c r="B100" s="23" t="str">
        <f>Products!B483</f>
        <v>3.0-3.1</v>
      </c>
      <c r="C100" s="442"/>
      <c r="D100" s="187">
        <f>Products!E483</f>
        <v>7590</v>
      </c>
      <c r="E100" s="187">
        <f>Products!G483</f>
        <v>7900</v>
      </c>
      <c r="H100" s="31"/>
      <c r="I100" s="31"/>
      <c r="J100" s="361"/>
      <c r="K100" s="348"/>
      <c r="L100" s="342" t="str">
        <f>Products!B494</f>
        <v>ручка-замок (для дверей купе)</v>
      </c>
      <c r="M100" s="349">
        <f>Products!E494</f>
        <v>560</v>
      </c>
    </row>
    <row r="101" spans="2:13">
      <c r="C101" s="34"/>
      <c r="D101" s="34"/>
      <c r="E101" s="34"/>
      <c r="H101" s="31"/>
      <c r="I101" s="31"/>
      <c r="J101" s="361"/>
      <c r="K101" s="348"/>
      <c r="L101" s="342" t="str">
        <f>Products!B495</f>
        <v>циліндр несиметричний</v>
      </c>
      <c r="M101" s="349">
        <f>Products!E495</f>
        <v>390</v>
      </c>
    </row>
    <row r="102" spans="2:13">
      <c r="C102" s="34"/>
      <c r="D102" s="34"/>
      <c r="E102" s="34"/>
      <c r="H102" s="31"/>
      <c r="I102" s="31"/>
      <c r="J102" s="361"/>
      <c r="K102" s="348"/>
      <c r="L102" s="342" t="str">
        <f>Products!B496</f>
        <v>завіса Prestige (1 шт)</v>
      </c>
      <c r="M102" s="349">
        <f>Products!E496</f>
        <v>260</v>
      </c>
    </row>
    <row r="103" spans="2:13">
      <c r="C103" s="34"/>
      <c r="D103" s="34"/>
      <c r="E103" s="34"/>
      <c r="J103" s="353"/>
      <c r="K103" s="348"/>
      <c r="L103" s="342" t="str">
        <f>Products!B497</f>
        <v>накладка на завіси (1 к-т)</v>
      </c>
      <c r="M103" s="349">
        <f>Products!E497</f>
        <v>80</v>
      </c>
    </row>
    <row r="104" spans="2:13" ht="21">
      <c r="C104" s="34"/>
      <c r="D104" s="34"/>
      <c r="E104" s="34"/>
      <c r="J104" s="353"/>
      <c r="K104" s="348"/>
      <c r="L104" s="342" t="str">
        <f>Products!B498</f>
        <v>дверна ручка</v>
      </c>
      <c r="M104" s="349" t="str">
        <f>Products!E498</f>
        <v>див. Таблицю Ручки</v>
      </c>
    </row>
    <row r="105" spans="2:13">
      <c r="B105" s="585" t="str">
        <f>Products!B524</f>
        <v>Полотна збірні: ПРОВАНС</v>
      </c>
      <c r="C105" s="586"/>
      <c r="D105" s="586"/>
      <c r="E105" s="586"/>
      <c r="F105" s="440"/>
      <c r="G105" s="440"/>
      <c r="H105" s="440"/>
      <c r="I105" s="170"/>
      <c r="J105" s="343"/>
      <c r="K105" s="343"/>
      <c r="L105" s="355"/>
      <c r="M105" s="356"/>
    </row>
    <row r="106" spans="2:13">
      <c r="B106" s="587" t="str">
        <f>Products!B526</f>
        <v>модель</v>
      </c>
      <c r="C106" s="474" t="str">
        <f>Products!C526</f>
        <v>покриття:</v>
      </c>
      <c r="D106" s="475" t="str">
        <f>Products!D526</f>
        <v>UNI-MAT</v>
      </c>
      <c r="E106" s="476" t="str">
        <f>Products!F526</f>
        <v>RESIST</v>
      </c>
      <c r="F106" s="146"/>
      <c r="G106" s="146"/>
      <c r="H106" s="146"/>
      <c r="I106" s="216"/>
      <c r="J106" s="216"/>
      <c r="K106" s="357"/>
      <c r="L106" s="341" t="str">
        <f>Products!B536</f>
        <v>полотно розміром 100</v>
      </c>
      <c r="M106" s="358">
        <f>Products!E536</f>
        <v>720</v>
      </c>
    </row>
    <row r="107" spans="2:13" ht="19.899999999999999" customHeight="1">
      <c r="B107" s="588"/>
      <c r="C107" s="477" t="str">
        <f>Products!C527</f>
        <v>заповнення:</v>
      </c>
      <c r="D107" s="478" t="str">
        <f>Products!D527</f>
        <v>клеєний сосновий брус</v>
      </c>
      <c r="E107" s="479" t="str">
        <f>Products!F527</f>
        <v>клеєний сосновий брус</v>
      </c>
      <c r="F107" s="468"/>
      <c r="G107" s="468"/>
      <c r="H107" s="468"/>
      <c r="I107" s="216"/>
      <c r="J107" s="216"/>
      <c r="K107" s="348"/>
      <c r="L107" s="341" t="str">
        <f>Products!B537</f>
        <v>вентиляційний підріз</v>
      </c>
      <c r="M107" s="358">
        <f>Products!E537</f>
        <v>170.00000000000003</v>
      </c>
    </row>
    <row r="108" spans="2:13" ht="15.6" customHeight="1">
      <c r="B108" s="589"/>
      <c r="C108" s="480" t="str">
        <f>Products!C528</f>
        <v>скління:</v>
      </c>
      <c r="D108" s="481" t="str">
        <f>Products!D528</f>
        <v>Сатин</v>
      </c>
      <c r="E108" s="482" t="str">
        <f>Products!F528</f>
        <v>Сатин</v>
      </c>
      <c r="F108" s="468"/>
      <c r="G108" s="468"/>
      <c r="H108" s="468"/>
      <c r="I108" s="216"/>
      <c r="J108" s="216"/>
      <c r="K108" s="348"/>
      <c r="L108" s="341" t="str">
        <f>Products!B538</f>
        <v>скло Графіт / Бронза</v>
      </c>
      <c r="M108" s="358">
        <f>Products!E538</f>
        <v>550</v>
      </c>
    </row>
    <row r="109" spans="2:13">
      <c r="B109" s="114" t="str">
        <f>Products!B529</f>
        <v>1.0-1.1</v>
      </c>
      <c r="C109" s="173"/>
      <c r="D109" s="292">
        <f>Products!E529</f>
        <v>7020</v>
      </c>
      <c r="E109" s="292">
        <f>Products!G529</f>
        <v>7300.0000000000009</v>
      </c>
      <c r="F109" s="199"/>
      <c r="G109" s="199"/>
      <c r="H109" s="199"/>
      <c r="I109" s="31"/>
      <c r="J109" s="361"/>
      <c r="K109" s="348"/>
      <c r="L109" s="341" t="str">
        <f>Products!B539</f>
        <v>замок Soft</v>
      </c>
      <c r="M109" s="358">
        <f>Products!E539</f>
        <v>550</v>
      </c>
    </row>
    <row r="110" spans="2:13">
      <c r="B110" s="114" t="str">
        <f>Products!B530</f>
        <v>2.0-2.1</v>
      </c>
      <c r="C110" s="164"/>
      <c r="D110" s="292">
        <f>Products!E530</f>
        <v>7290</v>
      </c>
      <c r="E110" s="292">
        <f>Products!G530</f>
        <v>7580</v>
      </c>
      <c r="F110" s="199"/>
      <c r="G110" s="199"/>
      <c r="H110" s="199"/>
      <c r="I110" s="31"/>
      <c r="J110" s="361"/>
      <c r="K110" s="348"/>
      <c r="L110" s="341" t="str">
        <f>Products!B540</f>
        <v>замок Soft чорн.</v>
      </c>
      <c r="M110" s="358">
        <f>Products!E540</f>
        <v>680.00000000000011</v>
      </c>
    </row>
    <row r="111" spans="2:13">
      <c r="B111" s="114" t="str">
        <f>Products!B531</f>
        <v>2А.1</v>
      </c>
      <c r="C111" s="164"/>
      <c r="D111" s="292">
        <f>Products!E531</f>
        <v>7060.0000000000009</v>
      </c>
      <c r="E111" s="292">
        <f>Products!G531</f>
        <v>7340</v>
      </c>
      <c r="F111" s="199"/>
      <c r="G111" s="199"/>
      <c r="H111" s="199"/>
      <c r="I111" s="31"/>
      <c r="J111" s="361"/>
      <c r="K111" s="348"/>
      <c r="L111" s="341" t="str">
        <f>Products!B541</f>
        <v>замок Magnet</v>
      </c>
      <c r="M111" s="358">
        <f>Products!E541</f>
        <v>800.00000000000011</v>
      </c>
    </row>
    <row r="112" spans="2:13">
      <c r="B112" s="470" t="str">
        <f>Products!B532</f>
        <v>3.0-3.1</v>
      </c>
      <c r="C112" s="471"/>
      <c r="D112" s="472">
        <f>Products!E532</f>
        <v>7590</v>
      </c>
      <c r="E112" s="472">
        <f>Products!G532</f>
        <v>7900</v>
      </c>
      <c r="F112" s="97"/>
      <c r="G112" s="97"/>
      <c r="H112" s="31"/>
      <c r="I112" s="31"/>
      <c r="J112" s="361"/>
      <c r="K112" s="348"/>
      <c r="L112" s="341" t="str">
        <f>Products!B542</f>
        <v>замок Magnet чорн.</v>
      </c>
      <c r="M112" s="358">
        <f>Products!E542</f>
        <v>1000</v>
      </c>
    </row>
    <row r="113" spans="1:13">
      <c r="B113" s="313"/>
      <c r="C113" s="473"/>
      <c r="D113" s="196"/>
      <c r="E113" s="196"/>
      <c r="H113" s="31"/>
      <c r="I113" s="31"/>
      <c r="J113" s="361"/>
      <c r="K113" s="348"/>
      <c r="L113" s="341" t="str">
        <f>Products!B543</f>
        <v>ручка-замок (для дверей купе)</v>
      </c>
      <c r="M113" s="358">
        <f>Products!E543</f>
        <v>560</v>
      </c>
    </row>
    <row r="114" spans="1:13">
      <c r="C114" s="34"/>
      <c r="D114" s="34"/>
      <c r="E114" s="34"/>
      <c r="H114" s="31"/>
      <c r="I114" s="31"/>
      <c r="J114" s="361"/>
      <c r="K114" s="348"/>
      <c r="L114" s="341" t="str">
        <f>Products!B544</f>
        <v>циліндр несиметричний</v>
      </c>
      <c r="M114" s="358">
        <f>Products!E544</f>
        <v>390</v>
      </c>
    </row>
    <row r="115" spans="1:13">
      <c r="C115" s="34"/>
      <c r="D115" s="34"/>
      <c r="E115" s="34"/>
      <c r="H115" s="31"/>
      <c r="I115" s="31"/>
      <c r="J115" s="361"/>
      <c r="K115" s="348"/>
      <c r="L115" s="341" t="str">
        <f>Products!B545</f>
        <v>завіса Prestige (1 шт)</v>
      </c>
      <c r="M115" s="358">
        <f>Products!E545</f>
        <v>260</v>
      </c>
    </row>
    <row r="116" spans="1:13">
      <c r="C116" s="34"/>
      <c r="D116" s="34"/>
      <c r="E116" s="34"/>
      <c r="J116" s="353"/>
      <c r="K116" s="348"/>
      <c r="L116" s="341" t="str">
        <f>Products!B546</f>
        <v>накладка на завіси (1 к-т)</v>
      </c>
      <c r="M116" s="358">
        <f>Products!E546</f>
        <v>80</v>
      </c>
    </row>
    <row r="117" spans="1:13" ht="21">
      <c r="C117" s="34"/>
      <c r="D117" s="34"/>
      <c r="E117" s="34"/>
      <c r="J117" s="353"/>
      <c r="K117" s="348"/>
      <c r="L117" s="341" t="str">
        <f>Products!B547</f>
        <v>дверна ручка</v>
      </c>
      <c r="M117" s="358" t="str">
        <f>Products!E547</f>
        <v>див. Таблицю Ручки</v>
      </c>
    </row>
    <row r="118" spans="1:13" s="31" customFormat="1" ht="12.75" customHeight="1">
      <c r="B118" s="570" t="str">
        <f>TITLE!$C$16</f>
        <v>Полотна збірні: ЛАДА A</v>
      </c>
      <c r="C118" s="571"/>
      <c r="D118" s="571"/>
      <c r="E118" s="571"/>
      <c r="F118" s="170"/>
      <c r="G118" s="170"/>
      <c r="H118" s="170"/>
      <c r="I118" s="170"/>
      <c r="J118" s="343"/>
      <c r="K118" s="343"/>
      <c r="L118" s="355"/>
      <c r="M118" s="356"/>
    </row>
    <row r="119" spans="1:13" ht="24.75" customHeight="1">
      <c r="A119" s="31"/>
      <c r="B119" s="567" t="str">
        <f>Products!B576</f>
        <v>модель</v>
      </c>
      <c r="C119" s="156" t="str">
        <f>Products!C576</f>
        <v>покриття:</v>
      </c>
      <c r="D119" s="466" t="str">
        <f>Products!D576</f>
        <v>Verto-CELL</v>
      </c>
      <c r="E119" s="167" t="str">
        <f>Products!F576</f>
        <v>UNI-MAT</v>
      </c>
      <c r="F119" s="463" t="str">
        <f>Products!H576</f>
        <v>RESIST</v>
      </c>
      <c r="G119" s="463" t="str">
        <f>Products!J576</f>
        <v>Verto LINE-3D</v>
      </c>
      <c r="H119" s="463" t="str">
        <f>Products!L576</f>
        <v>ЕКО Шпон</v>
      </c>
      <c r="I119" s="216"/>
      <c r="J119" s="216"/>
      <c r="K119" s="357"/>
      <c r="L119" s="341" t="str">
        <f>Products!B585</f>
        <v>полотно розміром 100</v>
      </c>
      <c r="M119" s="358">
        <f>Products!E585</f>
        <v>720</v>
      </c>
    </row>
    <row r="120" spans="1:13" ht="24.75" customHeight="1">
      <c r="A120" s="31"/>
      <c r="B120" s="568"/>
      <c r="C120" s="157" t="str">
        <f>Products!C577</f>
        <v>заповнення:</v>
      </c>
      <c r="D120" s="469" t="str">
        <f>Products!D577</f>
        <v>клеєний сосновий брус</v>
      </c>
      <c r="E120" s="168" t="str">
        <f>Products!F577</f>
        <v>клеєний сосновий брус</v>
      </c>
      <c r="F120" s="464" t="str">
        <f>Products!H577</f>
        <v>клеєний сосновий брус</v>
      </c>
      <c r="G120" s="464" t="str">
        <f>Products!J577</f>
        <v>клеєний сосновий брус</v>
      </c>
      <c r="H120" s="464" t="str">
        <f>Products!L577</f>
        <v>клеєний сосновий брус</v>
      </c>
      <c r="I120" s="216"/>
      <c r="J120" s="216"/>
      <c r="K120" s="348"/>
      <c r="L120" s="342" t="str">
        <f>Products!B586</f>
        <v>вентиляційний підріз</v>
      </c>
      <c r="M120" s="349">
        <f>Products!E586</f>
        <v>170.00000000000003</v>
      </c>
    </row>
    <row r="121" spans="1:13" ht="12.75" customHeight="1">
      <c r="A121" s="31"/>
      <c r="B121" s="569"/>
      <c r="C121" s="158" t="str">
        <f>Products!C578</f>
        <v>скління:</v>
      </c>
      <c r="D121" s="467" t="str">
        <f>Products!D578</f>
        <v>Сатин</v>
      </c>
      <c r="E121" s="161" t="str">
        <f>Products!F578</f>
        <v>Сатин</v>
      </c>
      <c r="F121" s="462" t="str">
        <f>Products!H578</f>
        <v>Сатин</v>
      </c>
      <c r="G121" s="462" t="str">
        <f>Products!J578</f>
        <v>Сатин</v>
      </c>
      <c r="H121" s="462" t="str">
        <f>Products!L578</f>
        <v>Сатин</v>
      </c>
      <c r="I121" s="216"/>
      <c r="J121" s="216"/>
      <c r="K121" s="348"/>
      <c r="L121" s="342" t="str">
        <f>Products!B587</f>
        <v>скло Графіт / Бронза</v>
      </c>
      <c r="M121" s="349">
        <f>Products!E587</f>
        <v>550</v>
      </c>
    </row>
    <row r="122" spans="1:13">
      <c r="A122" s="31"/>
      <c r="B122" s="13" t="str">
        <f>Products!B579</f>
        <v>2А.0 - 2А.1</v>
      </c>
      <c r="C122" s="163"/>
      <c r="D122" s="184">
        <f>Products!E579</f>
        <v>6230</v>
      </c>
      <c r="E122" s="184">
        <f>Products!G579</f>
        <v>7100</v>
      </c>
      <c r="F122" s="184">
        <f>Products!I579</f>
        <v>7390</v>
      </c>
      <c r="G122" s="184">
        <f>Products!K579</f>
        <v>8050</v>
      </c>
      <c r="H122" s="184">
        <f>Products!M579</f>
        <v>8470</v>
      </c>
      <c r="I122" s="31"/>
      <c r="J122" s="361"/>
      <c r="K122" s="348"/>
      <c r="L122" s="342" t="str">
        <f>Products!B588</f>
        <v>замок Soft</v>
      </c>
      <c r="M122" s="349">
        <f>Products!E588</f>
        <v>550</v>
      </c>
    </row>
    <row r="123" spans="1:13">
      <c r="A123" s="31"/>
      <c r="B123" s="114" t="str">
        <f>Products!B580</f>
        <v>3А.0 - 3А.2</v>
      </c>
      <c r="C123" s="173"/>
      <c r="D123" s="194">
        <f>Products!E580</f>
        <v>6230</v>
      </c>
      <c r="E123" s="194">
        <f>Products!G580</f>
        <v>7100</v>
      </c>
      <c r="F123" s="194">
        <f>Products!I580</f>
        <v>7390</v>
      </c>
      <c r="G123" s="194">
        <f>Products!K580</f>
        <v>8050</v>
      </c>
      <c r="H123" s="194">
        <f>Products!M580</f>
        <v>8470</v>
      </c>
      <c r="I123" s="31"/>
      <c r="J123" s="361"/>
      <c r="K123" s="348"/>
      <c r="L123" s="342" t="str">
        <f>Products!B589</f>
        <v>замок Soft чорн.</v>
      </c>
      <c r="M123" s="349">
        <f>Products!E589</f>
        <v>680.00000000000011</v>
      </c>
    </row>
    <row r="124" spans="1:13">
      <c r="A124" s="31"/>
      <c r="B124" s="281" t="str">
        <f>Products!B581</f>
        <v>8.0 - 8.5</v>
      </c>
      <c r="C124" s="282"/>
      <c r="D124" s="283">
        <f>Products!E581</f>
        <v>6230</v>
      </c>
      <c r="E124" s="283">
        <f>Products!G581</f>
        <v>7100</v>
      </c>
      <c r="F124" s="283">
        <f>Products!I581</f>
        <v>7390</v>
      </c>
      <c r="G124" s="283">
        <f>Products!K581</f>
        <v>8050</v>
      </c>
      <c r="H124" s="283">
        <f>Products!M581</f>
        <v>8470</v>
      </c>
      <c r="I124" s="31"/>
      <c r="J124" s="361"/>
      <c r="K124" s="348"/>
      <c r="L124" s="342" t="str">
        <f>Products!B590</f>
        <v>замок Magnet</v>
      </c>
      <c r="M124" s="349">
        <f>Products!E590</f>
        <v>800.00000000000011</v>
      </c>
    </row>
    <row r="125" spans="1:13">
      <c r="A125" s="31"/>
      <c r="F125" s="97"/>
      <c r="G125" s="97"/>
      <c r="H125" s="31"/>
      <c r="I125" s="31"/>
      <c r="J125" s="361"/>
      <c r="K125" s="348"/>
      <c r="L125" s="342" t="str">
        <f>Products!B591</f>
        <v>замок Magnet чорн.</v>
      </c>
      <c r="M125" s="349">
        <f>Products!E591</f>
        <v>1000</v>
      </c>
    </row>
    <row r="126" spans="1:13">
      <c r="A126" s="31"/>
      <c r="C126" s="34"/>
      <c r="D126" s="34"/>
      <c r="E126" s="34"/>
      <c r="H126" s="31"/>
      <c r="I126" s="31"/>
      <c r="J126" s="361"/>
      <c r="K126" s="348"/>
      <c r="L126" s="342" t="str">
        <f>Products!B592</f>
        <v>ручка-замок (для дверей купе)</v>
      </c>
      <c r="M126" s="349">
        <f>Products!E592</f>
        <v>560</v>
      </c>
    </row>
    <row r="127" spans="1:13">
      <c r="A127" s="31"/>
      <c r="C127" s="34"/>
      <c r="D127" s="34"/>
      <c r="E127" s="34"/>
      <c r="H127" s="31"/>
      <c r="I127" s="31"/>
      <c r="J127" s="361"/>
      <c r="K127" s="348"/>
      <c r="L127" s="342" t="str">
        <f>Products!B593</f>
        <v>циліндр несиметричний</v>
      </c>
      <c r="M127" s="349">
        <f>Products!E593</f>
        <v>390</v>
      </c>
    </row>
    <row r="128" spans="1:13">
      <c r="A128" s="31"/>
      <c r="C128" s="34"/>
      <c r="D128" s="34"/>
      <c r="E128" s="34"/>
      <c r="H128" s="31"/>
      <c r="I128" s="31"/>
      <c r="J128" s="361"/>
      <c r="K128" s="348"/>
      <c r="L128" s="342" t="str">
        <f>Products!B594</f>
        <v>завіса Prestige (1 шт)</v>
      </c>
      <c r="M128" s="349">
        <f>Products!E594</f>
        <v>260</v>
      </c>
    </row>
    <row r="129" spans="2:13">
      <c r="C129" s="34"/>
      <c r="D129" s="34"/>
      <c r="E129" s="34"/>
      <c r="J129" s="353"/>
      <c r="K129" s="348"/>
      <c r="L129" s="342" t="str">
        <f>Products!B595</f>
        <v>накладка на завіси (1 к-т)</v>
      </c>
      <c r="M129" s="349">
        <f>Products!E595</f>
        <v>80</v>
      </c>
    </row>
    <row r="130" spans="2:13" ht="21">
      <c r="C130" s="34"/>
      <c r="D130" s="34"/>
      <c r="E130" s="34"/>
      <c r="J130" s="353"/>
      <c r="K130" s="348"/>
      <c r="L130" s="342" t="str">
        <f>Products!B596</f>
        <v>дверна ручка</v>
      </c>
      <c r="M130" s="349" t="str">
        <f>Products!E596</f>
        <v>див. Таблицю Ручки</v>
      </c>
    </row>
    <row r="131" spans="2:13">
      <c r="B131" s="570" t="str">
        <f>Products!B647</f>
        <v>Полотна збірні: ЛАДА B</v>
      </c>
      <c r="C131" s="571"/>
      <c r="D131" s="571"/>
      <c r="E131" s="571"/>
      <c r="F131" s="170"/>
      <c r="G131" s="170"/>
      <c r="H131" s="170"/>
      <c r="I131" s="170"/>
      <c r="J131" s="343"/>
      <c r="K131" s="343"/>
      <c r="L131" s="355"/>
      <c r="M131" s="356"/>
    </row>
    <row r="132" spans="2:13" ht="27.75" customHeight="1">
      <c r="B132" s="567" t="str">
        <f>Products!B649</f>
        <v>модель</v>
      </c>
      <c r="C132" s="156" t="str">
        <f>Products!C649</f>
        <v>покриття:</v>
      </c>
      <c r="D132" s="129" t="str">
        <f>Products!D649</f>
        <v>Verto-CELL</v>
      </c>
      <c r="E132" s="167" t="str">
        <f>Products!F649</f>
        <v>UNI-MAT</v>
      </c>
      <c r="F132" s="130" t="str">
        <f>Products!H649</f>
        <v>RESIST</v>
      </c>
      <c r="G132" s="130" t="str">
        <f>Products!J649</f>
        <v>Verto LINE-3D</v>
      </c>
      <c r="H132" s="130" t="str">
        <f>Products!L649</f>
        <v>ЕКО Шпон</v>
      </c>
      <c r="I132" s="216"/>
      <c r="J132" s="216"/>
      <c r="K132" s="357"/>
      <c r="L132" s="341" t="str">
        <f>Products!B658</f>
        <v>полотно розміром 100</v>
      </c>
      <c r="M132" s="358">
        <f>Products!E658</f>
        <v>720</v>
      </c>
    </row>
    <row r="133" spans="2:13" ht="24" customHeight="1">
      <c r="B133" s="568"/>
      <c r="C133" s="157" t="str">
        <f>Products!C650</f>
        <v>заповнення:</v>
      </c>
      <c r="D133" s="139" t="str">
        <f>Products!D650</f>
        <v>клеєний сосновий брус</v>
      </c>
      <c r="E133" s="168" t="str">
        <f>Products!F650</f>
        <v>клеєний сосновий брус</v>
      </c>
      <c r="F133" s="140" t="str">
        <f>Products!H650</f>
        <v>клеєний сосновий брус</v>
      </c>
      <c r="G133" s="140" t="str">
        <f>Products!J650</f>
        <v>клеєний сосновий брус</v>
      </c>
      <c r="H133" s="140" t="str">
        <f>Products!L650</f>
        <v>клеєний сосновий брус</v>
      </c>
      <c r="I133" s="216"/>
      <c r="J133" s="216"/>
      <c r="K133" s="348"/>
      <c r="L133" s="342" t="str">
        <f>Products!B659</f>
        <v>вентиляційний підріз</v>
      </c>
      <c r="M133" s="349">
        <f>Products!E659</f>
        <v>170.00000000000003</v>
      </c>
    </row>
    <row r="134" spans="2:13">
      <c r="B134" s="569"/>
      <c r="C134" s="158" t="str">
        <f>Products!C651</f>
        <v>скління:</v>
      </c>
      <c r="D134" s="137" t="str">
        <f>Products!D651</f>
        <v>Сатин</v>
      </c>
      <c r="E134" s="161" t="str">
        <f>Products!F651</f>
        <v>Сатин</v>
      </c>
      <c r="F134" s="126" t="str">
        <f>Products!H651</f>
        <v>Сатин</v>
      </c>
      <c r="G134" s="126" t="str">
        <f>Products!J651</f>
        <v>Сатин</v>
      </c>
      <c r="H134" s="126" t="str">
        <f>Products!L651</f>
        <v>Сатин</v>
      </c>
      <c r="I134" s="216"/>
      <c r="J134" s="216"/>
      <c r="K134" s="348"/>
      <c r="L134" s="342" t="str">
        <f>Products!B660</f>
        <v>скло Графіт / Бронза</v>
      </c>
      <c r="M134" s="349">
        <f>Products!E660</f>
        <v>550</v>
      </c>
    </row>
    <row r="135" spans="2:13">
      <c r="B135" s="13" t="str">
        <f>Products!B652</f>
        <v>1.0 - 1.3</v>
      </c>
      <c r="C135" s="163"/>
      <c r="D135" s="184">
        <f>Products!E652</f>
        <v>6230</v>
      </c>
      <c r="E135" s="184">
        <f>Products!G652</f>
        <v>7100</v>
      </c>
      <c r="F135" s="184">
        <f>Products!I652</f>
        <v>7400</v>
      </c>
      <c r="G135" s="184">
        <f>Products!K652</f>
        <v>8050</v>
      </c>
      <c r="H135" s="184">
        <f>Products!M652</f>
        <v>8470</v>
      </c>
      <c r="I135" s="31"/>
      <c r="J135" s="361"/>
      <c r="K135" s="348"/>
      <c r="L135" s="342" t="str">
        <f>Products!B661</f>
        <v>скло Lacobel чорне</v>
      </c>
      <c r="M135" s="349">
        <f>Products!E661</f>
        <v>550</v>
      </c>
    </row>
    <row r="136" spans="2:13">
      <c r="B136" s="114" t="str">
        <f>Products!B653</f>
        <v>2.0 - 2.2</v>
      </c>
      <c r="C136" s="173"/>
      <c r="D136" s="194">
        <f>Products!E653</f>
        <v>6230</v>
      </c>
      <c r="E136" s="194">
        <f>Products!G653</f>
        <v>7100</v>
      </c>
      <c r="F136" s="194">
        <f>Products!I653</f>
        <v>7400</v>
      </c>
      <c r="G136" s="194">
        <f>Products!K653</f>
        <v>8050</v>
      </c>
      <c r="H136" s="194">
        <f>Products!M653</f>
        <v>8470</v>
      </c>
      <c r="I136" s="31"/>
      <c r="J136" s="361"/>
      <c r="K136" s="348"/>
      <c r="L136" s="342" t="str">
        <f>Products!B662</f>
        <v>замок Soft</v>
      </c>
      <c r="M136" s="349">
        <f>Products!E662</f>
        <v>550</v>
      </c>
    </row>
    <row r="137" spans="2:13">
      <c r="B137" s="281" t="str">
        <f>Products!B654</f>
        <v>3.0 - 3.5</v>
      </c>
      <c r="C137" s="282"/>
      <c r="D137" s="283">
        <f>Products!E654</f>
        <v>6500</v>
      </c>
      <c r="E137" s="283">
        <f>Products!G654</f>
        <v>7400</v>
      </c>
      <c r="F137" s="283">
        <f>Products!I654</f>
        <v>7730</v>
      </c>
      <c r="G137" s="283">
        <f>Products!K654</f>
        <v>8340</v>
      </c>
      <c r="H137" s="283">
        <f>Products!M654</f>
        <v>8850</v>
      </c>
      <c r="I137" s="31"/>
      <c r="J137" s="361"/>
      <c r="K137" s="348"/>
      <c r="L137" s="342" t="str">
        <f>Products!B663</f>
        <v>замок Soft чорн.</v>
      </c>
      <c r="M137" s="349">
        <f>Products!E663</f>
        <v>680.00000000000011</v>
      </c>
    </row>
    <row r="138" spans="2:13">
      <c r="F138" s="97"/>
      <c r="G138" s="97"/>
      <c r="H138" s="31"/>
      <c r="I138" s="31"/>
      <c r="J138" s="361"/>
      <c r="K138" s="348"/>
      <c r="L138" s="342" t="str">
        <f>Products!B664</f>
        <v>замок Magnet</v>
      </c>
      <c r="M138" s="349">
        <f>Products!E664</f>
        <v>800.00000000000011</v>
      </c>
    </row>
    <row r="139" spans="2:13">
      <c r="C139" s="34"/>
      <c r="D139" s="34"/>
      <c r="E139" s="34"/>
      <c r="H139" s="31"/>
      <c r="I139" s="31"/>
      <c r="J139" s="361"/>
      <c r="K139" s="348"/>
      <c r="L139" s="342" t="str">
        <f>Products!B665</f>
        <v>замок Magnet чорн.</v>
      </c>
      <c r="M139" s="349">
        <f>Products!E665</f>
        <v>1000</v>
      </c>
    </row>
    <row r="140" spans="2:13">
      <c r="C140" s="34"/>
      <c r="D140" s="34"/>
      <c r="E140" s="34"/>
      <c r="H140" s="31"/>
      <c r="I140" s="31"/>
      <c r="J140" s="361"/>
      <c r="K140" s="348"/>
      <c r="L140" s="342" t="str">
        <f>Products!B666</f>
        <v>ручка-замок (для дверей купе)</v>
      </c>
      <c r="M140" s="349">
        <f>Products!E666</f>
        <v>560</v>
      </c>
    </row>
    <row r="141" spans="2:13">
      <c r="C141" s="34"/>
      <c r="D141" s="34"/>
      <c r="E141" s="34"/>
      <c r="H141" s="31"/>
      <c r="I141" s="31"/>
      <c r="J141" s="361"/>
      <c r="K141" s="348"/>
      <c r="L141" s="342" t="str">
        <f>Products!B667</f>
        <v>циліндр несиметричний</v>
      </c>
      <c r="M141" s="349">
        <f>Products!E667</f>
        <v>390</v>
      </c>
    </row>
    <row r="142" spans="2:13">
      <c r="F142" s="97"/>
      <c r="G142" s="97"/>
      <c r="H142" s="31"/>
      <c r="I142" s="31"/>
      <c r="J142" s="361"/>
      <c r="K142" s="348"/>
      <c r="L142" s="342" t="str">
        <f>Products!B668</f>
        <v>завіса Prestige (1 шт)</v>
      </c>
      <c r="M142" s="349">
        <f>Products!E668</f>
        <v>260</v>
      </c>
    </row>
    <row r="143" spans="2:13">
      <c r="C143" s="34"/>
      <c r="D143" s="34"/>
      <c r="E143" s="34"/>
      <c r="J143" s="353"/>
      <c r="K143" s="348"/>
      <c r="L143" s="342" t="str">
        <f>Products!B669</f>
        <v>накладка на завіси (1 к-т)</v>
      </c>
      <c r="M143" s="349">
        <f>Products!E669</f>
        <v>80</v>
      </c>
    </row>
    <row r="144" spans="2:13" ht="21">
      <c r="C144" s="34"/>
      <c r="D144" s="34"/>
      <c r="E144" s="34"/>
      <c r="J144" s="353"/>
      <c r="K144" s="348"/>
      <c r="L144" s="342" t="str">
        <f>Products!B670</f>
        <v>дверна ручка</v>
      </c>
      <c r="M144" s="349" t="str">
        <f>Products!E670</f>
        <v>див. Таблицю Ручки</v>
      </c>
    </row>
    <row r="145" spans="2:13">
      <c r="B145" s="570" t="str">
        <f>Products!B721</f>
        <v>Полотна збірні: ЛАДА C</v>
      </c>
      <c r="C145" s="571"/>
      <c r="D145" s="571"/>
      <c r="E145" s="571"/>
      <c r="F145" s="170"/>
      <c r="G145" s="170"/>
      <c r="H145" s="170"/>
      <c r="I145" s="170"/>
      <c r="J145" s="343"/>
      <c r="K145" s="343"/>
      <c r="L145" s="355"/>
      <c r="M145" s="356"/>
    </row>
    <row r="146" spans="2:13" ht="25.5" customHeight="1">
      <c r="B146" s="567" t="str">
        <f>Products!B723</f>
        <v>модель</v>
      </c>
      <c r="C146" s="156" t="str">
        <f>Products!C723</f>
        <v>покриття:</v>
      </c>
      <c r="D146" s="129" t="str">
        <f>Products!D723</f>
        <v>Verto-CELL</v>
      </c>
      <c r="E146" s="167" t="str">
        <f>Products!F723</f>
        <v>UNI-MAT</v>
      </c>
      <c r="F146" s="130" t="str">
        <f>Products!H723</f>
        <v>RESIST</v>
      </c>
      <c r="G146" s="130" t="str">
        <f>Products!J723</f>
        <v>Verto LINE-3D</v>
      </c>
      <c r="H146" s="130" t="str">
        <f>Products!L723</f>
        <v>ЕКО Шпон</v>
      </c>
      <c r="I146" s="216"/>
      <c r="J146" s="216"/>
      <c r="K146" s="357"/>
      <c r="L146" s="341" t="str">
        <f>Products!B731</f>
        <v>полотно розміром 100</v>
      </c>
      <c r="M146" s="358">
        <f>Products!E731</f>
        <v>720</v>
      </c>
    </row>
    <row r="147" spans="2:13" ht="24.75" customHeight="1">
      <c r="B147" s="568"/>
      <c r="C147" s="157" t="str">
        <f>Products!C724</f>
        <v>заповнення:</v>
      </c>
      <c r="D147" s="139" t="str">
        <f>Products!D724</f>
        <v>клеєний сосновий брус</v>
      </c>
      <c r="E147" s="168" t="str">
        <f>Products!F724</f>
        <v>клеєний сосновий брус</v>
      </c>
      <c r="F147" s="140" t="str">
        <f>Products!H724</f>
        <v>клеєний сосновий брус</v>
      </c>
      <c r="G147" s="140" t="str">
        <f>Products!J724</f>
        <v>клеєний сосновий брус</v>
      </c>
      <c r="H147" s="140" t="str">
        <f>Products!L724</f>
        <v>клеєний сосновий брус</v>
      </c>
      <c r="I147" s="216"/>
      <c r="J147" s="216"/>
      <c r="K147" s="348"/>
      <c r="L147" s="342" t="str">
        <f>Products!B732</f>
        <v>вентиляційний підріз</v>
      </c>
      <c r="M147" s="349">
        <f>Products!E732</f>
        <v>170.00000000000003</v>
      </c>
    </row>
    <row r="148" spans="2:13">
      <c r="B148" s="569"/>
      <c r="C148" s="158" t="str">
        <f>Products!C725</f>
        <v>скління:</v>
      </c>
      <c r="D148" s="137" t="str">
        <f>Products!D725</f>
        <v>Сатин</v>
      </c>
      <c r="E148" s="161" t="str">
        <f>Products!F725</f>
        <v>Сатин</v>
      </c>
      <c r="F148" s="126" t="str">
        <f>Products!H725</f>
        <v>Сатин</v>
      </c>
      <c r="G148" s="126" t="str">
        <f>Products!J725</f>
        <v>Сатин</v>
      </c>
      <c r="H148" s="126" t="str">
        <f>Products!L725</f>
        <v>Сатин</v>
      </c>
      <c r="I148" s="216"/>
      <c r="J148" s="216"/>
      <c r="K148" s="348"/>
      <c r="L148" s="342" t="str">
        <f>Products!B733</f>
        <v>скло Графіт / Бронза</v>
      </c>
      <c r="M148" s="349">
        <f>Products!E733</f>
        <v>550</v>
      </c>
    </row>
    <row r="149" spans="2:13">
      <c r="B149" s="13" t="str">
        <f>Products!B726</f>
        <v>4.0 - 4.8</v>
      </c>
      <c r="C149" s="163"/>
      <c r="D149" s="184">
        <f>Products!E726</f>
        <v>6790.0000000000009</v>
      </c>
      <c r="E149" s="184">
        <f>Products!G726</f>
        <v>7740</v>
      </c>
      <c r="F149" s="184">
        <f>Products!I726</f>
        <v>8050</v>
      </c>
      <c r="G149" s="184">
        <f>Products!K726</f>
        <v>8770</v>
      </c>
      <c r="H149" s="184">
        <f>Products!M726</f>
        <v>9200</v>
      </c>
      <c r="I149" s="31"/>
      <c r="J149" s="361"/>
      <c r="K149" s="348"/>
      <c r="L149" s="342" t="str">
        <f>Products!B734</f>
        <v>замок Soft</v>
      </c>
      <c r="M149" s="349">
        <f>Products!E734</f>
        <v>550</v>
      </c>
    </row>
    <row r="150" spans="2:13">
      <c r="B150" s="281" t="str">
        <f>Products!B727</f>
        <v>5.0 - 5.6</v>
      </c>
      <c r="C150" s="282"/>
      <c r="D150" s="283">
        <f>Products!E727</f>
        <v>6790.0000000000009</v>
      </c>
      <c r="E150" s="283">
        <f>Products!G727</f>
        <v>7740</v>
      </c>
      <c r="F150" s="283">
        <f>Products!I727</f>
        <v>8050</v>
      </c>
      <c r="G150" s="283">
        <f>Products!K727</f>
        <v>8770</v>
      </c>
      <c r="H150" s="283">
        <f>Products!M727</f>
        <v>9200</v>
      </c>
      <c r="I150" s="31"/>
      <c r="J150" s="361"/>
      <c r="K150" s="348"/>
      <c r="L150" s="342" t="str">
        <f>Products!B735</f>
        <v>замок Soft чорн.</v>
      </c>
      <c r="M150" s="349">
        <f>Products!E735</f>
        <v>680.00000000000011</v>
      </c>
    </row>
    <row r="151" spans="2:13">
      <c r="F151" s="97"/>
      <c r="G151" s="97"/>
      <c r="H151" s="31"/>
      <c r="I151" s="31"/>
      <c r="J151" s="361"/>
      <c r="K151" s="348"/>
      <c r="L151" s="342" t="str">
        <f>Products!B736</f>
        <v>замок Magnet</v>
      </c>
      <c r="M151" s="349">
        <f>Products!E736</f>
        <v>800.00000000000011</v>
      </c>
    </row>
    <row r="152" spans="2:13">
      <c r="F152" s="97"/>
      <c r="G152" s="97"/>
      <c r="H152" s="31"/>
      <c r="I152" s="31"/>
      <c r="J152" s="361"/>
      <c r="K152" s="348"/>
      <c r="L152" s="342" t="str">
        <f>Products!B737</f>
        <v>замок Magnet чорн.</v>
      </c>
      <c r="M152" s="349">
        <f>Products!E737</f>
        <v>1000</v>
      </c>
    </row>
    <row r="153" spans="2:13">
      <c r="C153" s="34"/>
      <c r="D153" s="34"/>
      <c r="E153" s="34"/>
      <c r="H153" s="31"/>
      <c r="I153" s="31"/>
      <c r="J153" s="361"/>
      <c r="K153" s="348"/>
      <c r="L153" s="342" t="str">
        <f>Products!B738</f>
        <v>ручка-замок (для дверей купе)</v>
      </c>
      <c r="M153" s="349">
        <f>Products!E738</f>
        <v>560</v>
      </c>
    </row>
    <row r="154" spans="2:13">
      <c r="C154" s="34"/>
      <c r="D154" s="34"/>
      <c r="E154" s="34"/>
      <c r="H154" s="31"/>
      <c r="I154" s="31"/>
      <c r="J154" s="361"/>
      <c r="K154" s="348"/>
      <c r="L154" s="342" t="str">
        <f>Products!B739</f>
        <v>циліндр несиметричний</v>
      </c>
      <c r="M154" s="349">
        <f>Products!E739</f>
        <v>390</v>
      </c>
    </row>
    <row r="155" spans="2:13">
      <c r="C155" s="34"/>
      <c r="D155" s="34"/>
      <c r="E155" s="34"/>
      <c r="H155" s="31"/>
      <c r="I155" s="31"/>
      <c r="J155" s="361"/>
      <c r="K155" s="348"/>
      <c r="L155" s="342" t="str">
        <f>Products!B740</f>
        <v>завіса Prestige (1 шт)</v>
      </c>
      <c r="M155" s="349">
        <f>Products!E740</f>
        <v>260</v>
      </c>
    </row>
    <row r="156" spans="2:13">
      <c r="C156" s="34"/>
      <c r="D156" s="34"/>
      <c r="E156" s="34"/>
      <c r="J156" s="353"/>
      <c r="K156" s="348"/>
      <c r="L156" s="342" t="str">
        <f>Products!B741</f>
        <v>накладка на завіси (1 к-т)</v>
      </c>
      <c r="M156" s="349">
        <f>Products!E741</f>
        <v>80</v>
      </c>
    </row>
    <row r="157" spans="2:13" ht="21">
      <c r="C157" s="34"/>
      <c r="D157" s="34"/>
      <c r="E157" s="34"/>
      <c r="J157" s="353"/>
      <c r="K157" s="348"/>
      <c r="L157" s="342" t="str">
        <f>Products!B742</f>
        <v>дверна ручка</v>
      </c>
      <c r="M157" s="349" t="str">
        <f>Products!E742</f>
        <v>див. Таблицю Ручки</v>
      </c>
    </row>
    <row r="158" spans="2:13">
      <c r="B158" s="570" t="str">
        <f>Products!B793</f>
        <v>Полотна збірні: ЛАДА D</v>
      </c>
      <c r="C158" s="571"/>
      <c r="D158" s="571"/>
      <c r="E158" s="571"/>
      <c r="F158" s="170"/>
      <c r="G158" s="170"/>
      <c r="H158" s="170"/>
      <c r="I158" s="170"/>
      <c r="J158" s="343"/>
      <c r="K158" s="343"/>
      <c r="L158" s="355"/>
      <c r="M158" s="356"/>
    </row>
    <row r="159" spans="2:13" ht="27" customHeight="1">
      <c r="B159" s="567" t="str">
        <f>Products!B795</f>
        <v>модель</v>
      </c>
      <c r="C159" s="156" t="str">
        <f>Products!C795</f>
        <v>покриття:</v>
      </c>
      <c r="D159" s="129" t="str">
        <f>Products!D795</f>
        <v>Verto-CELL</v>
      </c>
      <c r="E159" s="167" t="str">
        <f>Products!F795</f>
        <v>UNI-MAT</v>
      </c>
      <c r="F159" s="130" t="str">
        <f>Products!H795</f>
        <v>RESIST</v>
      </c>
      <c r="G159" s="130" t="str">
        <f>Products!J795</f>
        <v>Verto LINE-3D</v>
      </c>
      <c r="H159" s="130" t="str">
        <f>Products!L795</f>
        <v>ЕКО Шпон</v>
      </c>
      <c r="I159" s="216"/>
      <c r="J159" s="216"/>
      <c r="K159" s="357"/>
      <c r="L159" s="341" t="str">
        <f>Products!B803</f>
        <v>полотно розміром 100</v>
      </c>
      <c r="M159" s="358">
        <f>Products!E803</f>
        <v>720</v>
      </c>
    </row>
    <row r="160" spans="2:13" ht="24.75" customHeight="1">
      <c r="B160" s="568"/>
      <c r="C160" s="157" t="str">
        <f>Products!C796</f>
        <v>заповнення:</v>
      </c>
      <c r="D160" s="139" t="str">
        <f>Products!D796</f>
        <v>клеєний сосновий брус</v>
      </c>
      <c r="E160" s="168" t="str">
        <f>Products!F796</f>
        <v>клеєний сосновий брус</v>
      </c>
      <c r="F160" s="140" t="str">
        <f>Products!H796</f>
        <v>клеєний сосновий брус</v>
      </c>
      <c r="G160" s="140" t="str">
        <f>Products!J796</f>
        <v>клеєний сосновий брус</v>
      </c>
      <c r="H160" s="140" t="str">
        <f>Products!L796</f>
        <v>клеєний сосновий брус</v>
      </c>
      <c r="I160" s="216"/>
      <c r="J160" s="216"/>
      <c r="K160" s="348"/>
      <c r="L160" s="342" t="str">
        <f>Products!B804</f>
        <v>вентиляційний підріз</v>
      </c>
      <c r="M160" s="349">
        <f>Products!E804</f>
        <v>170.00000000000003</v>
      </c>
    </row>
    <row r="161" spans="2:13">
      <c r="B161" s="569"/>
      <c r="C161" s="158" t="str">
        <f>Products!C797</f>
        <v>скління:</v>
      </c>
      <c r="D161" s="137" t="str">
        <f>Products!D797</f>
        <v>Сатин</v>
      </c>
      <c r="E161" s="161" t="str">
        <f>Products!F797</f>
        <v>Сатин</v>
      </c>
      <c r="F161" s="126" t="str">
        <f>Products!H797</f>
        <v>Сатин</v>
      </c>
      <c r="G161" s="126" t="str">
        <f>Products!J797</f>
        <v>Сатин</v>
      </c>
      <c r="H161" s="126" t="str">
        <f>Products!L797</f>
        <v>Сатин</v>
      </c>
      <c r="I161" s="216"/>
      <c r="J161" s="216"/>
      <c r="K161" s="348"/>
      <c r="L161" s="342" t="str">
        <f>Products!B805</f>
        <v>скло Графіт / Бронза</v>
      </c>
      <c r="M161" s="349">
        <f>Products!E805</f>
        <v>550</v>
      </c>
    </row>
    <row r="162" spans="2:13">
      <c r="B162" s="13" t="str">
        <f>Products!B798</f>
        <v>6.0 - 6.4</v>
      </c>
      <c r="C162" s="163"/>
      <c r="D162" s="184">
        <f>Products!E798</f>
        <v>6790.0000000000009</v>
      </c>
      <c r="E162" s="184">
        <f>Products!G798</f>
        <v>7740</v>
      </c>
      <c r="F162" s="184">
        <f>Products!I798</f>
        <v>8050</v>
      </c>
      <c r="G162" s="184">
        <f>Products!K798</f>
        <v>8770</v>
      </c>
      <c r="H162" s="184">
        <f>Products!M798</f>
        <v>9190</v>
      </c>
      <c r="I162" s="31"/>
      <c r="J162" s="361"/>
      <c r="K162" s="348"/>
      <c r="L162" s="342" t="str">
        <f>Products!B806</f>
        <v>скло Lacobel чорне</v>
      </c>
      <c r="M162" s="349">
        <f>Products!E806</f>
        <v>550</v>
      </c>
    </row>
    <row r="163" spans="2:13">
      <c r="B163" s="281" t="str">
        <f>Products!B799</f>
        <v>7.0 - 7.2</v>
      </c>
      <c r="C163" s="282"/>
      <c r="D163" s="283">
        <f>Products!E799</f>
        <v>6730.0000000000009</v>
      </c>
      <c r="E163" s="283">
        <f>Products!G799</f>
        <v>7670</v>
      </c>
      <c r="F163" s="283">
        <f>Products!I799</f>
        <v>8010</v>
      </c>
      <c r="G163" s="283">
        <f>Products!K799</f>
        <v>8650</v>
      </c>
      <c r="H163" s="283">
        <f>Products!M799</f>
        <v>9170</v>
      </c>
      <c r="I163" s="31"/>
      <c r="J163" s="361"/>
      <c r="K163" s="348"/>
      <c r="L163" s="342" t="str">
        <f>Products!B807</f>
        <v>замок Soft</v>
      </c>
      <c r="M163" s="349">
        <f>Products!E807</f>
        <v>550</v>
      </c>
    </row>
    <row r="164" spans="2:13">
      <c r="F164" s="97"/>
      <c r="G164" s="97"/>
      <c r="H164" s="31"/>
      <c r="I164" s="31"/>
      <c r="J164" s="361"/>
      <c r="K164" s="348"/>
      <c r="L164" s="342" t="str">
        <f>Products!B808</f>
        <v>замок Soft чорн.</v>
      </c>
      <c r="M164" s="349">
        <f>Products!E808</f>
        <v>680.00000000000011</v>
      </c>
    </row>
    <row r="165" spans="2:13">
      <c r="F165" s="97"/>
      <c r="G165" s="97"/>
      <c r="H165" s="31"/>
      <c r="I165" s="31"/>
      <c r="J165" s="361"/>
      <c r="K165" s="348"/>
      <c r="L165" s="342" t="str">
        <f>Products!B809</f>
        <v>замок Magnet</v>
      </c>
      <c r="M165" s="349">
        <f>Products!E809</f>
        <v>800.00000000000011</v>
      </c>
    </row>
    <row r="166" spans="2:13">
      <c r="C166" s="34"/>
      <c r="D166" s="34"/>
      <c r="E166" s="34"/>
      <c r="H166" s="31"/>
      <c r="I166" s="31"/>
      <c r="J166" s="361"/>
      <c r="K166" s="348"/>
      <c r="L166" s="342" t="str">
        <f>Products!B810</f>
        <v>замок Magnet чорн.</v>
      </c>
      <c r="M166" s="349">
        <f>Products!E810</f>
        <v>1000</v>
      </c>
    </row>
    <row r="167" spans="2:13">
      <c r="C167" s="34"/>
      <c r="D167" s="34"/>
      <c r="E167" s="34"/>
      <c r="H167" s="31"/>
      <c r="I167" s="31"/>
      <c r="J167" s="361"/>
      <c r="K167" s="348"/>
      <c r="L167" s="342" t="str">
        <f>Products!B811</f>
        <v>ручка-замок (для дверей купе)</v>
      </c>
      <c r="M167" s="349">
        <f>Products!E811</f>
        <v>560</v>
      </c>
    </row>
    <row r="168" spans="2:13">
      <c r="F168" s="97"/>
      <c r="G168" s="97"/>
      <c r="H168" s="31"/>
      <c r="I168" s="31"/>
      <c r="J168" s="361"/>
      <c r="K168" s="348"/>
      <c r="L168" s="342" t="str">
        <f>Products!B812</f>
        <v>циліндр несиметричний</v>
      </c>
      <c r="M168" s="349">
        <f>Products!E812</f>
        <v>390</v>
      </c>
    </row>
    <row r="169" spans="2:13">
      <c r="C169" s="34"/>
      <c r="D169" s="34"/>
      <c r="E169" s="34"/>
      <c r="J169" s="353"/>
      <c r="K169" s="348"/>
      <c r="L169" s="342" t="str">
        <f>Products!B813</f>
        <v>завіса Prestige (1 шт)</v>
      </c>
      <c r="M169" s="349">
        <f>Products!E813</f>
        <v>260</v>
      </c>
    </row>
    <row r="170" spans="2:13">
      <c r="C170" s="34"/>
      <c r="D170" s="34"/>
      <c r="E170" s="34"/>
      <c r="J170" s="353"/>
      <c r="K170" s="348"/>
      <c r="L170" s="342" t="str">
        <f>Products!B814</f>
        <v>накладка на завіси (1 к-т)</v>
      </c>
      <c r="M170" s="349">
        <f>Products!E814</f>
        <v>80</v>
      </c>
    </row>
    <row r="171" spans="2:13" ht="21">
      <c r="C171" s="34"/>
      <c r="D171" s="34"/>
      <c r="E171" s="34"/>
      <c r="J171" s="353"/>
      <c r="K171" s="348"/>
      <c r="L171" s="342" t="str">
        <f>Products!B815</f>
        <v>дверна ручка</v>
      </c>
      <c r="M171" s="349" t="str">
        <f>Products!E815</f>
        <v>див. Таблицю Ручки</v>
      </c>
    </row>
    <row r="172" spans="2:13">
      <c r="B172" s="570" t="str">
        <f>Products!B866</f>
        <v>Полотна збірні: НІКА</v>
      </c>
      <c r="C172" s="571"/>
      <c r="D172" s="571"/>
      <c r="E172" s="571"/>
      <c r="F172" s="170"/>
      <c r="G172" s="170"/>
      <c r="H172" s="170"/>
      <c r="I172" s="170"/>
      <c r="J172" s="343"/>
      <c r="K172" s="343"/>
      <c r="L172" s="355"/>
      <c r="M172" s="356"/>
    </row>
    <row r="173" spans="2:13" ht="24.75" customHeight="1">
      <c r="B173" s="567" t="str">
        <f>Products!B868</f>
        <v>модель</v>
      </c>
      <c r="C173" s="156" t="str">
        <f>Products!C868</f>
        <v>покриття:</v>
      </c>
      <c r="D173" s="129" t="str">
        <f>Products!D868</f>
        <v>Verto-CELL</v>
      </c>
      <c r="E173" s="167" t="str">
        <f>Products!F868</f>
        <v>UNI-MAT</v>
      </c>
      <c r="F173" s="130" t="str">
        <f>Products!H868</f>
        <v>RESIST</v>
      </c>
      <c r="G173" s="130" t="str">
        <f>Products!J868</f>
        <v>Verto LINE-3D</v>
      </c>
      <c r="H173" s="130" t="str">
        <f>Products!L868</f>
        <v>ЕКО Шпон</v>
      </c>
      <c r="I173" s="216"/>
      <c r="J173" s="216"/>
      <c r="K173" s="357"/>
      <c r="L173" s="341" t="str">
        <f>Products!B876</f>
        <v>полотно розміром 100</v>
      </c>
      <c r="M173" s="358">
        <f>Products!E876</f>
        <v>720</v>
      </c>
    </row>
    <row r="174" spans="2:13" ht="24.75" customHeight="1">
      <c r="B174" s="568"/>
      <c r="C174" s="157" t="str">
        <f>Products!C869</f>
        <v>заповнення:</v>
      </c>
      <c r="D174" s="139" t="str">
        <f>Products!D869</f>
        <v>клеєний сосновий брус</v>
      </c>
      <c r="E174" s="168" t="str">
        <f>Products!F869</f>
        <v>клеєний сосновий брус</v>
      </c>
      <c r="F174" s="140" t="str">
        <f>Products!H869</f>
        <v>клеєний сосновий брус</v>
      </c>
      <c r="G174" s="140" t="str">
        <f>Products!J869</f>
        <v>клеєний сосновий брус</v>
      </c>
      <c r="H174" s="140" t="str">
        <f>Products!L869</f>
        <v>клеєний сосновий брус</v>
      </c>
      <c r="I174" s="216"/>
      <c r="J174" s="216"/>
      <c r="K174" s="348"/>
      <c r="L174" s="342" t="str">
        <f>Products!B877</f>
        <v>вентиляційний підріз</v>
      </c>
      <c r="M174" s="349">
        <f>Products!E877</f>
        <v>170.00000000000003</v>
      </c>
    </row>
    <row r="175" spans="2:13">
      <c r="B175" s="569"/>
      <c r="C175" s="158" t="str">
        <f>Products!C870</f>
        <v>скління:</v>
      </c>
      <c r="D175" s="137" t="str">
        <f>Products!D870</f>
        <v>Сатин</v>
      </c>
      <c r="E175" s="161" t="str">
        <f>Products!F870</f>
        <v>Сатин</v>
      </c>
      <c r="F175" s="126" t="str">
        <f>Products!H870</f>
        <v>Сатин</v>
      </c>
      <c r="G175" s="126" t="str">
        <f>Products!J870</f>
        <v>Сатин</v>
      </c>
      <c r="H175" s="126" t="str">
        <f>Products!L870</f>
        <v>Сатин</v>
      </c>
      <c r="I175" s="216"/>
      <c r="J175" s="216"/>
      <c r="K175" s="348"/>
      <c r="L175" s="342" t="str">
        <f>Products!B878</f>
        <v>скло Графіт / Бронза</v>
      </c>
      <c r="M175" s="349">
        <f>Products!E878</f>
        <v>550</v>
      </c>
    </row>
    <row r="176" spans="2:13">
      <c r="B176" s="13" t="str">
        <f>Products!B871</f>
        <v>1.0 - 1.8</v>
      </c>
      <c r="C176" s="163"/>
      <c r="D176" s="184">
        <f>Products!E871</f>
        <v>6590</v>
      </c>
      <c r="E176" s="184">
        <f>Products!G871</f>
        <v>7500</v>
      </c>
      <c r="F176" s="184">
        <f>Products!I871</f>
        <v>7740</v>
      </c>
      <c r="G176" s="184">
        <f>Products!K871</f>
        <v>8400</v>
      </c>
      <c r="H176" s="184">
        <f>Products!M871</f>
        <v>8770</v>
      </c>
      <c r="I176" s="31"/>
      <c r="J176" s="361"/>
      <c r="K176" s="348"/>
      <c r="L176" s="342" t="str">
        <f>Products!B879</f>
        <v>скло Lacobel чорне</v>
      </c>
      <c r="M176" s="349">
        <f>Products!E879</f>
        <v>550</v>
      </c>
    </row>
    <row r="177" spans="2:13">
      <c r="B177" s="281" t="str">
        <f>Products!B872</f>
        <v>2.1 - 2.4</v>
      </c>
      <c r="C177" s="282"/>
      <c r="D177" s="283">
        <f>Products!E872</f>
        <v>6590</v>
      </c>
      <c r="E177" s="283">
        <f>Products!G872</f>
        <v>7500</v>
      </c>
      <c r="F177" s="283">
        <f>Products!I872</f>
        <v>7740</v>
      </c>
      <c r="G177" s="283">
        <f>Products!K872</f>
        <v>8400</v>
      </c>
      <c r="H177" s="283">
        <f>Products!M872</f>
        <v>8770</v>
      </c>
      <c r="I177" s="31"/>
      <c r="J177" s="361"/>
      <c r="K177" s="348"/>
      <c r="L177" s="342" t="str">
        <f>Products!B880</f>
        <v>замок Soft</v>
      </c>
      <c r="M177" s="349">
        <f>Products!E880</f>
        <v>550</v>
      </c>
    </row>
    <row r="178" spans="2:13">
      <c r="F178" s="97"/>
      <c r="G178" s="97"/>
      <c r="H178" s="31"/>
      <c r="I178" s="31"/>
      <c r="J178" s="361"/>
      <c r="K178" s="348"/>
      <c r="L178" s="342" t="str">
        <f>Products!B881</f>
        <v>замок Soft чорн.</v>
      </c>
      <c r="M178" s="349">
        <f>Products!E881</f>
        <v>680.00000000000011</v>
      </c>
    </row>
    <row r="179" spans="2:13">
      <c r="F179" s="97"/>
      <c r="G179" s="97"/>
      <c r="H179" s="31"/>
      <c r="I179" s="31"/>
      <c r="J179" s="361"/>
      <c r="K179" s="348"/>
      <c r="L179" s="342" t="str">
        <f>Products!B882</f>
        <v>замок Magnet</v>
      </c>
      <c r="M179" s="349">
        <f>Products!E882</f>
        <v>800.00000000000011</v>
      </c>
    </row>
    <row r="180" spans="2:13">
      <c r="C180" s="34"/>
      <c r="D180" s="34"/>
      <c r="E180" s="34"/>
      <c r="H180" s="31"/>
      <c r="I180" s="31"/>
      <c r="J180" s="361"/>
      <c r="K180" s="348"/>
      <c r="L180" s="342" t="str">
        <f>Products!B883</f>
        <v>замок Magnet чорн.</v>
      </c>
      <c r="M180" s="349">
        <f>Products!E883</f>
        <v>1000</v>
      </c>
    </row>
    <row r="181" spans="2:13">
      <c r="C181" s="34"/>
      <c r="D181" s="34"/>
      <c r="E181" s="34"/>
      <c r="H181" s="31"/>
      <c r="I181" s="31"/>
      <c r="J181" s="361"/>
      <c r="K181" s="348"/>
      <c r="L181" s="342" t="str">
        <f>Products!B884</f>
        <v>ручка-замок (для дверей купе)</v>
      </c>
      <c r="M181" s="349">
        <f>Products!E884</f>
        <v>560</v>
      </c>
    </row>
    <row r="182" spans="2:13">
      <c r="C182" s="34"/>
      <c r="D182" s="34"/>
      <c r="E182" s="34"/>
      <c r="H182" s="31"/>
      <c r="I182" s="31"/>
      <c r="J182" s="361"/>
      <c r="K182" s="348"/>
      <c r="L182" s="342" t="str">
        <f>Products!B885</f>
        <v>циліндр несиметричний</v>
      </c>
      <c r="M182" s="349">
        <f>Products!E885</f>
        <v>390</v>
      </c>
    </row>
    <row r="183" spans="2:13">
      <c r="F183" s="97"/>
      <c r="G183" s="97"/>
      <c r="H183" s="31"/>
      <c r="I183" s="31"/>
      <c r="J183" s="361"/>
      <c r="K183" s="348"/>
      <c r="L183" s="342" t="str">
        <f>Products!B886</f>
        <v>завіса Prestige (1 шт)</v>
      </c>
      <c r="M183" s="349">
        <f>Products!E886</f>
        <v>260</v>
      </c>
    </row>
    <row r="184" spans="2:13">
      <c r="F184" s="97"/>
      <c r="G184" s="97"/>
      <c r="H184" s="31"/>
      <c r="I184" s="31"/>
      <c r="J184" s="361"/>
      <c r="K184" s="348"/>
      <c r="L184" s="342" t="str">
        <f>Products!B887</f>
        <v>накладка на завіси (1 к-т)</v>
      </c>
      <c r="M184" s="349">
        <f>Products!E887</f>
        <v>80</v>
      </c>
    </row>
    <row r="185" spans="2:13" ht="21">
      <c r="F185" s="97"/>
      <c r="G185" s="97"/>
      <c r="H185" s="31"/>
      <c r="I185" s="31"/>
      <c r="J185" s="361"/>
      <c r="K185" s="348"/>
      <c r="L185" s="342" t="str">
        <f>Products!B888</f>
        <v>дверна ручка</v>
      </c>
      <c r="M185" s="349" t="str">
        <f>Products!E888</f>
        <v>див. Таблицю Ручки</v>
      </c>
    </row>
    <row r="186" spans="2:13">
      <c r="B186" s="570" t="str">
        <f>Products!B939</f>
        <v>Полотна збірні: ЛІСА</v>
      </c>
      <c r="C186" s="571"/>
      <c r="D186" s="571"/>
      <c r="E186" s="571"/>
      <c r="F186" s="170"/>
      <c r="G186" s="170"/>
      <c r="H186" s="170"/>
      <c r="I186" s="170"/>
      <c r="J186" s="343"/>
      <c r="K186" s="343"/>
      <c r="L186" s="355"/>
      <c r="M186" s="356"/>
    </row>
    <row r="187" spans="2:13" ht="27" customHeight="1">
      <c r="B187" s="567" t="str">
        <f>Products!B941</f>
        <v>модель</v>
      </c>
      <c r="C187" s="156" t="str">
        <f>Products!C941</f>
        <v>покриття:</v>
      </c>
      <c r="D187" s="129" t="str">
        <f>Products!D941</f>
        <v>Verto-CELL</v>
      </c>
      <c r="E187" s="167" t="str">
        <f>Products!F941</f>
        <v>UNI-MAT</v>
      </c>
      <c r="F187" s="130" t="str">
        <f>Products!H941</f>
        <v>RESIST</v>
      </c>
      <c r="G187" s="130" t="str">
        <f>Products!J941</f>
        <v>Verto LINE-3D</v>
      </c>
      <c r="H187" s="130" t="str">
        <f>Products!L941</f>
        <v>ЕКО Шпон</v>
      </c>
      <c r="I187" s="216"/>
      <c r="J187" s="216"/>
      <c r="K187" s="357"/>
      <c r="L187" s="341" t="str">
        <f>Products!B949</f>
        <v>полотно розміром 100</v>
      </c>
      <c r="M187" s="358">
        <f>Products!E949</f>
        <v>720</v>
      </c>
    </row>
    <row r="188" spans="2:13" ht="24.75" customHeight="1">
      <c r="B188" s="568"/>
      <c r="C188" s="157" t="str">
        <f>Products!C942</f>
        <v>заповнення:</v>
      </c>
      <c r="D188" s="139" t="str">
        <f>Products!D942</f>
        <v>клеєний сосновий брус</v>
      </c>
      <c r="E188" s="168" t="str">
        <f>Products!F942</f>
        <v>клеєний сосновий брус</v>
      </c>
      <c r="F188" s="140" t="str">
        <f>Products!H942</f>
        <v>клеєний сосновий брус</v>
      </c>
      <c r="G188" s="140" t="str">
        <f>Products!J942</f>
        <v>клеєний сосновий брус</v>
      </c>
      <c r="H188" s="140" t="str">
        <f>Products!L942</f>
        <v>клеєний сосновий брус</v>
      </c>
      <c r="I188" s="216"/>
      <c r="J188" s="216"/>
      <c r="K188" s="348"/>
      <c r="L188" s="342" t="str">
        <f>Products!B950</f>
        <v>вентиляційний підріз</v>
      </c>
      <c r="M188" s="349">
        <f>Products!E950</f>
        <v>170.00000000000003</v>
      </c>
    </row>
    <row r="189" spans="2:13">
      <c r="B189" s="569"/>
      <c r="C189" s="158" t="str">
        <f>Products!C943</f>
        <v>скління:</v>
      </c>
      <c r="D189" s="137" t="str">
        <f>Products!D943</f>
        <v>Сатин</v>
      </c>
      <c r="E189" s="161" t="str">
        <f>Products!F943</f>
        <v>Сатин</v>
      </c>
      <c r="F189" s="126" t="str">
        <f>Products!H943</f>
        <v>Сатин</v>
      </c>
      <c r="G189" s="126" t="str">
        <f>Products!J943</f>
        <v>Сатин</v>
      </c>
      <c r="H189" s="126" t="str">
        <f>Products!L943</f>
        <v>Сатин</v>
      </c>
      <c r="I189" s="216"/>
      <c r="J189" s="216"/>
      <c r="K189" s="348"/>
      <c r="L189" s="342" t="str">
        <f>Products!B951</f>
        <v>скло Графіт / Бронза</v>
      </c>
      <c r="M189" s="349">
        <f>Products!E951</f>
        <v>550</v>
      </c>
    </row>
    <row r="190" spans="2:13">
      <c r="B190" s="13" t="str">
        <f>Products!B944</f>
        <v>2.0 - 2.2</v>
      </c>
      <c r="C190" s="163"/>
      <c r="D190" s="184">
        <f>Products!E944</f>
        <v>5910</v>
      </c>
      <c r="E190" s="184">
        <f>Products!G944</f>
        <v>6520.0000000000009</v>
      </c>
      <c r="F190" s="184">
        <f>Products!I944</f>
        <v>6710</v>
      </c>
      <c r="G190" s="184">
        <f>Products!K944</f>
        <v>7220</v>
      </c>
      <c r="H190" s="184">
        <f>Products!M944</f>
        <v>7570</v>
      </c>
      <c r="I190" s="31"/>
      <c r="J190" s="361"/>
      <c r="K190" s="348"/>
      <c r="L190" s="342" t="str">
        <f>Products!B952</f>
        <v>скло Lacobel чорне</v>
      </c>
      <c r="M190" s="349">
        <f>Products!E952</f>
        <v>550</v>
      </c>
    </row>
    <row r="191" spans="2:13">
      <c r="B191" s="281" t="str">
        <f>Products!B945</f>
        <v>3.0 - 3.4</v>
      </c>
      <c r="C191" s="282"/>
      <c r="D191" s="283">
        <f>Products!E945</f>
        <v>5910</v>
      </c>
      <c r="E191" s="283">
        <f>Products!G945</f>
        <v>6520.0000000000009</v>
      </c>
      <c r="F191" s="283">
        <f>Products!I945</f>
        <v>6710</v>
      </c>
      <c r="G191" s="283">
        <f>Products!K945</f>
        <v>7220</v>
      </c>
      <c r="H191" s="283">
        <f>Products!M945</f>
        <v>7570</v>
      </c>
      <c r="I191" s="31"/>
      <c r="J191" s="361"/>
      <c r="K191" s="348"/>
      <c r="L191" s="342" t="str">
        <f>Products!B953</f>
        <v>замок Soft</v>
      </c>
      <c r="M191" s="349">
        <f>Products!E953</f>
        <v>550</v>
      </c>
    </row>
    <row r="192" spans="2:13">
      <c r="F192" s="97"/>
      <c r="G192" s="97"/>
      <c r="H192" s="31"/>
      <c r="I192" s="31"/>
      <c r="J192" s="361"/>
      <c r="K192" s="348"/>
      <c r="L192" s="342" t="str">
        <f>Products!B954</f>
        <v>замок Soft чорн.</v>
      </c>
      <c r="M192" s="349">
        <f>Products!E954</f>
        <v>680.00000000000011</v>
      </c>
    </row>
    <row r="193" spans="1:13">
      <c r="F193" s="97"/>
      <c r="G193" s="97"/>
      <c r="H193" s="31"/>
      <c r="I193" s="31"/>
      <c r="J193" s="361"/>
      <c r="K193" s="348"/>
      <c r="L193" s="342" t="str">
        <f>Products!B955</f>
        <v>замок Magnet</v>
      </c>
      <c r="M193" s="349">
        <f>Products!E955</f>
        <v>800.00000000000011</v>
      </c>
    </row>
    <row r="194" spans="1:13">
      <c r="C194" s="34"/>
      <c r="D194" s="34"/>
      <c r="E194" s="34"/>
      <c r="H194" s="31"/>
      <c r="I194" s="31"/>
      <c r="J194" s="361"/>
      <c r="K194" s="348"/>
      <c r="L194" s="342" t="str">
        <f>Products!B956</f>
        <v>замок Magnet чорн.</v>
      </c>
      <c r="M194" s="349">
        <f>Products!E956</f>
        <v>1000</v>
      </c>
    </row>
    <row r="195" spans="1:13">
      <c r="C195" s="34"/>
      <c r="D195" s="34"/>
      <c r="E195" s="34"/>
      <c r="H195" s="31"/>
      <c r="I195" s="31"/>
      <c r="J195" s="361"/>
      <c r="K195" s="348"/>
      <c r="L195" s="342" t="str">
        <f>Products!B957</f>
        <v>ручка-замок (для дверей купе)</v>
      </c>
      <c r="M195" s="349">
        <f>Products!E957</f>
        <v>560</v>
      </c>
    </row>
    <row r="196" spans="1:13">
      <c r="C196" s="34"/>
      <c r="D196" s="34"/>
      <c r="E196" s="34"/>
      <c r="H196" s="31"/>
      <c r="I196" s="31"/>
      <c r="J196" s="361"/>
      <c r="K196" s="348"/>
      <c r="L196" s="342" t="str">
        <f>Products!B958</f>
        <v>циліндр несиметричний</v>
      </c>
      <c r="M196" s="349">
        <f>Products!E958</f>
        <v>390</v>
      </c>
    </row>
    <row r="197" spans="1:13">
      <c r="F197" s="97"/>
      <c r="G197" s="97"/>
      <c r="H197" s="31"/>
      <c r="I197" s="31"/>
      <c r="J197" s="361"/>
      <c r="K197" s="348"/>
      <c r="L197" s="342" t="str">
        <f>Products!B959</f>
        <v>завіса Prestige (1 шт)</v>
      </c>
      <c r="M197" s="349">
        <f>Products!E959</f>
        <v>260</v>
      </c>
    </row>
    <row r="198" spans="1:13">
      <c r="C198" s="34"/>
      <c r="D198" s="34"/>
      <c r="E198" s="34"/>
      <c r="F198" s="31"/>
      <c r="G198" s="31"/>
      <c r="J198" s="353"/>
      <c r="K198" s="348"/>
      <c r="L198" s="342" t="str">
        <f>Products!B960</f>
        <v>накладка на завіси (1 к-т)</v>
      </c>
      <c r="M198" s="349">
        <f>Products!E960</f>
        <v>80</v>
      </c>
    </row>
    <row r="199" spans="1:13" ht="21">
      <c r="C199" s="34"/>
      <c r="D199" s="34"/>
      <c r="E199" s="34"/>
      <c r="F199" s="31"/>
      <c r="G199" s="31"/>
      <c r="J199" s="353"/>
      <c r="K199" s="348"/>
      <c r="L199" s="342" t="str">
        <f>Products!B961</f>
        <v>дверна ручка</v>
      </c>
      <c r="M199" s="349" t="str">
        <f>Products!E961</f>
        <v>див. Таблицю Ручки</v>
      </c>
    </row>
    <row r="200" spans="1:13" s="31" customFormat="1" ht="12.75" customHeight="1">
      <c r="B200" s="570" t="str">
        <f>TITLE!$C$22</f>
        <v>Полотна збірні: ЛАДА-КОНЦЕПТ</v>
      </c>
      <c r="C200" s="571"/>
      <c r="D200" s="571"/>
      <c r="E200" s="571"/>
      <c r="F200" s="170"/>
      <c r="G200" s="170"/>
      <c r="H200" s="170"/>
      <c r="I200" s="170"/>
      <c r="J200" s="343"/>
      <c r="K200" s="343"/>
      <c r="L200" s="355"/>
      <c r="M200" s="356"/>
    </row>
    <row r="201" spans="1:13" ht="26.25" customHeight="1">
      <c r="A201" s="31"/>
      <c r="B201" s="567" t="str">
        <f>Products!B1014</f>
        <v>модель</v>
      </c>
      <c r="C201" s="156" t="str">
        <f>Products!C1014</f>
        <v>покриття:</v>
      </c>
      <c r="D201" s="129" t="str">
        <f>Products!D1014</f>
        <v>Verto-CELL</v>
      </c>
      <c r="E201" s="167" t="str">
        <f>Products!F1014</f>
        <v>UNI-MAT</v>
      </c>
      <c r="F201" s="130" t="str">
        <f>Products!H1014</f>
        <v>RESIST</v>
      </c>
      <c r="G201" s="130" t="str">
        <f>Products!J1014</f>
        <v>Verto LINE-3D</v>
      </c>
      <c r="H201" s="130" t="str">
        <f>Products!L1014</f>
        <v>ЕКО Шпон</v>
      </c>
      <c r="I201" s="216"/>
      <c r="J201" s="216"/>
      <c r="K201" s="357"/>
      <c r="L201" s="341" t="str">
        <f>Products!B1026</f>
        <v>полотно розміром 100</v>
      </c>
      <c r="M201" s="358">
        <f>Products!E1026</f>
        <v>720</v>
      </c>
    </row>
    <row r="202" spans="1:13" ht="24" customHeight="1">
      <c r="A202" s="31"/>
      <c r="B202" s="568"/>
      <c r="C202" s="157" t="str">
        <f>Products!C1015</f>
        <v>заповнення:</v>
      </c>
      <c r="D202" s="139" t="str">
        <f>Products!D1015</f>
        <v>клеєний сосновий брус</v>
      </c>
      <c r="E202" s="168" t="str">
        <f>Products!F1015</f>
        <v>клеєний сосновий брус</v>
      </c>
      <c r="F202" s="140" t="str">
        <f>Products!H1015</f>
        <v>клеєний сосновий брус</v>
      </c>
      <c r="G202" s="140" t="str">
        <f>Products!J1015</f>
        <v>клеєний сосновий брус</v>
      </c>
      <c r="H202" s="140" t="str">
        <f>Products!L1015</f>
        <v>клеєний сосновий брус</v>
      </c>
      <c r="I202" s="216"/>
      <c r="J202" s="216"/>
      <c r="K202" s="348"/>
      <c r="L202" s="342" t="str">
        <f>Products!B1027</f>
        <v>вентиляційні віддушини (1ряд)</v>
      </c>
      <c r="M202" s="349">
        <f>Products!E1027</f>
        <v>250</v>
      </c>
    </row>
    <row r="203" spans="1:13" ht="12.75" customHeight="1">
      <c r="A203" s="31"/>
      <c r="B203" s="569"/>
      <c r="C203" s="158" t="str">
        <f>Products!C1016</f>
        <v>скління:</v>
      </c>
      <c r="D203" s="137" t="str">
        <f>Products!D1016</f>
        <v>Сатин</v>
      </c>
      <c r="E203" s="161" t="str">
        <f>Products!F1016</f>
        <v>Сатин</v>
      </c>
      <c r="F203" s="126" t="str">
        <f>Products!H1016</f>
        <v>Сатин</v>
      </c>
      <c r="G203" s="126" t="str">
        <f>Products!J1016</f>
        <v>Сатин</v>
      </c>
      <c r="H203" s="126" t="str">
        <f>Products!L1016</f>
        <v>Сатин</v>
      </c>
      <c r="I203" s="216"/>
      <c r="J203" s="216"/>
      <c r="K203" s="348"/>
      <c r="L203" s="342" t="str">
        <f>Products!B1028</f>
        <v>вентиляційний підріз</v>
      </c>
      <c r="M203" s="349">
        <f>Products!E1028</f>
        <v>170.00000000000003</v>
      </c>
    </row>
    <row r="204" spans="1:13">
      <c r="A204" s="31"/>
      <c r="B204" s="16" t="str">
        <f>Products!B1017</f>
        <v>2.0 - 2.2</v>
      </c>
      <c r="C204" s="164"/>
      <c r="D204" s="192">
        <f>Products!E1017</f>
        <v>6150</v>
      </c>
      <c r="E204" s="185">
        <f>Products!G1017</f>
        <v>6820.0000000000009</v>
      </c>
      <c r="F204" s="186">
        <f>Products!I1017</f>
        <v>7030.0000000000009</v>
      </c>
      <c r="G204" s="186">
        <f>Products!K1017</f>
        <v>7670</v>
      </c>
      <c r="H204" s="186">
        <f>Products!M1017</f>
        <v>8040</v>
      </c>
      <c r="I204" s="224"/>
      <c r="J204" s="224"/>
      <c r="K204" s="348"/>
      <c r="L204" s="342" t="str">
        <f>Products!B1029</f>
        <v>скло Графіт / Бронза</v>
      </c>
      <c r="M204" s="349">
        <f>Products!E1029</f>
        <v>550</v>
      </c>
    </row>
    <row r="205" spans="1:13">
      <c r="A205" s="31"/>
      <c r="B205" s="16" t="str">
        <f>Products!B1018</f>
        <v>3.0 - 3.3</v>
      </c>
      <c r="C205" s="164"/>
      <c r="D205" s="192">
        <f>Products!E1018</f>
        <v>6370.0000000000009</v>
      </c>
      <c r="E205" s="185">
        <f>Products!G1018</f>
        <v>7080</v>
      </c>
      <c r="F205" s="186">
        <f>Products!I1018</f>
        <v>7300.0000000000009</v>
      </c>
      <c r="G205" s="186">
        <f>Products!K1018</f>
        <v>7820</v>
      </c>
      <c r="H205" s="186">
        <f>Products!M1018</f>
        <v>8170</v>
      </c>
      <c r="I205" s="224"/>
      <c r="J205" s="224"/>
      <c r="K205" s="348"/>
      <c r="L205" s="342" t="str">
        <f>Products!B1030</f>
        <v>скло Lacobel чорне</v>
      </c>
      <c r="M205" s="349">
        <f>Products!E1030</f>
        <v>550</v>
      </c>
    </row>
    <row r="206" spans="1:13">
      <c r="A206" s="31"/>
      <c r="B206" s="16" t="str">
        <f>Products!B1019</f>
        <v>4.0 - 4.4</v>
      </c>
      <c r="C206" s="164"/>
      <c r="D206" s="192">
        <f>Products!E1019</f>
        <v>6720</v>
      </c>
      <c r="E206" s="185">
        <f>Products!G1019</f>
        <v>7460</v>
      </c>
      <c r="F206" s="186">
        <f>Products!I1019</f>
        <v>7680</v>
      </c>
      <c r="G206" s="186">
        <f>Products!K1019</f>
        <v>8550</v>
      </c>
      <c r="H206" s="186">
        <f>Products!M1019</f>
        <v>8610</v>
      </c>
      <c r="I206" s="224"/>
      <c r="J206" s="224"/>
      <c r="K206" s="348"/>
      <c r="L206" s="342" t="str">
        <f>Products!B1031</f>
        <v>замок Soft</v>
      </c>
      <c r="M206" s="349">
        <f>Products!E1031</f>
        <v>550</v>
      </c>
    </row>
    <row r="207" spans="1:13">
      <c r="A207" s="31"/>
      <c r="B207" s="16" t="str">
        <f>Products!B1020</f>
        <v>5.1.</v>
      </c>
      <c r="C207" s="164"/>
      <c r="D207" s="192">
        <f>Products!E1020</f>
        <v>6370.0000000000009</v>
      </c>
      <c r="E207" s="185">
        <f>Products!G1020</f>
        <v>7080</v>
      </c>
      <c r="F207" s="186">
        <f>Products!I1020</f>
        <v>7300.0000000000009</v>
      </c>
      <c r="G207" s="186">
        <f>Products!K1020</f>
        <v>7820</v>
      </c>
      <c r="H207" s="186">
        <f>Products!M1020</f>
        <v>8170</v>
      </c>
      <c r="I207" s="224"/>
      <c r="J207" s="224"/>
      <c r="K207" s="348"/>
      <c r="L207" s="342" t="str">
        <f>Products!B1032</f>
        <v>замок Soft чорн.</v>
      </c>
      <c r="M207" s="349">
        <f>Products!E1032</f>
        <v>680.00000000000011</v>
      </c>
    </row>
    <row r="208" spans="1:13">
      <c r="A208" s="31"/>
      <c r="B208" s="16" t="str">
        <f>Products!B1021</f>
        <v>5.2.</v>
      </c>
      <c r="C208" s="164"/>
      <c r="D208" s="192">
        <f>Products!E1021</f>
        <v>6060</v>
      </c>
      <c r="E208" s="185">
        <f>Products!G1021</f>
        <v>6720</v>
      </c>
      <c r="F208" s="186">
        <f>Products!I1021</f>
        <v>6930</v>
      </c>
      <c r="G208" s="186">
        <f>Products!K1021</f>
        <v>7480</v>
      </c>
      <c r="H208" s="186">
        <f>Products!M1021</f>
        <v>7830</v>
      </c>
      <c r="I208" s="224"/>
      <c r="J208" s="224"/>
      <c r="K208" s="348"/>
      <c r="L208" s="342" t="str">
        <f>Products!B1033</f>
        <v>замок Magnet</v>
      </c>
      <c r="M208" s="349">
        <f>Products!E1033</f>
        <v>800.00000000000011</v>
      </c>
    </row>
    <row r="209" spans="1:13">
      <c r="A209" s="31"/>
      <c r="B209" s="23" t="str">
        <f>Products!B1022</f>
        <v>5.3.</v>
      </c>
      <c r="C209" s="165"/>
      <c r="D209" s="193">
        <f>Products!E1022</f>
        <v>5740.0000000000009</v>
      </c>
      <c r="E209" s="187">
        <f>Products!G1022</f>
        <v>6360</v>
      </c>
      <c r="F209" s="188">
        <f>Products!I1022</f>
        <v>6580.0000000000009</v>
      </c>
      <c r="G209" s="188">
        <f>Products!K1022</f>
        <v>7030.0000000000009</v>
      </c>
      <c r="H209" s="188">
        <f>Products!M1022</f>
        <v>7320</v>
      </c>
      <c r="I209" s="224"/>
      <c r="J209" s="224"/>
      <c r="K209" s="348"/>
      <c r="L209" s="342" t="str">
        <f>Products!B1034</f>
        <v>замок Magnet чорн.</v>
      </c>
      <c r="M209" s="349">
        <f>Products!E1034</f>
        <v>1000</v>
      </c>
    </row>
    <row r="210" spans="1:13">
      <c r="A210" s="31"/>
      <c r="B210" s="313"/>
      <c r="C210" s="314"/>
      <c r="D210" s="196"/>
      <c r="E210" s="196"/>
      <c r="F210" s="196"/>
      <c r="G210" s="196"/>
      <c r="H210" s="224"/>
      <c r="I210" s="224"/>
      <c r="J210" s="224"/>
      <c r="K210" s="348"/>
      <c r="L210" s="342" t="str">
        <f>Products!B1035</f>
        <v>ручка-замок (для дверей купе)</v>
      </c>
      <c r="M210" s="349">
        <f>Products!E1035</f>
        <v>560</v>
      </c>
    </row>
    <row r="211" spans="1:13">
      <c r="A211" s="31"/>
      <c r="B211" s="175"/>
      <c r="C211" s="176"/>
      <c r="D211" s="199"/>
      <c r="E211" s="199"/>
      <c r="F211" s="199"/>
      <c r="G211" s="199"/>
      <c r="H211" s="224"/>
      <c r="I211" s="224"/>
      <c r="J211" s="224"/>
      <c r="K211" s="348"/>
      <c r="L211" s="342" t="str">
        <f>Products!B1036</f>
        <v>циліндр несиметричний</v>
      </c>
      <c r="M211" s="349">
        <f>Products!E1036</f>
        <v>380</v>
      </c>
    </row>
    <row r="212" spans="1:13">
      <c r="C212" s="34"/>
      <c r="D212" s="34"/>
      <c r="E212" s="34"/>
      <c r="F212" s="31"/>
      <c r="G212" s="31"/>
      <c r="J212" s="353"/>
      <c r="K212" s="348"/>
      <c r="L212" s="342" t="str">
        <f>Products!B1037</f>
        <v>завіса Prestige (1 шт)</v>
      </c>
      <c r="M212" s="349">
        <f>Products!E1037</f>
        <v>260</v>
      </c>
    </row>
    <row r="213" spans="1:13" ht="14.45" customHeight="1">
      <c r="C213" s="34"/>
      <c r="D213" s="34"/>
      <c r="E213" s="34"/>
      <c r="F213" s="31"/>
      <c r="G213" s="31"/>
      <c r="J213" s="353"/>
      <c r="K213" s="348"/>
      <c r="L213" s="342" t="str">
        <f>Products!B1038</f>
        <v>накладка на завіси (1 к-т)</v>
      </c>
      <c r="M213" s="349">
        <f>Products!E1038</f>
        <v>80</v>
      </c>
    </row>
    <row r="214" spans="1:13" ht="14.45" customHeight="1">
      <c r="C214" s="34"/>
      <c r="D214" s="34"/>
      <c r="E214" s="34"/>
      <c r="F214" s="31"/>
      <c r="G214" s="31"/>
      <c r="J214" s="353"/>
      <c r="K214" s="348"/>
      <c r="L214" s="342" t="str">
        <f>Products!B1039</f>
        <v>дверна ручка</v>
      </c>
      <c r="M214" s="349" t="str">
        <f>Products!E1039</f>
        <v>див. Таблицю Ручки</v>
      </c>
    </row>
    <row r="215" spans="1:13" s="31" customFormat="1" ht="12.75" customHeight="1">
      <c r="B215" s="570" t="str">
        <f>TITLE!$C$23</f>
        <v>Полотна збірні: ЛАДА-НОВА</v>
      </c>
      <c r="C215" s="571"/>
      <c r="D215" s="571"/>
      <c r="E215" s="571"/>
      <c r="F215" s="170"/>
      <c r="G215" s="170"/>
      <c r="H215" s="170"/>
      <c r="I215" s="170"/>
      <c r="J215" s="343"/>
      <c r="K215" s="343"/>
      <c r="L215" s="355"/>
      <c r="M215" s="356"/>
    </row>
    <row r="216" spans="1:13" ht="26.25" customHeight="1">
      <c r="A216" s="31"/>
      <c r="B216" s="567" t="str">
        <f>Products!B1092</f>
        <v>модель</v>
      </c>
      <c r="C216" s="156" t="str">
        <f>Products!C1092</f>
        <v>покриття:</v>
      </c>
      <c r="D216" s="129" t="str">
        <f>Products!D1092</f>
        <v>Verto-CELL</v>
      </c>
      <c r="E216" s="167" t="str">
        <f>Products!F1092</f>
        <v>UNI-MAT</v>
      </c>
      <c r="F216" s="130" t="str">
        <f>Products!H1092</f>
        <v>RESIST</v>
      </c>
      <c r="G216" s="130" t="str">
        <f>Products!J1092</f>
        <v>Verto LINE-3D</v>
      </c>
      <c r="H216" s="130" t="str">
        <f>Products!L1092</f>
        <v>ЕКО Шпон</v>
      </c>
      <c r="I216" s="216"/>
      <c r="J216" s="216"/>
      <c r="K216" s="357"/>
      <c r="L216" s="341" t="str">
        <f>Products!B1104</f>
        <v>полотно розміром 100</v>
      </c>
      <c r="M216" s="358">
        <f>Products!E1104</f>
        <v>720</v>
      </c>
    </row>
    <row r="217" spans="1:13" ht="24" customHeight="1">
      <c r="A217" s="31"/>
      <c r="B217" s="568"/>
      <c r="C217" s="157" t="str">
        <f>Products!C1093</f>
        <v>заповнення:</v>
      </c>
      <c r="D217" s="139" t="str">
        <f>Products!D1093</f>
        <v>клеєний сосновий брус</v>
      </c>
      <c r="E217" s="168" t="str">
        <f>Products!F1093</f>
        <v>клеєний сосновий брус</v>
      </c>
      <c r="F217" s="140" t="str">
        <f>Products!H1093</f>
        <v>клеєний сосновий брус</v>
      </c>
      <c r="G217" s="140" t="str">
        <f>Products!J1093</f>
        <v>клеєний сосновий брус</v>
      </c>
      <c r="H217" s="140" t="str">
        <f>Products!L1093</f>
        <v>клеєний сосновий брус</v>
      </c>
      <c r="I217" s="216"/>
      <c r="J217" s="216"/>
      <c r="K217" s="348"/>
      <c r="L217" s="342" t="str">
        <f>Products!B1105</f>
        <v>вентиляційні віддушини (1ряд)</v>
      </c>
      <c r="M217" s="349">
        <f>Products!E1105</f>
        <v>250</v>
      </c>
    </row>
    <row r="218" spans="1:13" ht="12.75" customHeight="1">
      <c r="A218" s="31"/>
      <c r="B218" s="569"/>
      <c r="C218" s="158" t="str">
        <f>Products!C1094</f>
        <v>скління:</v>
      </c>
      <c r="D218" s="137" t="str">
        <f>Products!D1094</f>
        <v>Сатин</v>
      </c>
      <c r="E218" s="161" t="str">
        <f>Products!F1094</f>
        <v>Сатин</v>
      </c>
      <c r="F218" s="126" t="str">
        <f>Products!H1094</f>
        <v>Сатин</v>
      </c>
      <c r="G218" s="126" t="str">
        <f>Products!J1094</f>
        <v>Сатин</v>
      </c>
      <c r="H218" s="126" t="str">
        <f>Products!L1094</f>
        <v>Сатин</v>
      </c>
      <c r="I218" s="216"/>
      <c r="J218" s="216"/>
      <c r="K218" s="348"/>
      <c r="L218" s="342" t="str">
        <f>Products!B1106</f>
        <v>вентиляційний підріз</v>
      </c>
      <c r="M218" s="349">
        <f>Products!E1106</f>
        <v>170.00000000000003</v>
      </c>
    </row>
    <row r="219" spans="1:13">
      <c r="A219" s="31"/>
      <c r="B219" s="13" t="str">
        <f>Products!B1095</f>
        <v>4.0 - 4.9</v>
      </c>
      <c r="C219" s="163"/>
      <c r="D219" s="191">
        <f>Products!E1095</f>
        <v>7490</v>
      </c>
      <c r="E219" s="183">
        <f>Products!G1095</f>
        <v>8320</v>
      </c>
      <c r="F219" s="183">
        <f>Products!I1095</f>
        <v>8650</v>
      </c>
      <c r="G219" s="183">
        <f>Products!K1095</f>
        <v>9430</v>
      </c>
      <c r="H219" s="183">
        <f>Products!M1095</f>
        <v>9900</v>
      </c>
      <c r="J219" s="353"/>
      <c r="K219" s="348"/>
      <c r="L219" s="342" t="str">
        <f>Products!B1107</f>
        <v>скло Графіт / Бронза</v>
      </c>
      <c r="M219" s="349">
        <f>Products!E1107</f>
        <v>550</v>
      </c>
    </row>
    <row r="220" spans="1:13">
      <c r="A220" s="31"/>
      <c r="B220" s="16" t="str">
        <f>Products!B1096</f>
        <v>6А.1-6А.0</v>
      </c>
      <c r="C220" s="164"/>
      <c r="D220" s="192">
        <f>Products!E1096</f>
        <v>5730</v>
      </c>
      <c r="E220" s="185">
        <f>Products!G1096</f>
        <v>6360</v>
      </c>
      <c r="F220" s="185">
        <f>Products!I1096</f>
        <v>6720</v>
      </c>
      <c r="G220" s="185">
        <f>Products!K1096</f>
        <v>7210.0000000000009</v>
      </c>
      <c r="H220" s="185">
        <f>Products!M1096</f>
        <v>7540</v>
      </c>
      <c r="J220" s="353"/>
      <c r="K220" s="348"/>
      <c r="L220" s="342" t="str">
        <f>Products!B1108</f>
        <v>скло Lacobel чорне</v>
      </c>
      <c r="M220" s="349">
        <f>Products!E1108</f>
        <v>550</v>
      </c>
    </row>
    <row r="221" spans="1:13">
      <c r="A221" s="31"/>
      <c r="B221" s="16" t="str">
        <f>Products!B1097</f>
        <v>6А.5</v>
      </c>
      <c r="C221" s="164"/>
      <c r="D221" s="192">
        <f>Products!E1097</f>
        <v>6650</v>
      </c>
      <c r="E221" s="185">
        <f>Products!G1097</f>
        <v>7380</v>
      </c>
      <c r="F221" s="185">
        <f>Products!I1097</f>
        <v>7780</v>
      </c>
      <c r="G221" s="185">
        <f>Products!K1097</f>
        <v>8550</v>
      </c>
      <c r="H221" s="185">
        <f>Products!M1097</f>
        <v>8960</v>
      </c>
      <c r="J221" s="353"/>
      <c r="K221" s="348"/>
      <c r="L221" s="342" t="str">
        <f>Products!B1109</f>
        <v>замок Soft</v>
      </c>
      <c r="M221" s="349">
        <f>Products!E1109</f>
        <v>550</v>
      </c>
    </row>
    <row r="222" spans="1:13">
      <c r="A222" s="31"/>
      <c r="B222" s="16" t="str">
        <f>Products!B1098</f>
        <v>7.1.</v>
      </c>
      <c r="C222" s="164"/>
      <c r="D222" s="192">
        <f>Products!E1098</f>
        <v>7290</v>
      </c>
      <c r="E222" s="185">
        <f>Products!G1098</f>
        <v>8100</v>
      </c>
      <c r="F222" s="185">
        <f>Products!I1098</f>
        <v>8620</v>
      </c>
      <c r="G222" s="185">
        <f>Products!K1098</f>
        <v>9490</v>
      </c>
      <c r="H222" s="185">
        <f>Products!M1098</f>
        <v>10040.000000000002</v>
      </c>
      <c r="J222" s="353"/>
      <c r="K222" s="348"/>
      <c r="L222" s="342" t="str">
        <f>Products!B1110</f>
        <v>замок Soft чорн.</v>
      </c>
      <c r="M222" s="349">
        <f>Products!E1110</f>
        <v>680.00000000000011</v>
      </c>
    </row>
    <row r="223" spans="1:13">
      <c r="A223" s="31"/>
      <c r="B223" s="16" t="str">
        <f>Products!B1099</f>
        <v>7.2.</v>
      </c>
      <c r="C223" s="164"/>
      <c r="D223" s="192">
        <f>Products!E1099</f>
        <v>6650</v>
      </c>
      <c r="E223" s="185">
        <f>Products!G1099</f>
        <v>7380</v>
      </c>
      <c r="F223" s="185">
        <f>Products!I1099</f>
        <v>7800</v>
      </c>
      <c r="G223" s="185">
        <f>Products!K1099</f>
        <v>8550</v>
      </c>
      <c r="H223" s="185">
        <f>Products!M1099</f>
        <v>8960</v>
      </c>
      <c r="J223" s="353"/>
      <c r="K223" s="348"/>
      <c r="L223" s="342" t="str">
        <f>Products!B1111</f>
        <v>замок Magnet</v>
      </c>
      <c r="M223" s="349">
        <f>Products!E1111</f>
        <v>800.00000000000011</v>
      </c>
    </row>
    <row r="224" spans="1:13">
      <c r="A224" s="31"/>
      <c r="B224" s="23" t="str">
        <f>Products!B1100</f>
        <v>8.1.</v>
      </c>
      <c r="C224" s="165"/>
      <c r="D224" s="193">
        <f>Products!E1100</f>
        <v>6650</v>
      </c>
      <c r="E224" s="187">
        <f>Products!G1100</f>
        <v>7380</v>
      </c>
      <c r="F224" s="187">
        <f>Products!I1100</f>
        <v>7800</v>
      </c>
      <c r="G224" s="187">
        <f>Products!K1100</f>
        <v>8550</v>
      </c>
      <c r="H224" s="187">
        <f>Products!M1100</f>
        <v>8960</v>
      </c>
      <c r="J224" s="353"/>
      <c r="K224" s="348"/>
      <c r="L224" s="342" t="str">
        <f>Products!B1112</f>
        <v>замок Magnet чорн.</v>
      </c>
      <c r="M224" s="349">
        <f>Products!E1112</f>
        <v>1000</v>
      </c>
    </row>
    <row r="225" spans="2:13" ht="13.5">
      <c r="B225" s="225"/>
      <c r="C225" s="34"/>
      <c r="D225" s="34"/>
      <c r="E225" s="34"/>
      <c r="F225" s="31"/>
      <c r="J225" s="353"/>
      <c r="K225" s="348"/>
      <c r="L225" s="342" t="str">
        <f>Products!B1113</f>
        <v>ручка-замок (для дверей купе)</v>
      </c>
      <c r="M225" s="349">
        <f>Products!E1113</f>
        <v>560</v>
      </c>
    </row>
    <row r="226" spans="2:13" ht="13.5">
      <c r="B226" s="225"/>
      <c r="C226" s="34"/>
      <c r="D226" s="34"/>
      <c r="E226" s="34"/>
      <c r="F226" s="31"/>
      <c r="J226" s="353"/>
      <c r="K226" s="348"/>
      <c r="L226" s="342" t="str">
        <f>Products!B1114</f>
        <v>циліндр несиметричний</v>
      </c>
      <c r="M226" s="349">
        <f>Products!E1114</f>
        <v>380</v>
      </c>
    </row>
    <row r="227" spans="2:13" ht="13.5">
      <c r="B227" s="225"/>
      <c r="C227" s="34"/>
      <c r="D227" s="34"/>
      <c r="E227" s="34"/>
      <c r="F227" s="31"/>
      <c r="J227" s="353"/>
      <c r="K227" s="348"/>
      <c r="L227" s="342" t="str">
        <f>Products!B1115</f>
        <v>завіса Prestige (1 шт)</v>
      </c>
      <c r="M227" s="349">
        <f>Products!E1115</f>
        <v>260</v>
      </c>
    </row>
    <row r="228" spans="2:13" ht="13.5">
      <c r="B228" s="225"/>
      <c r="C228" s="34"/>
      <c r="D228" s="34"/>
      <c r="E228" s="34"/>
      <c r="F228" s="31"/>
      <c r="J228" s="353"/>
      <c r="K228" s="348"/>
      <c r="L228" s="342" t="str">
        <f>Products!B1116</f>
        <v>накладка на завіси (1 к-т)</v>
      </c>
      <c r="M228" s="349">
        <f>Products!E1116</f>
        <v>80</v>
      </c>
    </row>
    <row r="229" spans="2:13" ht="21">
      <c r="B229" s="225"/>
      <c r="C229" s="34"/>
      <c r="D229" s="34"/>
      <c r="E229" s="34"/>
      <c r="F229" s="31"/>
      <c r="J229" s="353"/>
      <c r="K229" s="348"/>
      <c r="L229" s="342" t="str">
        <f>Products!B1117</f>
        <v>дверна ручка</v>
      </c>
      <c r="M229" s="349" t="str">
        <f>Products!E1117</f>
        <v>див. Таблицю Ручки</v>
      </c>
    </row>
    <row r="230" spans="2:13">
      <c r="B230" s="570" t="str">
        <f>Products!B1168</f>
        <v>Полотна збірні: МІРА</v>
      </c>
      <c r="C230" s="571"/>
      <c r="D230" s="571"/>
      <c r="E230" s="571"/>
      <c r="F230" s="170"/>
      <c r="G230" s="170"/>
      <c r="H230" s="170"/>
      <c r="I230" s="170"/>
      <c r="J230" s="343"/>
      <c r="K230" s="343"/>
      <c r="L230" s="355"/>
      <c r="M230" s="356"/>
    </row>
    <row r="231" spans="2:13" ht="26.25" customHeight="1">
      <c r="B231" s="567" t="str">
        <f>Products!B1170</f>
        <v>модель</v>
      </c>
      <c r="C231" s="156" t="str">
        <f>Products!C1170</f>
        <v>покриття:</v>
      </c>
      <c r="D231" s="129" t="str">
        <f>Products!D1170</f>
        <v>Verto-CELL</v>
      </c>
      <c r="E231" s="167" t="str">
        <f>Products!F1170</f>
        <v>UNI-MAT</v>
      </c>
      <c r="F231" s="130" t="str">
        <f>Products!H1170</f>
        <v>RESIST</v>
      </c>
      <c r="G231" s="130" t="str">
        <f>Products!J1170</f>
        <v>Verto LINE-3D</v>
      </c>
      <c r="H231" s="130" t="str">
        <f>Products!L1170</f>
        <v>ЕКО Шпон</v>
      </c>
      <c r="I231" s="216"/>
      <c r="J231" s="216"/>
      <c r="K231" s="357"/>
      <c r="L231" s="341" t="str">
        <f>Products!B1178</f>
        <v>полотно розміром 100</v>
      </c>
      <c r="M231" s="358">
        <f>Products!E1178</f>
        <v>720</v>
      </c>
    </row>
    <row r="232" spans="2:13" ht="24.75" customHeight="1">
      <c r="B232" s="568"/>
      <c r="C232" s="157" t="str">
        <f>Products!C1171</f>
        <v>заповнення:</v>
      </c>
      <c r="D232" s="139" t="str">
        <f>Products!D1171</f>
        <v>клеєний сосновий брус</v>
      </c>
      <c r="E232" s="168" t="str">
        <f>Products!F1171</f>
        <v>клеєний сосновий брус</v>
      </c>
      <c r="F232" s="140" t="str">
        <f>Products!H1171</f>
        <v>клеєний сосновий брус</v>
      </c>
      <c r="G232" s="140" t="str">
        <f>Products!J1171</f>
        <v>клеєний сосновий брус</v>
      </c>
      <c r="H232" s="140" t="str">
        <f>Products!L1171</f>
        <v>клеєний сосновий брус</v>
      </c>
      <c r="I232" s="216"/>
      <c r="J232" s="216"/>
      <c r="K232" s="348"/>
      <c r="L232" s="342" t="str">
        <f>Products!B1179</f>
        <v>вентиляційний підріз</v>
      </c>
      <c r="M232" s="349">
        <f>Products!E1179</f>
        <v>170.00000000000003</v>
      </c>
    </row>
    <row r="233" spans="2:13">
      <c r="B233" s="569"/>
      <c r="C233" s="158" t="str">
        <f>Products!C1172</f>
        <v>скління:</v>
      </c>
      <c r="D233" s="137" t="str">
        <f>Products!D1172</f>
        <v>Сатин</v>
      </c>
      <c r="E233" s="161" t="str">
        <f>Products!F1172</f>
        <v>Сатин</v>
      </c>
      <c r="F233" s="126" t="str">
        <f>Products!H1172</f>
        <v>Сатин</v>
      </c>
      <c r="G233" s="126" t="str">
        <f>Products!J1172</f>
        <v>Сатин</v>
      </c>
      <c r="H233" s="126" t="str">
        <f>Products!L1172</f>
        <v>Сатин</v>
      </c>
      <c r="I233" s="216"/>
      <c r="J233" s="216"/>
      <c r="K233" s="348"/>
      <c r="L233" s="342" t="str">
        <f>Products!B1180</f>
        <v>скло Графіт / Бронза</v>
      </c>
      <c r="M233" s="349">
        <f>Products!E1180</f>
        <v>550</v>
      </c>
    </row>
    <row r="234" spans="2:13">
      <c r="B234" s="13" t="str">
        <f>Products!B1173</f>
        <v>1.0 - 1.6</v>
      </c>
      <c r="C234" s="163"/>
      <c r="D234" s="184">
        <f>Products!E1173</f>
        <v>6950</v>
      </c>
      <c r="E234" s="184">
        <f>Products!G1173</f>
        <v>7920</v>
      </c>
      <c r="F234" s="184">
        <f>Products!I1173</f>
        <v>8270</v>
      </c>
      <c r="G234" s="184">
        <f>Products!K1173</f>
        <v>8880</v>
      </c>
      <c r="H234" s="184">
        <f>Products!M1173</f>
        <v>9310</v>
      </c>
      <c r="I234" s="31"/>
      <c r="J234" s="361"/>
      <c r="K234" s="348"/>
      <c r="L234" s="342" t="str">
        <f>Products!B1181</f>
        <v>скло Lacobel чорне</v>
      </c>
      <c r="M234" s="349">
        <f>Products!E1181</f>
        <v>550</v>
      </c>
    </row>
    <row r="235" spans="2:13">
      <c r="B235" s="281" t="str">
        <f>Products!B1174</f>
        <v>2.1 - 2.3</v>
      </c>
      <c r="C235" s="282"/>
      <c r="D235" s="283">
        <f>Products!E1174</f>
        <v>6950</v>
      </c>
      <c r="E235" s="283">
        <f>Products!G1174</f>
        <v>7920</v>
      </c>
      <c r="F235" s="283">
        <f>Products!I1174</f>
        <v>8270</v>
      </c>
      <c r="G235" s="283">
        <f>Products!K1174</f>
        <v>8880</v>
      </c>
      <c r="H235" s="283">
        <f>Products!M1174</f>
        <v>9310</v>
      </c>
      <c r="I235" s="31"/>
      <c r="J235" s="361"/>
      <c r="K235" s="348"/>
      <c r="L235" s="342" t="str">
        <f>Products!B1182</f>
        <v>замок Soft</v>
      </c>
      <c r="M235" s="349">
        <f>Products!E1182</f>
        <v>550</v>
      </c>
    </row>
    <row r="236" spans="2:13">
      <c r="F236" s="97"/>
      <c r="G236" s="97"/>
      <c r="H236" s="31"/>
      <c r="I236" s="31"/>
      <c r="J236" s="361"/>
      <c r="K236" s="348"/>
      <c r="L236" s="342" t="str">
        <f>Products!B1183</f>
        <v>замок Soft чорн.</v>
      </c>
      <c r="M236" s="349">
        <f>Products!E1183</f>
        <v>680.00000000000011</v>
      </c>
    </row>
    <row r="237" spans="2:13">
      <c r="F237" s="97"/>
      <c r="G237" s="97"/>
      <c r="H237" s="31"/>
      <c r="I237" s="31"/>
      <c r="J237" s="361"/>
      <c r="K237" s="348"/>
      <c r="L237" s="342" t="str">
        <f>Products!B1184</f>
        <v>замок Magnet</v>
      </c>
      <c r="M237" s="349">
        <f>Products!E1184</f>
        <v>800.00000000000011</v>
      </c>
    </row>
    <row r="238" spans="2:13">
      <c r="C238" s="34"/>
      <c r="D238" s="34"/>
      <c r="E238" s="34"/>
      <c r="H238" s="31"/>
      <c r="I238" s="31"/>
      <c r="J238" s="361"/>
      <c r="K238" s="348"/>
      <c r="L238" s="342" t="str">
        <f>Products!B1185</f>
        <v>замок Magnet чорн.</v>
      </c>
      <c r="M238" s="349">
        <f>Products!E1185</f>
        <v>1000</v>
      </c>
    </row>
    <row r="239" spans="2:13">
      <c r="C239" s="34"/>
      <c r="D239" s="34"/>
      <c r="E239" s="34"/>
      <c r="H239" s="31"/>
      <c r="I239" s="31"/>
      <c r="J239" s="361"/>
      <c r="K239" s="348"/>
      <c r="L239" s="342" t="str">
        <f>Products!B1186</f>
        <v>ручка-замок (для дверей купе)</v>
      </c>
      <c r="M239" s="349">
        <f>Products!E1186</f>
        <v>560</v>
      </c>
    </row>
    <row r="240" spans="2:13">
      <c r="F240" s="97"/>
      <c r="G240" s="97"/>
      <c r="H240" s="31"/>
      <c r="I240" s="31"/>
      <c r="J240" s="361"/>
      <c r="K240" s="348"/>
      <c r="L240" s="342" t="str">
        <f>Products!B1187</f>
        <v>циліндр несиметричний</v>
      </c>
      <c r="M240" s="349">
        <f>Products!E1187</f>
        <v>380</v>
      </c>
    </row>
    <row r="241" spans="2:13">
      <c r="F241" s="97"/>
      <c r="G241" s="97"/>
      <c r="H241" s="31"/>
      <c r="I241" s="31"/>
      <c r="J241" s="361"/>
      <c r="K241" s="348"/>
      <c r="L241" s="342" t="str">
        <f>Products!B1188</f>
        <v>завіса Prestige (1 шт)</v>
      </c>
      <c r="M241" s="349">
        <f>Products!E1188</f>
        <v>260</v>
      </c>
    </row>
    <row r="242" spans="2:13" ht="13.5">
      <c r="B242" s="225"/>
      <c r="C242" s="34"/>
      <c r="D242" s="34"/>
      <c r="E242" s="34"/>
      <c r="F242" s="31"/>
      <c r="J242" s="353"/>
      <c r="K242" s="348"/>
      <c r="L242" s="342" t="str">
        <f>Products!B1189</f>
        <v>накладка на завіси (1 к-т)</v>
      </c>
      <c r="M242" s="349">
        <f>Products!E1189</f>
        <v>80</v>
      </c>
    </row>
    <row r="243" spans="2:13" ht="21">
      <c r="B243" s="225"/>
      <c r="C243" s="34"/>
      <c r="D243" s="34"/>
      <c r="E243" s="34"/>
      <c r="F243" s="31"/>
      <c r="J243" s="353"/>
      <c r="K243" s="348"/>
      <c r="L243" s="342" t="str">
        <f>Products!B1190</f>
        <v>дверна ручка</v>
      </c>
      <c r="M243" s="349" t="str">
        <f>Products!E1190</f>
        <v>див. Таблицю Ручки</v>
      </c>
    </row>
    <row r="244" spans="2:13">
      <c r="B244" s="570" t="str">
        <f>TITLE!$C$25</f>
        <v>Полотна збірні: ЛАДА-ЛОФТ</v>
      </c>
      <c r="C244" s="571"/>
      <c r="D244" s="571"/>
      <c r="E244" s="571"/>
      <c r="F244" s="170"/>
      <c r="G244" s="170"/>
      <c r="H244" s="170"/>
      <c r="I244" s="170"/>
      <c r="J244" s="343"/>
      <c r="K244" s="343"/>
      <c r="L244" s="355"/>
      <c r="M244" s="356"/>
    </row>
    <row r="245" spans="2:13" ht="25.5" customHeight="1">
      <c r="B245" s="567" t="str">
        <f>Products!B1243</f>
        <v>модель</v>
      </c>
      <c r="C245" s="156" t="str">
        <f>Products!C1243</f>
        <v>покриття:</v>
      </c>
      <c r="D245" s="129" t="str">
        <f>Products!D1243</f>
        <v>Verto-CELL</v>
      </c>
      <c r="E245" s="167" t="str">
        <f>Products!F1243</f>
        <v>UNI-MAT</v>
      </c>
      <c r="F245" s="130" t="str">
        <f>Products!H1243</f>
        <v>RESIST</v>
      </c>
      <c r="G245" s="130" t="str">
        <f>Products!J1243</f>
        <v>Verto LINE-3D</v>
      </c>
      <c r="H245" s="130" t="str">
        <f>Products!L1243</f>
        <v>ЕКО Шпон</v>
      </c>
      <c r="I245" s="216"/>
      <c r="J245" s="216"/>
      <c r="K245" s="357"/>
      <c r="L245" s="341" t="str">
        <f>Products!B1254</f>
        <v>полотно розміром 100</v>
      </c>
      <c r="M245" s="358">
        <f>Products!E1254</f>
        <v>720</v>
      </c>
    </row>
    <row r="246" spans="2:13" ht="24.75" customHeight="1">
      <c r="B246" s="568"/>
      <c r="C246" s="157" t="str">
        <f>Products!C1244</f>
        <v>заповнення:</v>
      </c>
      <c r="D246" s="139" t="str">
        <f>Products!D1244</f>
        <v>клеєний сосновий брус</v>
      </c>
      <c r="E246" s="168" t="str">
        <f>Products!F1244</f>
        <v>клеєний сосновий брус</v>
      </c>
      <c r="F246" s="140" t="str">
        <f>Products!H1244</f>
        <v>клеєний сосновий брус</v>
      </c>
      <c r="G246" s="140" t="str">
        <f>Products!J1244</f>
        <v>клеєний сосновий брус</v>
      </c>
      <c r="H246" s="140" t="str">
        <f>Products!L1244</f>
        <v>клеєний сосновий брус</v>
      </c>
      <c r="I246" s="216"/>
      <c r="J246" s="216"/>
      <c r="K246" s="348"/>
      <c r="L246" s="342" t="str">
        <f>Products!B1255</f>
        <v>вентиляційні віддушини (1ряд)</v>
      </c>
      <c r="M246" s="349">
        <f>Products!E1255</f>
        <v>250</v>
      </c>
    </row>
    <row r="247" spans="2:13">
      <c r="B247" s="569"/>
      <c r="C247" s="158" t="str">
        <f>Products!C1245</f>
        <v>скління:</v>
      </c>
      <c r="D247" s="137" t="str">
        <f>Products!D1245</f>
        <v>Сатин</v>
      </c>
      <c r="E247" s="161" t="str">
        <f>Products!F1245</f>
        <v>Сатин</v>
      </c>
      <c r="F247" s="126" t="str">
        <f>Products!H1245</f>
        <v>Сатин</v>
      </c>
      <c r="G247" s="126" t="str">
        <f>Products!J1245</f>
        <v>Сатин</v>
      </c>
      <c r="H247" s="126" t="str">
        <f>Products!L1245</f>
        <v>Сатин</v>
      </c>
      <c r="I247" s="216"/>
      <c r="J247" s="216"/>
      <c r="K247" s="348"/>
      <c r="L247" s="342" t="str">
        <f>Products!B1256</f>
        <v>вентиляційний підріз</v>
      </c>
      <c r="M247" s="349">
        <f>Products!E1256</f>
        <v>170.00000000000003</v>
      </c>
    </row>
    <row r="248" spans="2:13">
      <c r="B248" s="13" t="str">
        <f>Products!B1246</f>
        <v>1.0 - 1.1</v>
      </c>
      <c r="C248" s="163"/>
      <c r="D248" s="191">
        <f>Products!E1246</f>
        <v>6640.0000000000009</v>
      </c>
      <c r="E248" s="183">
        <f>Products!G1246</f>
        <v>7570</v>
      </c>
      <c r="F248" s="183">
        <f>Products!I1246</f>
        <v>7790</v>
      </c>
      <c r="G248" s="183">
        <f>Products!K1246</f>
        <v>8390</v>
      </c>
      <c r="H248" s="183">
        <f>Products!M1246</f>
        <v>8780</v>
      </c>
      <c r="J248" s="353"/>
      <c r="K248" s="348"/>
      <c r="L248" s="342" t="str">
        <f>Products!B1257</f>
        <v>скло Графіт / Бронза</v>
      </c>
      <c r="M248" s="349">
        <f>Products!E1257</f>
        <v>550</v>
      </c>
    </row>
    <row r="249" spans="2:13">
      <c r="B249" s="114" t="str">
        <f>Products!B1247</f>
        <v>3.0 - 3.1</v>
      </c>
      <c r="C249" s="173"/>
      <c r="D249" s="291">
        <f>Products!E1247</f>
        <v>6950</v>
      </c>
      <c r="E249" s="292">
        <f>Products!G1247</f>
        <v>7930</v>
      </c>
      <c r="F249" s="292">
        <f>Products!I1247</f>
        <v>8150</v>
      </c>
      <c r="G249" s="292">
        <f>Products!K1247</f>
        <v>8750</v>
      </c>
      <c r="H249" s="292">
        <f>Products!M1247</f>
        <v>9130</v>
      </c>
      <c r="J249" s="353"/>
      <c r="K249" s="348"/>
      <c r="L249" s="342" t="str">
        <f>Products!B1258</f>
        <v>скло Lacobel чорне</v>
      </c>
      <c r="M249" s="349">
        <f>Products!E1258</f>
        <v>550</v>
      </c>
    </row>
    <row r="250" spans="2:13">
      <c r="B250" s="114" t="str">
        <f>Products!B1248</f>
        <v>4.0 - 4.1</v>
      </c>
      <c r="C250" s="173"/>
      <c r="D250" s="291">
        <f>Products!E1248</f>
        <v>6640.0000000000009</v>
      </c>
      <c r="E250" s="292">
        <f>Products!G1248</f>
        <v>7570</v>
      </c>
      <c r="F250" s="292">
        <f>Products!I1248</f>
        <v>7790</v>
      </c>
      <c r="G250" s="292">
        <f>Products!K1248</f>
        <v>8390</v>
      </c>
      <c r="H250" s="292">
        <f>Products!M1248</f>
        <v>8780</v>
      </c>
      <c r="J250" s="353"/>
      <c r="K250" s="348"/>
      <c r="L250" s="342" t="str">
        <f>Products!B1259</f>
        <v>замок Soft</v>
      </c>
      <c r="M250" s="349">
        <f>Products!E1259</f>
        <v>550</v>
      </c>
    </row>
    <row r="251" spans="2:13">
      <c r="B251" s="114" t="str">
        <f>Products!B1249</f>
        <v>5.0 - 5.1</v>
      </c>
      <c r="C251" s="173"/>
      <c r="D251" s="291">
        <f>Products!E1249</f>
        <v>6660</v>
      </c>
      <c r="E251" s="292">
        <f>Products!G1249</f>
        <v>7590</v>
      </c>
      <c r="F251" s="292">
        <f>Products!I1249</f>
        <v>7890</v>
      </c>
      <c r="G251" s="292">
        <f>Products!K1249</f>
        <v>8460</v>
      </c>
      <c r="H251" s="292">
        <f>Products!M1249</f>
        <v>8850</v>
      </c>
      <c r="J251" s="353"/>
      <c r="K251" s="348"/>
      <c r="L251" s="342" t="str">
        <f>Products!B1260</f>
        <v>замок Soft чорн.</v>
      </c>
      <c r="M251" s="349">
        <f>Products!E1260</f>
        <v>680.00000000000011</v>
      </c>
    </row>
    <row r="252" spans="2:13">
      <c r="B252" s="23" t="str">
        <f>Products!B1250</f>
        <v>6.0 - 6.1</v>
      </c>
      <c r="C252" s="165"/>
      <c r="D252" s="193">
        <f>Products!E1250</f>
        <v>6780</v>
      </c>
      <c r="E252" s="187">
        <f>Products!G1250</f>
        <v>7720</v>
      </c>
      <c r="F252" s="187">
        <f>Products!I1250</f>
        <v>7920</v>
      </c>
      <c r="G252" s="187">
        <f>Products!K1250</f>
        <v>8540</v>
      </c>
      <c r="H252" s="187">
        <f>Products!M1250</f>
        <v>8930</v>
      </c>
      <c r="J252" s="353"/>
      <c r="K252" s="348"/>
      <c r="L252" s="342" t="str">
        <f>Products!B1261</f>
        <v>замок Magnet</v>
      </c>
      <c r="M252" s="349">
        <f>Products!E1261</f>
        <v>800.00000000000011</v>
      </c>
    </row>
    <row r="253" spans="2:13">
      <c r="C253" s="34"/>
      <c r="D253" s="34"/>
      <c r="E253" s="34"/>
      <c r="F253" s="31"/>
      <c r="G253" s="31"/>
      <c r="J253" s="353"/>
      <c r="K253" s="348"/>
      <c r="L253" s="342" t="str">
        <f>Products!B1262</f>
        <v>замок Magnet чорн.</v>
      </c>
      <c r="M253" s="349">
        <f>Products!E1262</f>
        <v>1000</v>
      </c>
    </row>
    <row r="254" spans="2:13">
      <c r="C254" s="34"/>
      <c r="D254" s="34"/>
      <c r="E254" s="34"/>
      <c r="F254" s="31"/>
      <c r="G254" s="31"/>
      <c r="J254" s="353"/>
      <c r="K254" s="348"/>
      <c r="L254" s="342" t="str">
        <f>Products!B1263</f>
        <v>ручка-замок (для дверей купе)</v>
      </c>
      <c r="M254" s="349">
        <f>Products!E1263</f>
        <v>560</v>
      </c>
    </row>
    <row r="255" spans="2:13" ht="13.5">
      <c r="B255" s="225"/>
      <c r="C255" s="34"/>
      <c r="D255" s="34"/>
      <c r="E255" s="34"/>
      <c r="F255" s="31"/>
      <c r="J255" s="353"/>
      <c r="K255" s="348"/>
      <c r="L255" s="342" t="str">
        <f>Products!B1264</f>
        <v>циліндр несиметричний</v>
      </c>
      <c r="M255" s="349">
        <f>Products!E1264</f>
        <v>380</v>
      </c>
    </row>
    <row r="256" spans="2:13" ht="13.5">
      <c r="B256" s="225"/>
      <c r="C256" s="34"/>
      <c r="D256" s="34"/>
      <c r="E256" s="34"/>
      <c r="F256" s="31"/>
      <c r="J256" s="353"/>
      <c r="K256" s="348"/>
      <c r="L256" s="342" t="str">
        <f>Products!B1265</f>
        <v>завіса Prestige (1 шт)</v>
      </c>
      <c r="M256" s="349">
        <f>Products!E1265</f>
        <v>260</v>
      </c>
    </row>
    <row r="257" spans="2:13" ht="13.5">
      <c r="B257" s="225"/>
      <c r="C257" s="34"/>
      <c r="D257" s="34"/>
      <c r="E257" s="34"/>
      <c r="F257" s="31"/>
      <c r="J257" s="353"/>
      <c r="K257" s="348"/>
      <c r="L257" s="342" t="str">
        <f>Products!B1266</f>
        <v>накладка на завіси (1 к-т)</v>
      </c>
      <c r="M257" s="349">
        <f>Products!E1266</f>
        <v>80</v>
      </c>
    </row>
    <row r="258" spans="2:13" ht="21">
      <c r="B258" s="225"/>
      <c r="C258" s="34"/>
      <c r="D258" s="34"/>
      <c r="E258" s="34"/>
      <c r="F258" s="31"/>
      <c r="J258" s="353"/>
      <c r="K258" s="348"/>
      <c r="L258" s="342" t="str">
        <f>Products!B1267</f>
        <v>дверна ручка</v>
      </c>
      <c r="M258" s="349" t="str">
        <f>Products!E1267</f>
        <v>див. Таблицю Ручки</v>
      </c>
    </row>
    <row r="259" spans="2:13">
      <c r="B259" s="570" t="str">
        <f>Products!B1318</f>
        <v>Полотна збірні: ЛІНДА</v>
      </c>
      <c r="C259" s="571"/>
      <c r="D259" s="571"/>
      <c r="E259" s="571"/>
      <c r="F259" s="170"/>
      <c r="G259" s="170"/>
      <c r="H259" s="170"/>
      <c r="I259" s="170"/>
      <c r="J259" s="343"/>
      <c r="K259" s="343"/>
      <c r="L259" s="355"/>
      <c r="M259" s="356"/>
    </row>
    <row r="260" spans="2:13" ht="26.25" customHeight="1">
      <c r="B260" s="567" t="str">
        <f>Products!B1320</f>
        <v>модель</v>
      </c>
      <c r="C260" s="156" t="str">
        <f>Products!C1320</f>
        <v>покриття:</v>
      </c>
      <c r="D260" s="129" t="str">
        <f>Products!D1320</f>
        <v>Verto-CELL</v>
      </c>
      <c r="E260" s="167" t="str">
        <f>Products!F1320</f>
        <v>UNI-MAT</v>
      </c>
      <c r="F260" s="130" t="str">
        <f>Products!H1320</f>
        <v>RESIST</v>
      </c>
      <c r="G260" s="130" t="str">
        <f>Products!J1320</f>
        <v>Verto LINE-3D</v>
      </c>
      <c r="H260" s="130" t="str">
        <f>Products!L1320</f>
        <v>ЕКО Шпон</v>
      </c>
      <c r="I260" s="216"/>
      <c r="J260" s="216"/>
      <c r="K260" s="357"/>
      <c r="L260" s="341" t="str">
        <f>Products!B1328</f>
        <v>полотно розміром 100</v>
      </c>
      <c r="M260" s="358">
        <f>Products!E1328</f>
        <v>720</v>
      </c>
    </row>
    <row r="261" spans="2:13" ht="24.75" customHeight="1">
      <c r="B261" s="568"/>
      <c r="C261" s="157" t="str">
        <f>Products!C1321</f>
        <v>заповнення:</v>
      </c>
      <c r="D261" s="139" t="str">
        <f>Products!D1321</f>
        <v>клеєний сосновий брус</v>
      </c>
      <c r="E261" s="168" t="str">
        <f>Products!F1321</f>
        <v>клеєний сосновий брус</v>
      </c>
      <c r="F261" s="140" t="str">
        <f>Products!H1321</f>
        <v>клеєний сосновий брус</v>
      </c>
      <c r="G261" s="140" t="str">
        <f>Products!J1321</f>
        <v>клеєний сосновий брус</v>
      </c>
      <c r="H261" s="140" t="str">
        <f>Products!L1321</f>
        <v>клеєний сосновий брус</v>
      </c>
      <c r="I261" s="216"/>
      <c r="J261" s="216"/>
      <c r="K261" s="348"/>
      <c r="L261" s="342" t="str">
        <f>Products!B1329</f>
        <v>вентиляційний підріз</v>
      </c>
      <c r="M261" s="349">
        <f>Products!E1329</f>
        <v>170.00000000000003</v>
      </c>
    </row>
    <row r="262" spans="2:13">
      <c r="B262" s="569"/>
      <c r="C262" s="158" t="str">
        <f>Products!C1322</f>
        <v>скління:</v>
      </c>
      <c r="D262" s="137" t="str">
        <f>Products!D1322</f>
        <v>Сатин</v>
      </c>
      <c r="E262" s="161" t="str">
        <f>Products!F1322</f>
        <v>Сатин</v>
      </c>
      <c r="F262" s="126" t="str">
        <f>Products!H1322</f>
        <v>Сатин</v>
      </c>
      <c r="G262" s="126" t="str">
        <f>Products!J1322</f>
        <v>Сатин</v>
      </c>
      <c r="H262" s="126" t="str">
        <f>Products!L1322</f>
        <v>Сатин</v>
      </c>
      <c r="I262" s="216"/>
      <c r="J262" s="216"/>
      <c r="K262" s="348"/>
      <c r="L262" s="342" t="str">
        <f>Products!B1330</f>
        <v>скло Графіт / Бронза</v>
      </c>
      <c r="M262" s="349">
        <f>Products!E1330</f>
        <v>550</v>
      </c>
    </row>
    <row r="263" spans="2:13">
      <c r="B263" s="13" t="str">
        <f>Products!B1323</f>
        <v>1.0 - 1.5</v>
      </c>
      <c r="C263" s="163"/>
      <c r="D263" s="184">
        <f>Products!E1323</f>
        <v>6160.0000000000009</v>
      </c>
      <c r="E263" s="184">
        <f>Products!G1323</f>
        <v>7020</v>
      </c>
      <c r="F263" s="184">
        <f>Products!I1323</f>
        <v>7320</v>
      </c>
      <c r="G263" s="184">
        <f>Products!K1323</f>
        <v>7870</v>
      </c>
      <c r="H263" s="184">
        <f>Products!M1323</f>
        <v>8280</v>
      </c>
      <c r="I263" s="31"/>
      <c r="J263" s="361"/>
      <c r="K263" s="348"/>
      <c r="L263" s="342" t="str">
        <f>Products!B1331</f>
        <v>замок Soft</v>
      </c>
      <c r="M263" s="349">
        <f>Products!E1331</f>
        <v>550</v>
      </c>
    </row>
    <row r="264" spans="2:13">
      <c r="B264" s="281" t="str">
        <f>Products!B1324</f>
        <v>1.6 - 1.8</v>
      </c>
      <c r="C264" s="282"/>
      <c r="D264" s="283">
        <f>Products!E1324</f>
        <v>6160.0000000000009</v>
      </c>
      <c r="E264" s="283">
        <f>Products!G1324</f>
        <v>7020</v>
      </c>
      <c r="F264" s="283">
        <f>Products!I1324</f>
        <v>7320</v>
      </c>
      <c r="G264" s="283">
        <f>Products!K1324</f>
        <v>7870</v>
      </c>
      <c r="H264" s="283">
        <f>Products!M1324</f>
        <v>8280</v>
      </c>
      <c r="I264" s="31"/>
      <c r="J264" s="361"/>
      <c r="K264" s="348"/>
      <c r="L264" s="342" t="str">
        <f>Products!B1332</f>
        <v>замок Soft чорн.</v>
      </c>
      <c r="M264" s="349">
        <f>Products!E1332</f>
        <v>680.00000000000011</v>
      </c>
    </row>
    <row r="265" spans="2:13">
      <c r="F265" s="97"/>
      <c r="G265" s="97"/>
      <c r="H265" s="31"/>
      <c r="I265" s="31"/>
      <c r="J265" s="361"/>
      <c r="K265" s="348"/>
      <c r="L265" s="342" t="str">
        <f>Products!B1333</f>
        <v>замок Magnet</v>
      </c>
      <c r="M265" s="349">
        <f>Products!E1333</f>
        <v>800.00000000000011</v>
      </c>
    </row>
    <row r="266" spans="2:13">
      <c r="F266" s="97"/>
      <c r="G266" s="97"/>
      <c r="H266" s="31"/>
      <c r="I266" s="31"/>
      <c r="J266" s="361"/>
      <c r="K266" s="348"/>
      <c r="L266" s="342" t="str">
        <f>Products!B1334</f>
        <v>замок Magnet чорн.</v>
      </c>
      <c r="M266" s="349">
        <f>Products!E1334</f>
        <v>1000</v>
      </c>
    </row>
    <row r="267" spans="2:13">
      <c r="C267" s="34"/>
      <c r="D267" s="34"/>
      <c r="E267" s="34"/>
      <c r="H267" s="31"/>
      <c r="I267" s="31"/>
      <c r="J267" s="361"/>
      <c r="K267" s="348"/>
      <c r="L267" s="342" t="str">
        <f>Products!B1335</f>
        <v>ручка-замок (для дверей купе)</v>
      </c>
      <c r="M267" s="349">
        <f>Products!E1335</f>
        <v>560</v>
      </c>
    </row>
    <row r="268" spans="2:13">
      <c r="C268" s="34"/>
      <c r="D268" s="34"/>
      <c r="E268" s="34"/>
      <c r="H268" s="31"/>
      <c r="I268" s="31"/>
      <c r="J268" s="361"/>
      <c r="K268" s="348"/>
      <c r="L268" s="342" t="str">
        <f>Products!B1336</f>
        <v>циліндр несиметричний</v>
      </c>
      <c r="M268" s="349">
        <f>Products!E1336</f>
        <v>380</v>
      </c>
    </row>
    <row r="269" spans="2:13">
      <c r="F269" s="97"/>
      <c r="G269" s="97"/>
      <c r="H269" s="31"/>
      <c r="I269" s="31"/>
      <c r="J269" s="361"/>
      <c r="K269" s="348"/>
      <c r="L269" s="342" t="str">
        <f>Products!B1337</f>
        <v>завіса Prestige (1 шт)</v>
      </c>
      <c r="M269" s="349">
        <f>Products!E1337</f>
        <v>260</v>
      </c>
    </row>
    <row r="270" spans="2:13" ht="13.5">
      <c r="B270" s="225"/>
      <c r="C270" s="34"/>
      <c r="D270" s="34"/>
      <c r="E270" s="34"/>
      <c r="F270" s="31"/>
      <c r="J270" s="353"/>
      <c r="K270" s="348"/>
      <c r="L270" s="342" t="str">
        <f>Products!B1338</f>
        <v>накладка на завіси (1 к-т)</v>
      </c>
      <c r="M270" s="349">
        <f>Products!E1338</f>
        <v>80</v>
      </c>
    </row>
    <row r="271" spans="2:13" ht="21">
      <c r="B271" s="225"/>
      <c r="C271" s="34"/>
      <c r="D271" s="34"/>
      <c r="E271" s="34"/>
      <c r="F271" s="31"/>
      <c r="J271" s="353"/>
      <c r="K271" s="348"/>
      <c r="L271" s="342" t="str">
        <f>Products!B1339</f>
        <v>дверна ручка</v>
      </c>
      <c r="M271" s="349" t="str">
        <f>Products!E1339</f>
        <v>див. Таблицю Ручки</v>
      </c>
    </row>
    <row r="272" spans="2:13">
      <c r="B272" s="570" t="str">
        <f>Products!B1390</f>
        <v>Полотна збірні: ТІАНА</v>
      </c>
      <c r="C272" s="571"/>
      <c r="D272" s="571"/>
      <c r="E272" s="571"/>
      <c r="F272" s="170"/>
      <c r="G272" s="170"/>
      <c r="H272" s="170"/>
      <c r="I272" s="170"/>
      <c r="J272" s="343"/>
      <c r="K272" s="343"/>
      <c r="L272" s="355"/>
      <c r="M272" s="356"/>
    </row>
    <row r="273" spans="2:13" ht="27" customHeight="1">
      <c r="B273" s="567" t="str">
        <f>Products!B1392</f>
        <v>модель</v>
      </c>
      <c r="C273" s="156" t="str">
        <f>Products!C1392</f>
        <v>покриття:</v>
      </c>
      <c r="D273" s="129" t="str">
        <f>Products!D1392</f>
        <v>Verto-CELL</v>
      </c>
      <c r="E273" s="167" t="str">
        <f>Products!F1392</f>
        <v>UNI-MAT</v>
      </c>
      <c r="F273" s="130" t="str">
        <f>Products!H1392</f>
        <v>RESIST</v>
      </c>
      <c r="G273" s="130" t="str">
        <f>Products!J1392</f>
        <v>Verto LINE-3D</v>
      </c>
      <c r="H273" s="130" t="str">
        <f>Products!L1392</f>
        <v>ЕКО Шпон</v>
      </c>
      <c r="I273" s="216"/>
      <c r="J273" s="216"/>
      <c r="K273" s="357"/>
      <c r="L273" s="341" t="str">
        <f>Products!B1400</f>
        <v>полотно розміром 100</v>
      </c>
      <c r="M273" s="358">
        <f>Products!E1400</f>
        <v>720</v>
      </c>
    </row>
    <row r="274" spans="2:13" ht="26.25" customHeight="1">
      <c r="B274" s="568"/>
      <c r="C274" s="157" t="str">
        <f>Products!C1393</f>
        <v>заповнення:</v>
      </c>
      <c r="D274" s="139" t="str">
        <f>Products!D1393</f>
        <v>клеєний сосновий брус</v>
      </c>
      <c r="E274" s="168" t="str">
        <f>Products!F1393</f>
        <v>клеєний сосновий брус</v>
      </c>
      <c r="F274" s="140" t="str">
        <f>Products!H1393</f>
        <v>клеєний сосновий брус</v>
      </c>
      <c r="G274" s="140" t="str">
        <f>Products!J1393</f>
        <v>клеєний сосновий брус</v>
      </c>
      <c r="H274" s="140" t="str">
        <f>Products!L1393</f>
        <v>клеєний сосновий брус</v>
      </c>
      <c r="I274" s="216"/>
      <c r="J274" s="216"/>
      <c r="K274" s="348"/>
      <c r="L274" s="342" t="str">
        <f>Products!B1401</f>
        <v>вентиляційний підріз</v>
      </c>
      <c r="M274" s="349">
        <f>Products!E1401</f>
        <v>170.00000000000003</v>
      </c>
    </row>
    <row r="275" spans="2:13">
      <c r="B275" s="569"/>
      <c r="C275" s="158" t="str">
        <f>Products!C1394</f>
        <v>скління:</v>
      </c>
      <c r="D275" s="137" t="str">
        <f>Products!D1394</f>
        <v>Сатин</v>
      </c>
      <c r="E275" s="161" t="str">
        <f>Products!F1394</f>
        <v>Сатин</v>
      </c>
      <c r="F275" s="126" t="str">
        <f>Products!H1394</f>
        <v>Сатин</v>
      </c>
      <c r="G275" s="126" t="str">
        <f>Products!J1394</f>
        <v>Сатин</v>
      </c>
      <c r="H275" s="126" t="str">
        <f>Products!L1394</f>
        <v>Сатин</v>
      </c>
      <c r="I275" s="216"/>
      <c r="J275" s="216"/>
      <c r="K275" s="348"/>
      <c r="L275" s="342" t="str">
        <f>Products!B1402</f>
        <v>скло Графіт / Бронза</v>
      </c>
      <c r="M275" s="349">
        <f>Products!E1402</f>
        <v>550</v>
      </c>
    </row>
    <row r="276" spans="2:13">
      <c r="B276" s="13" t="str">
        <f>Products!B1395</f>
        <v>1.0 - 1.5</v>
      </c>
      <c r="C276" s="163"/>
      <c r="D276" s="184">
        <f>Products!E1395</f>
        <v>6790.0000000000009</v>
      </c>
      <c r="E276" s="184">
        <f>Products!G1395</f>
        <v>7660</v>
      </c>
      <c r="F276" s="184">
        <f>Products!I1395</f>
        <v>7890</v>
      </c>
      <c r="G276" s="184">
        <f>Products!K1395</f>
        <v>8470</v>
      </c>
      <c r="H276" s="184">
        <f>Products!M1395</f>
        <v>8870</v>
      </c>
      <c r="I276" s="31"/>
      <c r="J276" s="361"/>
      <c r="K276" s="348"/>
      <c r="L276" s="342" t="str">
        <f>Products!B1403</f>
        <v>скло Lacobel чорне</v>
      </c>
      <c r="M276" s="349">
        <f>Products!E1403</f>
        <v>550</v>
      </c>
    </row>
    <row r="277" spans="2:13">
      <c r="B277" s="281" t="str">
        <f>Products!B1396</f>
        <v>1.6 - 1.8</v>
      </c>
      <c r="C277" s="282"/>
      <c r="D277" s="283">
        <f>Products!E1396</f>
        <v>6790.0000000000009</v>
      </c>
      <c r="E277" s="283">
        <f>Products!G1396</f>
        <v>7660</v>
      </c>
      <c r="F277" s="283">
        <f>Products!I1396</f>
        <v>7890</v>
      </c>
      <c r="G277" s="283">
        <f>Products!K1396</f>
        <v>8470</v>
      </c>
      <c r="H277" s="283">
        <f>Products!M1396</f>
        <v>8870</v>
      </c>
      <c r="I277" s="31"/>
      <c r="J277" s="361"/>
      <c r="K277" s="348"/>
      <c r="L277" s="342" t="str">
        <f>Products!B1404</f>
        <v>замок Soft</v>
      </c>
      <c r="M277" s="349">
        <f>Products!E1404</f>
        <v>550</v>
      </c>
    </row>
    <row r="278" spans="2:13">
      <c r="F278" s="97"/>
      <c r="G278" s="97"/>
      <c r="H278" s="31"/>
      <c r="I278" s="31"/>
      <c r="J278" s="361"/>
      <c r="K278" s="348"/>
      <c r="L278" s="342" t="str">
        <f>Products!B1405</f>
        <v>замок Soft чорн.</v>
      </c>
      <c r="M278" s="349">
        <f>Products!E1405</f>
        <v>680.00000000000011</v>
      </c>
    </row>
    <row r="279" spans="2:13">
      <c r="F279" s="97"/>
      <c r="G279" s="97"/>
      <c r="H279" s="31"/>
      <c r="I279" s="31"/>
      <c r="J279" s="361"/>
      <c r="K279" s="348"/>
      <c r="L279" s="342" t="str">
        <f>Products!B1406</f>
        <v>замок Magnet</v>
      </c>
      <c r="M279" s="349">
        <f>Products!E1406</f>
        <v>800.00000000000011</v>
      </c>
    </row>
    <row r="280" spans="2:13">
      <c r="C280" s="34"/>
      <c r="D280" s="34"/>
      <c r="E280" s="34"/>
      <c r="H280" s="31"/>
      <c r="I280" s="31"/>
      <c r="J280" s="361"/>
      <c r="K280" s="348"/>
      <c r="L280" s="342" t="str">
        <f>Products!B1407</f>
        <v>замок Magnet чорн.</v>
      </c>
      <c r="M280" s="349">
        <f>Products!E1407</f>
        <v>1000</v>
      </c>
    </row>
    <row r="281" spans="2:13">
      <c r="C281" s="34"/>
      <c r="D281" s="34"/>
      <c r="E281" s="34"/>
      <c r="H281" s="31"/>
      <c r="I281" s="31"/>
      <c r="J281" s="361"/>
      <c r="K281" s="348"/>
      <c r="L281" s="342" t="str">
        <f>Products!B1408</f>
        <v>ручка-замок (для дверей купе)</v>
      </c>
      <c r="M281" s="349">
        <f>Products!E1408</f>
        <v>560</v>
      </c>
    </row>
    <row r="282" spans="2:13">
      <c r="F282" s="97"/>
      <c r="G282" s="97"/>
      <c r="H282" s="31"/>
      <c r="I282" s="31"/>
      <c r="J282" s="361"/>
      <c r="K282" s="348"/>
      <c r="L282" s="342" t="str">
        <f>Products!B1409</f>
        <v>циліндр несиметричний</v>
      </c>
      <c r="M282" s="349">
        <f>Products!E1409</f>
        <v>380</v>
      </c>
    </row>
    <row r="283" spans="2:13" ht="13.5">
      <c r="B283" s="225"/>
      <c r="C283" s="34"/>
      <c r="D283" s="34"/>
      <c r="E283" s="34"/>
      <c r="F283" s="31"/>
      <c r="J283" s="353"/>
      <c r="K283" s="348"/>
      <c r="L283" s="342" t="str">
        <f>Products!B1410</f>
        <v>завіса Prestige (1 шт)</v>
      </c>
      <c r="M283" s="349">
        <f>Products!E1410</f>
        <v>260</v>
      </c>
    </row>
    <row r="284" spans="2:13" ht="13.5">
      <c r="B284" s="225"/>
      <c r="C284" s="34"/>
      <c r="D284" s="34"/>
      <c r="E284" s="34"/>
      <c r="F284" s="31"/>
      <c r="J284" s="353"/>
      <c r="K284" s="348"/>
      <c r="L284" s="342" t="str">
        <f>Products!B1411</f>
        <v>накладка на завіси (1 к-т)</v>
      </c>
      <c r="M284" s="349">
        <f>Products!E1411</f>
        <v>80</v>
      </c>
    </row>
    <row r="285" spans="2:13" ht="21">
      <c r="B285" s="225"/>
      <c r="C285" s="34"/>
      <c r="D285" s="34"/>
      <c r="E285" s="34"/>
      <c r="F285" s="31"/>
      <c r="J285" s="353"/>
      <c r="K285" s="348"/>
      <c r="L285" s="342" t="str">
        <f>Products!B1412</f>
        <v>дверна ручка</v>
      </c>
      <c r="M285" s="349" t="str">
        <f>Products!E1412</f>
        <v>див. Таблицю Ручки</v>
      </c>
    </row>
    <row r="286" spans="2:13">
      <c r="B286" s="570" t="str">
        <f>Products!B1463</f>
        <v>Полотна збірні: ЄВА</v>
      </c>
      <c r="C286" s="571"/>
      <c r="D286" s="571"/>
      <c r="E286" s="571"/>
      <c r="F286" s="170"/>
      <c r="G286" s="170"/>
      <c r="H286" s="170"/>
      <c r="I286" s="170"/>
      <c r="J286" s="343"/>
      <c r="K286" s="343"/>
      <c r="L286" s="355"/>
      <c r="M286" s="356"/>
    </row>
    <row r="287" spans="2:13" ht="26.25" customHeight="1">
      <c r="B287" s="567" t="str">
        <f>Products!B1465</f>
        <v>модель</v>
      </c>
      <c r="C287" s="156" t="str">
        <f>Products!C1465</f>
        <v>покриття:</v>
      </c>
      <c r="D287" s="129" t="str">
        <f>Products!D1465</f>
        <v>Verto-CELL</v>
      </c>
      <c r="E287" s="167" t="str">
        <f>Products!F1465</f>
        <v>UNI-MAT</v>
      </c>
      <c r="F287" s="130" t="str">
        <f>Products!H1465</f>
        <v>RESIST</v>
      </c>
      <c r="G287" s="130" t="str">
        <f>Products!J1465</f>
        <v>Verto LINE-3D</v>
      </c>
      <c r="H287" s="130" t="str">
        <f>Products!L1465</f>
        <v>ЕКО Шпон</v>
      </c>
      <c r="I287" s="216"/>
      <c r="J287" s="216"/>
      <c r="K287" s="357"/>
      <c r="L287" s="341" t="str">
        <f>Products!B1474</f>
        <v>полотно розміром 100</v>
      </c>
      <c r="M287" s="358">
        <f>Products!E1474</f>
        <v>720</v>
      </c>
    </row>
    <row r="288" spans="2:13" ht="24.75" customHeight="1">
      <c r="B288" s="568"/>
      <c r="C288" s="157" t="str">
        <f>Products!C1466</f>
        <v>заповнення:</v>
      </c>
      <c r="D288" s="139" t="str">
        <f>Products!D1466</f>
        <v>клеєний сосновий брус</v>
      </c>
      <c r="E288" s="168" t="str">
        <f>Products!F1466</f>
        <v>клеєний сосновий брус</v>
      </c>
      <c r="F288" s="140" t="str">
        <f>Products!H1466</f>
        <v>клеєний сосновий брус</v>
      </c>
      <c r="G288" s="140" t="str">
        <f>Products!J1466</f>
        <v>клеєний сосновий брус</v>
      </c>
      <c r="H288" s="140" t="str">
        <f>Products!L1466</f>
        <v>клеєний сосновий брус</v>
      </c>
      <c r="I288" s="216"/>
      <c r="J288" s="216"/>
      <c r="K288" s="348"/>
      <c r="L288" s="342" t="str">
        <f>Products!B1475</f>
        <v>вентиляційний підріз</v>
      </c>
      <c r="M288" s="349">
        <f>Products!E1475</f>
        <v>170.00000000000003</v>
      </c>
    </row>
    <row r="289" spans="2:13">
      <c r="B289" s="569"/>
      <c r="C289" s="158" t="str">
        <f>Products!C1467</f>
        <v>скління:</v>
      </c>
      <c r="D289" s="137" t="str">
        <f>Products!D1467</f>
        <v>Сатин</v>
      </c>
      <c r="E289" s="161" t="str">
        <f>Products!F1467</f>
        <v>Сатин</v>
      </c>
      <c r="F289" s="126" t="str">
        <f>Products!H1467</f>
        <v>Сатин</v>
      </c>
      <c r="G289" s="126" t="str">
        <f>Products!J1467</f>
        <v>Сатин</v>
      </c>
      <c r="H289" s="126" t="str">
        <f>Products!L1467</f>
        <v>Сатин</v>
      </c>
      <c r="I289" s="216"/>
      <c r="J289" s="216"/>
      <c r="K289" s="348"/>
      <c r="L289" s="342" t="str">
        <f>Products!B1476</f>
        <v>скло Графіт / Бронза</v>
      </c>
      <c r="M289" s="349">
        <f>Products!E1476</f>
        <v>550</v>
      </c>
    </row>
    <row r="290" spans="2:13">
      <c r="B290" s="13" t="str">
        <f>Products!B1468</f>
        <v>2.0 - 2.2</v>
      </c>
      <c r="C290" s="163"/>
      <c r="D290" s="191">
        <f>Products!E1468</f>
        <v>5880</v>
      </c>
      <c r="E290" s="183">
        <f>Products!G1468</f>
        <v>6700.0000000000009</v>
      </c>
      <c r="F290" s="183">
        <f>Products!I1468</f>
        <v>7010</v>
      </c>
      <c r="G290" s="183">
        <f>Products!K1468</f>
        <v>7680</v>
      </c>
      <c r="H290" s="183">
        <f>Products!M1468</f>
        <v>8050</v>
      </c>
      <c r="I290" s="31"/>
      <c r="J290" s="361"/>
      <c r="K290" s="348"/>
      <c r="L290" s="342" t="str">
        <f>Products!B1477</f>
        <v>скло Lacobel чорне</v>
      </c>
      <c r="M290" s="349">
        <f>Products!E1477</f>
        <v>550</v>
      </c>
    </row>
    <row r="291" spans="2:13">
      <c r="B291" s="114" t="str">
        <f>Products!B1469</f>
        <v>4.0 - 4.4</v>
      </c>
      <c r="C291" s="173"/>
      <c r="D291" s="291">
        <f>Products!E1469</f>
        <v>5880</v>
      </c>
      <c r="E291" s="292">
        <f>Products!G1469</f>
        <v>6700.0000000000009</v>
      </c>
      <c r="F291" s="292">
        <f>Products!I1469</f>
        <v>7010</v>
      </c>
      <c r="G291" s="292">
        <f>Products!K1469</f>
        <v>7680</v>
      </c>
      <c r="H291" s="292">
        <f>Products!M1469</f>
        <v>8050</v>
      </c>
      <c r="I291" s="31"/>
      <c r="J291" s="361"/>
      <c r="K291" s="348"/>
      <c r="L291" s="342" t="str">
        <f>Products!B1478</f>
        <v>замок Soft</v>
      </c>
      <c r="M291" s="349">
        <f>Products!E1478</f>
        <v>550</v>
      </c>
    </row>
    <row r="292" spans="2:13">
      <c r="B292" s="23" t="str">
        <f>Products!B1470</f>
        <v>4.5 - 4.6</v>
      </c>
      <c r="C292" s="165"/>
      <c r="D292" s="193">
        <f>Products!E1470</f>
        <v>5880</v>
      </c>
      <c r="E292" s="187">
        <f>Products!G1470</f>
        <v>6700.0000000000009</v>
      </c>
      <c r="F292" s="187">
        <f>Products!I1470</f>
        <v>7010</v>
      </c>
      <c r="G292" s="187">
        <f>Products!K1470</f>
        <v>7680</v>
      </c>
      <c r="H292" s="187">
        <f>Products!M1470</f>
        <v>8050</v>
      </c>
      <c r="I292" s="31"/>
      <c r="J292" s="361"/>
      <c r="K292" s="348"/>
      <c r="L292" s="342" t="str">
        <f>Products!B1479</f>
        <v>замок Soft чорн.</v>
      </c>
      <c r="M292" s="349">
        <f>Products!E1479</f>
        <v>680.00000000000011</v>
      </c>
    </row>
    <row r="293" spans="2:13">
      <c r="F293" s="97"/>
      <c r="G293" s="97"/>
      <c r="H293" s="31"/>
      <c r="I293" s="31"/>
      <c r="J293" s="361"/>
      <c r="K293" s="348"/>
      <c r="L293" s="342" t="str">
        <f>Products!B1480</f>
        <v>замок Magnet</v>
      </c>
      <c r="M293" s="349">
        <f>Products!E1480</f>
        <v>800.00000000000011</v>
      </c>
    </row>
    <row r="294" spans="2:13">
      <c r="C294" s="34"/>
      <c r="D294" s="34"/>
      <c r="E294" s="34"/>
      <c r="H294" s="31"/>
      <c r="I294" s="31"/>
      <c r="J294" s="361"/>
      <c r="K294" s="348"/>
      <c r="L294" s="342" t="str">
        <f>Products!B1481</f>
        <v>замок Magnet чорн.</v>
      </c>
      <c r="M294" s="349">
        <f>Products!E1481</f>
        <v>1000</v>
      </c>
    </row>
    <row r="295" spans="2:13">
      <c r="C295" s="34"/>
      <c r="D295" s="34"/>
      <c r="E295" s="34"/>
      <c r="H295" s="31"/>
      <c r="I295" s="31"/>
      <c r="J295" s="361"/>
      <c r="K295" s="348"/>
      <c r="L295" s="342" t="str">
        <f>Products!B1482</f>
        <v>ручка-замок (для дверей купе)</v>
      </c>
      <c r="M295" s="349">
        <f>Products!E1482</f>
        <v>560</v>
      </c>
    </row>
    <row r="296" spans="2:13">
      <c r="F296" s="97"/>
      <c r="G296" s="97"/>
      <c r="H296" s="31"/>
      <c r="I296" s="31"/>
      <c r="J296" s="361"/>
      <c r="K296" s="348"/>
      <c r="L296" s="342" t="str">
        <f>Products!B1483</f>
        <v>циліндр несиметричний</v>
      </c>
      <c r="M296" s="349">
        <f>Products!E1483</f>
        <v>380</v>
      </c>
    </row>
    <row r="297" spans="2:13" ht="13.5">
      <c r="B297" s="225"/>
      <c r="C297" s="34"/>
      <c r="D297" s="34"/>
      <c r="E297" s="34"/>
      <c r="F297" s="31"/>
      <c r="J297" s="353"/>
      <c r="K297" s="348"/>
      <c r="L297" s="342" t="str">
        <f>Products!B1484</f>
        <v>завіса Prestige (1 шт)</v>
      </c>
      <c r="M297" s="349">
        <f>Products!E1484</f>
        <v>260</v>
      </c>
    </row>
    <row r="298" spans="2:13" ht="13.5">
      <c r="B298" s="225"/>
      <c r="C298" s="34"/>
      <c r="D298" s="34"/>
      <c r="E298" s="34"/>
      <c r="F298" s="31"/>
      <c r="J298" s="353"/>
      <c r="K298" s="348"/>
      <c r="L298" s="342" t="str">
        <f>Products!B1485</f>
        <v>накладка на завіси (1 к-т)</v>
      </c>
      <c r="M298" s="349">
        <f>Products!E1485</f>
        <v>80</v>
      </c>
    </row>
    <row r="299" spans="2:13" ht="21">
      <c r="B299" s="225"/>
      <c r="C299" s="34"/>
      <c r="D299" s="34"/>
      <c r="E299" s="34"/>
      <c r="F299" s="31"/>
      <c r="J299" s="353"/>
      <c r="K299" s="348"/>
      <c r="L299" s="342" t="str">
        <f>Products!B1486</f>
        <v>дверна ручка</v>
      </c>
      <c r="M299" s="349" t="str">
        <f>Products!E1486</f>
        <v>див. Таблицю Ручки</v>
      </c>
    </row>
    <row r="300" spans="2:13">
      <c r="B300" s="570" t="str">
        <f>Products!B1537</f>
        <v>Полотна збірні: ТРЕНД</v>
      </c>
      <c r="C300" s="571"/>
      <c r="D300" s="571"/>
      <c r="E300" s="571"/>
      <c r="F300" s="170"/>
      <c r="G300" s="170"/>
      <c r="H300" s="170"/>
      <c r="I300" s="170"/>
      <c r="J300" s="343"/>
      <c r="K300" s="343"/>
      <c r="L300" s="355"/>
      <c r="M300" s="356"/>
    </row>
    <row r="301" spans="2:13" ht="25.5" customHeight="1">
      <c r="B301" s="567" t="str">
        <f>Products!B1539</f>
        <v>модель</v>
      </c>
      <c r="C301" s="156" t="str">
        <f>Products!C1539</f>
        <v>покриття:</v>
      </c>
      <c r="D301" s="129" t="str">
        <f>Products!D1539</f>
        <v>Verto-CELL</v>
      </c>
      <c r="E301" s="167" t="str">
        <f>Products!F1539</f>
        <v>UNI-MAT</v>
      </c>
      <c r="F301" s="130" t="str">
        <f>Products!H1539</f>
        <v>RESIST</v>
      </c>
      <c r="G301" s="130" t="str">
        <f>Products!J1539</f>
        <v>Verto LINE-3D</v>
      </c>
      <c r="H301" s="130" t="str">
        <f>Products!L1539</f>
        <v>ЕКО Шпон</v>
      </c>
      <c r="I301" s="216"/>
      <c r="J301" s="216"/>
      <c r="K301" s="357"/>
      <c r="L301" s="341" t="str">
        <f>Products!B1548</f>
        <v>полотно розміром 100</v>
      </c>
      <c r="M301" s="358">
        <f>Products!E1548</f>
        <v>720</v>
      </c>
    </row>
    <row r="302" spans="2:13" ht="24" customHeight="1">
      <c r="B302" s="568"/>
      <c r="C302" s="157" t="str">
        <f>Products!C1540</f>
        <v>заповнення:</v>
      </c>
      <c r="D302" s="139" t="str">
        <f>Products!D1540</f>
        <v>клеєний сосновий брус</v>
      </c>
      <c r="E302" s="168" t="str">
        <f>Products!F1540</f>
        <v>клеєний сосновий брус</v>
      </c>
      <c r="F302" s="140" t="str">
        <f>Products!H1540</f>
        <v>клеєний сосновий брус</v>
      </c>
      <c r="G302" s="140" t="str">
        <f>Products!J1540</f>
        <v>клеєний сосновий брус</v>
      </c>
      <c r="H302" s="140" t="str">
        <f>Products!L1540</f>
        <v>клеєний сосновий брус</v>
      </c>
      <c r="I302" s="216"/>
      <c r="J302" s="216"/>
      <c r="K302" s="348"/>
      <c r="L302" s="342" t="str">
        <f>Products!B1549</f>
        <v>вентиляційні віддушини (1ряд)</v>
      </c>
      <c r="M302" s="349">
        <f>Products!E1549</f>
        <v>250</v>
      </c>
    </row>
    <row r="303" spans="2:13">
      <c r="B303" s="569"/>
      <c r="C303" s="158" t="str">
        <f>Products!C1541</f>
        <v>скління:</v>
      </c>
      <c r="D303" s="137" t="str">
        <f>Products!D1541</f>
        <v>Сатин</v>
      </c>
      <c r="E303" s="161" t="str">
        <f>Products!F1541</f>
        <v>Сатин</v>
      </c>
      <c r="F303" s="126" t="str">
        <f>Products!H1541</f>
        <v>Сатин</v>
      </c>
      <c r="G303" s="126" t="str">
        <f>Products!J1541</f>
        <v>Сатин</v>
      </c>
      <c r="H303" s="126" t="str">
        <f>Products!L1541</f>
        <v>Сатин</v>
      </c>
      <c r="I303" s="216"/>
      <c r="J303" s="216"/>
      <c r="K303" s="348"/>
      <c r="L303" s="342" t="str">
        <f>Products!B1550</f>
        <v>вентиляційний підріз</v>
      </c>
      <c r="M303" s="349">
        <f>Products!E1550</f>
        <v>170.00000000000003</v>
      </c>
    </row>
    <row r="304" spans="2:13">
      <c r="B304" s="13" t="str">
        <f>Products!B1542</f>
        <v>5.0 - 5.5</v>
      </c>
      <c r="C304" s="163"/>
      <c r="D304" s="191">
        <f>Products!E1542</f>
        <v>7530</v>
      </c>
      <c r="E304" s="183">
        <f>Products!G1542</f>
        <v>8360</v>
      </c>
      <c r="F304" s="183">
        <f>Products!I1542</f>
        <v>8640</v>
      </c>
      <c r="G304" s="183">
        <f>Products!K1542</f>
        <v>9030</v>
      </c>
      <c r="H304" s="183">
        <f>Products!M1542</f>
        <v>9450</v>
      </c>
      <c r="J304" s="353"/>
      <c r="K304" s="348"/>
      <c r="L304" s="342" t="str">
        <f>Products!B1551</f>
        <v>скло Графіт / Бронза</v>
      </c>
      <c r="M304" s="349">
        <f>Products!E1551</f>
        <v>550</v>
      </c>
    </row>
    <row r="305" spans="2:13">
      <c r="B305" s="114" t="str">
        <f>Products!B1543</f>
        <v>5А.1 - 5А.3</v>
      </c>
      <c r="C305" s="173"/>
      <c r="D305" s="291">
        <f>Products!E1543</f>
        <v>7530</v>
      </c>
      <c r="E305" s="292">
        <f>Products!G1543</f>
        <v>8360</v>
      </c>
      <c r="F305" s="292">
        <f>Products!I1543</f>
        <v>8640</v>
      </c>
      <c r="G305" s="292">
        <f>Products!K1543</f>
        <v>9030</v>
      </c>
      <c r="H305" s="292">
        <f>Products!M1543</f>
        <v>9450</v>
      </c>
      <c r="J305" s="353"/>
      <c r="K305" s="348"/>
      <c r="L305" s="342" t="str">
        <f>Products!B1552</f>
        <v>замок Soft</v>
      </c>
      <c r="M305" s="349">
        <f>Products!E1552</f>
        <v>550</v>
      </c>
    </row>
    <row r="306" spans="2:13">
      <c r="B306" s="23" t="str">
        <f>Products!B1544</f>
        <v>5Б.3</v>
      </c>
      <c r="C306" s="165"/>
      <c r="D306" s="193">
        <f>Products!E1544</f>
        <v>7530</v>
      </c>
      <c r="E306" s="187">
        <f>Products!G1544</f>
        <v>8360</v>
      </c>
      <c r="F306" s="187">
        <f>Products!I1544</f>
        <v>8640</v>
      </c>
      <c r="G306" s="187">
        <f>Products!K1544</f>
        <v>9030</v>
      </c>
      <c r="H306" s="187">
        <f>Products!M1544</f>
        <v>9450</v>
      </c>
      <c r="J306" s="353"/>
      <c r="K306" s="348"/>
      <c r="L306" s="342" t="str">
        <f>Products!B1553</f>
        <v>замок Soft чорн.</v>
      </c>
      <c r="M306" s="349">
        <f>Products!E1553</f>
        <v>680.00000000000011</v>
      </c>
    </row>
    <row r="307" spans="2:13">
      <c r="C307" s="34"/>
      <c r="D307" s="34"/>
      <c r="E307" s="34"/>
      <c r="F307" s="31"/>
      <c r="J307" s="353"/>
      <c r="K307" s="348"/>
      <c r="L307" s="342" t="str">
        <f>Products!B1554</f>
        <v>замок Magnet</v>
      </c>
      <c r="M307" s="349">
        <f>Products!E1554</f>
        <v>800.00000000000011</v>
      </c>
    </row>
    <row r="308" spans="2:13">
      <c r="C308" s="34"/>
      <c r="D308" s="34"/>
      <c r="E308" s="34"/>
      <c r="F308" s="31"/>
      <c r="J308" s="353"/>
      <c r="K308" s="348"/>
      <c r="L308" s="342" t="str">
        <f>Products!B1555</f>
        <v>замок Magnet чорн.</v>
      </c>
      <c r="M308" s="349">
        <f>Products!E1555</f>
        <v>1000</v>
      </c>
    </row>
    <row r="309" spans="2:13">
      <c r="C309" s="34"/>
      <c r="D309" s="34"/>
      <c r="E309" s="34"/>
      <c r="F309" s="31"/>
      <c r="J309" s="353"/>
      <c r="K309" s="348"/>
      <c r="L309" s="342" t="str">
        <f>Products!B1556</f>
        <v>ручка-замок (для дверей купе)</v>
      </c>
      <c r="M309" s="349">
        <f>Products!E1556</f>
        <v>560</v>
      </c>
    </row>
    <row r="310" spans="2:13">
      <c r="C310" s="34"/>
      <c r="D310" s="34"/>
      <c r="E310" s="34"/>
      <c r="F310" s="31"/>
      <c r="J310" s="353"/>
      <c r="K310" s="348"/>
      <c r="L310" s="342" t="str">
        <f>Products!B1557</f>
        <v>циліндр несиметричний</v>
      </c>
      <c r="M310" s="349">
        <f>Products!E1557</f>
        <v>380</v>
      </c>
    </row>
    <row r="311" spans="2:13">
      <c r="C311" s="34"/>
      <c r="D311" s="34"/>
      <c r="E311" s="34"/>
      <c r="F311" s="31"/>
      <c r="J311" s="353"/>
      <c r="K311" s="348"/>
      <c r="L311" s="342" t="str">
        <f>Products!B1558</f>
        <v>завіса Prestige (1 шт)</v>
      </c>
      <c r="M311" s="349">
        <f>Products!E1558</f>
        <v>260</v>
      </c>
    </row>
    <row r="312" spans="2:13" ht="13.5">
      <c r="B312" s="225"/>
      <c r="C312" s="34"/>
      <c r="D312" s="34"/>
      <c r="E312" s="34"/>
      <c r="F312" s="31"/>
      <c r="J312" s="353"/>
      <c r="K312" s="348"/>
      <c r="L312" s="342" t="str">
        <f>Products!B1559</f>
        <v>накладка на завіси (1 к-т)</v>
      </c>
      <c r="M312" s="349">
        <f>Products!E1559</f>
        <v>80</v>
      </c>
    </row>
    <row r="313" spans="2:13" ht="21">
      <c r="B313" s="225"/>
      <c r="C313" s="34"/>
      <c r="D313" s="34"/>
      <c r="E313" s="34"/>
      <c r="F313" s="31"/>
      <c r="J313" s="353"/>
      <c r="K313" s="348"/>
      <c r="L313" s="342" t="str">
        <f>Products!B1560</f>
        <v>дверна ручка</v>
      </c>
      <c r="M313" s="349" t="str">
        <f>Products!E1560</f>
        <v>див. Таблицю Ручки</v>
      </c>
    </row>
    <row r="314" spans="2:13">
      <c r="B314" s="570" t="str">
        <f>Products!B1611</f>
        <v>Полотна збірні: МОДЕРН</v>
      </c>
      <c r="C314" s="571"/>
      <c r="D314" s="571"/>
      <c r="E314" s="571"/>
      <c r="F314" s="170"/>
      <c r="G314" s="170"/>
      <c r="H314" s="170"/>
      <c r="I314" s="170"/>
      <c r="J314" s="343"/>
      <c r="K314" s="343"/>
      <c r="L314" s="355"/>
      <c r="M314" s="356"/>
    </row>
    <row r="315" spans="2:13">
      <c r="B315" s="567" t="str">
        <f>Products!B1613</f>
        <v>модель</v>
      </c>
      <c r="C315" s="156" t="str">
        <f>Products!C1613</f>
        <v>покриття:</v>
      </c>
      <c r="D315" s="129" t="str">
        <f>Products!D1613</f>
        <v>VERTO-CELL</v>
      </c>
      <c r="E315" s="167" t="str">
        <f>Products!F1613</f>
        <v>UNI-MAT</v>
      </c>
      <c r="F315" s="130" t="str">
        <f>Products!H1613</f>
        <v>RESIST</v>
      </c>
      <c r="G315" s="130" t="str">
        <f>Products!J1613</f>
        <v>Verto LINE-3D</v>
      </c>
      <c r="H315" s="130" t="str">
        <f>Products!L1613</f>
        <v>ЕКО Шпон</v>
      </c>
      <c r="I315" s="216"/>
      <c r="J315" s="216"/>
      <c r="K315" s="357"/>
      <c r="L315" s="341" t="str">
        <f>Products!B1622</f>
        <v>полотно розміром 100</v>
      </c>
      <c r="M315" s="358">
        <f>Products!E1622</f>
        <v>720</v>
      </c>
    </row>
    <row r="316" spans="2:13" ht="24" customHeight="1">
      <c r="B316" s="568"/>
      <c r="C316" s="157" t="str">
        <f>Products!C1614</f>
        <v>заповнення:</v>
      </c>
      <c r="D316" s="139" t="str">
        <f>Products!D1614</f>
        <v>клеєний сосновий брус</v>
      </c>
      <c r="E316" s="168" t="str">
        <f>Products!F1614</f>
        <v>клеєний сосновий брус</v>
      </c>
      <c r="F316" s="140" t="str">
        <f>Products!H1614</f>
        <v>клеєний сосновий брус</v>
      </c>
      <c r="G316" s="140" t="str">
        <f>Products!J1614</f>
        <v>клеєний сосновий брус</v>
      </c>
      <c r="H316" s="140" t="str">
        <f>Products!L1614</f>
        <v>клеєний сосновий брус</v>
      </c>
      <c r="I316" s="216"/>
      <c r="J316" s="216"/>
      <c r="K316" s="348"/>
      <c r="L316" s="342" t="str">
        <f>Products!B1623</f>
        <v>вентиляційні віддушини (1ряд)</v>
      </c>
      <c r="M316" s="349">
        <f>Products!E1623</f>
        <v>250</v>
      </c>
    </row>
    <row r="317" spans="2:13">
      <c r="B317" s="569"/>
      <c r="C317" s="158" t="str">
        <f>Products!C1615</f>
        <v>скління:</v>
      </c>
      <c r="D317" s="137" t="str">
        <f>Products!D1615</f>
        <v>Сатин</v>
      </c>
      <c r="E317" s="161" t="str">
        <f>Products!F1615</f>
        <v>Сатин</v>
      </c>
      <c r="F317" s="126" t="str">
        <f>Products!H1615</f>
        <v>Сатин</v>
      </c>
      <c r="G317" s="126" t="str">
        <f>Products!J1615</f>
        <v>Сатин</v>
      </c>
      <c r="H317" s="126" t="str">
        <f>Products!L1615</f>
        <v>Сатин</v>
      </c>
      <c r="I317" s="216"/>
      <c r="J317" s="216"/>
      <c r="K317" s="348"/>
      <c r="L317" s="342" t="str">
        <f>Products!B1624</f>
        <v>вентиляційний підріз</v>
      </c>
      <c r="M317" s="349">
        <f>Products!E1624</f>
        <v>170.00000000000003</v>
      </c>
    </row>
    <row r="318" spans="2:13">
      <c r="B318" s="13" t="str">
        <f>Products!B1616</f>
        <v>1.0 - 1.1</v>
      </c>
      <c r="C318" s="163"/>
      <c r="D318" s="191">
        <f>Products!E1616</f>
        <v>6320</v>
      </c>
      <c r="E318" s="183">
        <f>Products!G1616</f>
        <v>7080</v>
      </c>
      <c r="F318" s="183">
        <f>Products!I1616</f>
        <v>7380</v>
      </c>
      <c r="G318" s="183">
        <f>Products!K1616</f>
        <v>7920</v>
      </c>
      <c r="H318" s="183">
        <f>Products!M1616</f>
        <v>8300</v>
      </c>
      <c r="J318" s="353"/>
      <c r="K318" s="348"/>
      <c r="L318" s="342" t="str">
        <f>Products!B1625</f>
        <v>скло Графіт / Бронза</v>
      </c>
      <c r="M318" s="349">
        <f>Products!E1625</f>
        <v>550</v>
      </c>
    </row>
    <row r="319" spans="2:13">
      <c r="B319" s="114" t="str">
        <f>Products!B1617</f>
        <v>3.0 - 3.3</v>
      </c>
      <c r="C319" s="173"/>
      <c r="D319" s="291">
        <f>Products!E1617</f>
        <v>7440</v>
      </c>
      <c r="E319" s="292">
        <f>Products!G1617</f>
        <v>8340</v>
      </c>
      <c r="F319" s="292">
        <f>Products!I1617</f>
        <v>8700</v>
      </c>
      <c r="G319" s="292">
        <f>Products!K1617</f>
        <v>9250</v>
      </c>
      <c r="H319" s="292">
        <f>Products!M1617</f>
        <v>9690</v>
      </c>
      <c r="J319" s="353"/>
      <c r="K319" s="348"/>
      <c r="L319" s="342" t="str">
        <f>Products!B1626</f>
        <v>замок Soft</v>
      </c>
      <c r="M319" s="349">
        <f>Products!E1626</f>
        <v>550</v>
      </c>
    </row>
    <row r="320" spans="2:13">
      <c r="B320" s="23" t="str">
        <f>Products!B1618</f>
        <v>3А.1 - 3А.2</v>
      </c>
      <c r="C320" s="165"/>
      <c r="D320" s="193">
        <f>Products!E1618</f>
        <v>7440</v>
      </c>
      <c r="E320" s="187">
        <f>Products!G1618</f>
        <v>8340</v>
      </c>
      <c r="F320" s="187">
        <f>Products!I1618</f>
        <v>8700</v>
      </c>
      <c r="G320" s="187">
        <f>Products!K1618</f>
        <v>9250</v>
      </c>
      <c r="H320" s="187">
        <f>Products!M1618</f>
        <v>9690</v>
      </c>
      <c r="J320" s="353"/>
      <c r="K320" s="348"/>
      <c r="L320" s="342" t="str">
        <f>Products!B1627</f>
        <v>замок Soft чорн.</v>
      </c>
      <c r="M320" s="349">
        <f>Products!E1627</f>
        <v>680.00000000000011</v>
      </c>
    </row>
    <row r="321" spans="1:13">
      <c r="C321" s="34"/>
      <c r="D321" s="34"/>
      <c r="E321" s="34"/>
      <c r="F321" s="31"/>
      <c r="J321" s="353"/>
      <c r="K321" s="348"/>
      <c r="L321" s="342" t="str">
        <f>Products!B1628</f>
        <v>замок Magnet</v>
      </c>
      <c r="M321" s="349">
        <f>Products!E1628</f>
        <v>800.00000000000011</v>
      </c>
    </row>
    <row r="322" spans="1:13">
      <c r="C322" s="34"/>
      <c r="D322" s="34"/>
      <c r="E322" s="34"/>
      <c r="F322" s="31"/>
      <c r="J322" s="353"/>
      <c r="K322" s="348"/>
      <c r="L322" s="342" t="str">
        <f>Products!B1629</f>
        <v>замок Magnet чорн.</v>
      </c>
      <c r="M322" s="349">
        <f>Products!E1629</f>
        <v>1000</v>
      </c>
    </row>
    <row r="323" spans="1:13">
      <c r="C323" s="34"/>
      <c r="D323" s="34"/>
      <c r="E323" s="34"/>
      <c r="F323" s="31"/>
      <c r="J323" s="353"/>
      <c r="K323" s="348"/>
      <c r="L323" s="342" t="str">
        <f>Products!B1630</f>
        <v>ручка-замок (для дверей купе)</v>
      </c>
      <c r="M323" s="349">
        <f>Products!E1630</f>
        <v>560</v>
      </c>
    </row>
    <row r="324" spans="1:13">
      <c r="C324" s="34"/>
      <c r="D324" s="34"/>
      <c r="E324" s="34"/>
      <c r="F324" s="31"/>
      <c r="J324" s="353"/>
      <c r="K324" s="348"/>
      <c r="L324" s="342" t="str">
        <f>Products!B1631</f>
        <v>циліндр несиметричний</v>
      </c>
      <c r="M324" s="349">
        <f>Products!E1631</f>
        <v>380</v>
      </c>
    </row>
    <row r="325" spans="1:13">
      <c r="C325" s="34"/>
      <c r="D325" s="34"/>
      <c r="E325" s="34"/>
      <c r="F325" s="31"/>
      <c r="J325" s="353"/>
      <c r="K325" s="348"/>
      <c r="L325" s="342" t="str">
        <f>Products!B1632</f>
        <v>завіса Prestige (1 шт)</v>
      </c>
      <c r="M325" s="349">
        <f>Products!E1632</f>
        <v>260</v>
      </c>
    </row>
    <row r="326" spans="1:13">
      <c r="C326" s="34"/>
      <c r="D326" s="34"/>
      <c r="E326" s="34"/>
      <c r="F326" s="31"/>
      <c r="J326" s="353"/>
      <c r="K326" s="348"/>
      <c r="L326" s="342" t="str">
        <f>Products!B1633</f>
        <v>накладка на завіси (1 к-т)</v>
      </c>
      <c r="M326" s="349">
        <f>Products!E1633</f>
        <v>80</v>
      </c>
    </row>
    <row r="327" spans="1:13" ht="21">
      <c r="C327" s="34"/>
      <c r="D327" s="34"/>
      <c r="E327" s="34"/>
      <c r="F327" s="31"/>
      <c r="J327" s="353"/>
      <c r="K327" s="348"/>
      <c r="L327" s="342" t="str">
        <f>Products!B1634</f>
        <v>дверна ручка</v>
      </c>
      <c r="M327" s="349" t="str">
        <f>Products!E1634</f>
        <v>див. Таблицю Ручки</v>
      </c>
    </row>
    <row r="328" spans="1:13" s="31" customFormat="1" ht="12.75" customHeight="1">
      <c r="B328" s="570" t="str">
        <f>Products!B1685</f>
        <v>Полотна збірні: ПОЛО</v>
      </c>
      <c r="C328" s="571"/>
      <c r="D328" s="571"/>
      <c r="E328" s="571"/>
      <c r="F328" s="170"/>
      <c r="G328" s="170"/>
      <c r="H328" s="170"/>
      <c r="I328" s="170"/>
      <c r="J328" s="343"/>
      <c r="K328" s="343"/>
      <c r="L328" s="355"/>
      <c r="M328" s="356"/>
    </row>
    <row r="329" spans="1:13" ht="24.75" customHeight="1">
      <c r="A329" s="31"/>
      <c r="B329" s="567" t="str">
        <f>Products!B1687</f>
        <v>модель</v>
      </c>
      <c r="C329" s="156" t="str">
        <f>Products!C1687</f>
        <v>покриття:</v>
      </c>
      <c r="D329" s="129" t="str">
        <f>Products!D1687</f>
        <v>Verto-CELL</v>
      </c>
      <c r="E329" s="167" t="str">
        <f>Products!F1687</f>
        <v>UNI-MAT</v>
      </c>
      <c r="F329" s="130" t="str">
        <f>Products!H1687</f>
        <v>RESIST</v>
      </c>
      <c r="G329" s="130" t="str">
        <f>Products!J1687</f>
        <v>Verto LINE-3D</v>
      </c>
      <c r="H329" s="130" t="str">
        <f>Products!L1687</f>
        <v>ЕКО Шпон</v>
      </c>
      <c r="I329" s="216"/>
      <c r="J329" s="216"/>
      <c r="K329" s="357"/>
      <c r="L329" s="341" t="str">
        <f>Products!B1697</f>
        <v>полотно розміром 100</v>
      </c>
      <c r="M329" s="358">
        <f>Products!E1697</f>
        <v>720</v>
      </c>
    </row>
    <row r="330" spans="1:13" ht="26.25" customHeight="1">
      <c r="A330" s="31"/>
      <c r="B330" s="568"/>
      <c r="C330" s="157" t="str">
        <f>Products!C1688</f>
        <v>заповнення:</v>
      </c>
      <c r="D330" s="139" t="str">
        <f>Products!D1688</f>
        <v>клеєний сосновий брус</v>
      </c>
      <c r="E330" s="168" t="str">
        <f>Products!F1688</f>
        <v>клеєний сосновий брус</v>
      </c>
      <c r="F330" s="140" t="str">
        <f>Products!H1688</f>
        <v>клеєний сосновий брус</v>
      </c>
      <c r="G330" s="140" t="str">
        <f>Products!J1688</f>
        <v>клеєний сосновий брус</v>
      </c>
      <c r="H330" s="140" t="str">
        <f>Products!L1688</f>
        <v>клеєний сосновий брус</v>
      </c>
      <c r="I330" s="216"/>
      <c r="J330" s="216"/>
      <c r="K330" s="348"/>
      <c r="L330" s="342" t="str">
        <f>Products!B1698</f>
        <v>вентиляційні віддушини (1ряд)</v>
      </c>
      <c r="M330" s="349">
        <f>Products!E1698</f>
        <v>250</v>
      </c>
    </row>
    <row r="331" spans="1:13" ht="12.75" customHeight="1">
      <c r="A331" s="31"/>
      <c r="B331" s="569"/>
      <c r="C331" s="158" t="str">
        <f>Products!C1689</f>
        <v>скління:</v>
      </c>
      <c r="D331" s="137" t="str">
        <f>Products!D1689</f>
        <v>Сатин</v>
      </c>
      <c r="E331" s="161" t="str">
        <f>Products!F1689</f>
        <v>Сатин</v>
      </c>
      <c r="F331" s="126" t="str">
        <f>Products!H1689</f>
        <v>Сатин</v>
      </c>
      <c r="G331" s="126" t="str">
        <f>Products!J1689</f>
        <v>Сатин</v>
      </c>
      <c r="H331" s="126" t="str">
        <f>Products!L1689</f>
        <v>Сатин</v>
      </c>
      <c r="I331" s="216"/>
      <c r="J331" s="216"/>
      <c r="K331" s="348"/>
      <c r="L331" s="342" t="str">
        <f>Products!B1699</f>
        <v>вентиляційний підріз</v>
      </c>
      <c r="M331" s="349">
        <f>Products!E1699</f>
        <v>170.00000000000003</v>
      </c>
    </row>
    <row r="332" spans="1:13">
      <c r="A332" s="31"/>
      <c r="B332" s="13" t="str">
        <f>Products!B1690</f>
        <v>3.0 - 3.6</v>
      </c>
      <c r="C332" s="163"/>
      <c r="D332" s="191">
        <f>Products!E1690</f>
        <v>6440</v>
      </c>
      <c r="E332" s="183">
        <f>Products!G1690</f>
        <v>7150.0000000000009</v>
      </c>
      <c r="F332" s="183">
        <f>Products!I1690</f>
        <v>7500</v>
      </c>
      <c r="G332" s="183">
        <f>Products!K1690</f>
        <v>8110</v>
      </c>
      <c r="H332" s="183">
        <f>Products!M1690</f>
        <v>8540</v>
      </c>
      <c r="J332" s="353"/>
      <c r="K332" s="348"/>
      <c r="L332" s="342" t="str">
        <f>Products!B1700</f>
        <v>скло Графіт / Бронза</v>
      </c>
      <c r="M332" s="349">
        <f>Products!E1700</f>
        <v>550</v>
      </c>
    </row>
    <row r="333" spans="1:13">
      <c r="A333" s="31"/>
      <c r="B333" s="114" t="str">
        <f>Products!B1691</f>
        <v>3А.3</v>
      </c>
      <c r="C333" s="173"/>
      <c r="D333" s="291">
        <f>Products!E1691</f>
        <v>5980.0000000000009</v>
      </c>
      <c r="E333" s="292">
        <f>Products!G1691</f>
        <v>6640.0000000000009</v>
      </c>
      <c r="F333" s="292">
        <f>Products!I1691</f>
        <v>6900</v>
      </c>
      <c r="G333" s="292">
        <f>Products!K1691</f>
        <v>7470</v>
      </c>
      <c r="H333" s="292">
        <f>Products!M1691</f>
        <v>7830</v>
      </c>
      <c r="J333" s="353"/>
      <c r="K333" s="348"/>
      <c r="L333" s="342" t="str">
        <f>Products!B1701</f>
        <v>замок Soft</v>
      </c>
      <c r="M333" s="349">
        <f>Products!E1701</f>
        <v>550</v>
      </c>
    </row>
    <row r="334" spans="1:13">
      <c r="A334" s="31"/>
      <c r="B334" s="114" t="str">
        <f>Products!B1692</f>
        <v>3А.5</v>
      </c>
      <c r="C334" s="173"/>
      <c r="D334" s="291">
        <f>Products!E1692</f>
        <v>5580</v>
      </c>
      <c r="E334" s="292">
        <f>Products!G1692</f>
        <v>6190.0000000000009</v>
      </c>
      <c r="F334" s="292">
        <f>Products!I1692</f>
        <v>6340.0000000000009</v>
      </c>
      <c r="G334" s="292">
        <f>Products!K1692</f>
        <v>6890</v>
      </c>
      <c r="H334" s="292">
        <f>Products!M1692</f>
        <v>7230</v>
      </c>
      <c r="J334" s="353"/>
      <c r="K334" s="348"/>
      <c r="L334" s="342" t="str">
        <f>Products!B1702</f>
        <v>замок Soft чорн.</v>
      </c>
      <c r="M334" s="349">
        <f>Products!E1702</f>
        <v>680.00000000000011</v>
      </c>
    </row>
    <row r="335" spans="1:13">
      <c r="A335" s="31"/>
      <c r="B335" s="23" t="str">
        <f>Products!B1693</f>
        <v>4.3.</v>
      </c>
      <c r="C335" s="165"/>
      <c r="D335" s="193">
        <f>Products!E1693</f>
        <v>5980.0000000000009</v>
      </c>
      <c r="E335" s="187">
        <f>Products!G1693</f>
        <v>6640.0000000000009</v>
      </c>
      <c r="F335" s="187">
        <f>Products!I1693</f>
        <v>6900</v>
      </c>
      <c r="G335" s="187">
        <f>Products!K1693</f>
        <v>7470</v>
      </c>
      <c r="H335" s="187">
        <f>Products!M1693</f>
        <v>7830</v>
      </c>
      <c r="J335" s="353"/>
      <c r="K335" s="348"/>
      <c r="L335" s="342" t="str">
        <f>Products!B1703</f>
        <v>замок Magnet</v>
      </c>
      <c r="M335" s="349">
        <f>Products!E1703</f>
        <v>800.00000000000011</v>
      </c>
    </row>
    <row r="336" spans="1:13">
      <c r="A336" s="31"/>
      <c r="J336" s="353"/>
      <c r="K336" s="348"/>
      <c r="L336" s="342" t="str">
        <f>Products!B1704</f>
        <v>замок Magnet чорн.</v>
      </c>
      <c r="M336" s="349">
        <f>Products!E1704</f>
        <v>1000</v>
      </c>
    </row>
    <row r="337" spans="1:13">
      <c r="A337" s="31"/>
      <c r="B337" s="175"/>
      <c r="C337" s="176"/>
      <c r="D337" s="199"/>
      <c r="E337" s="199"/>
      <c r="F337" s="199"/>
      <c r="G337" s="199"/>
      <c r="J337" s="353"/>
      <c r="K337" s="348"/>
      <c r="L337" s="342" t="str">
        <f>Products!B1705</f>
        <v>ручка-замок (для дверей купе)</v>
      </c>
      <c r="M337" s="349">
        <f>Products!E1705</f>
        <v>560</v>
      </c>
    </row>
    <row r="338" spans="1:13" ht="13.5" customHeight="1">
      <c r="A338" s="31"/>
      <c r="J338" s="353"/>
      <c r="K338" s="348"/>
      <c r="L338" s="342" t="str">
        <f>Products!B1706</f>
        <v>циліндр несиметричний</v>
      </c>
      <c r="M338" s="349">
        <f>Products!E1706</f>
        <v>380</v>
      </c>
    </row>
    <row r="339" spans="1:13" ht="13.5" customHeight="1">
      <c r="A339" s="31"/>
      <c r="J339" s="353"/>
      <c r="K339" s="348"/>
      <c r="L339" s="342" t="str">
        <f>Products!B1707</f>
        <v>завіса Prestige (1 шт)</v>
      </c>
      <c r="M339" s="349">
        <f>Products!E1707</f>
        <v>260</v>
      </c>
    </row>
    <row r="340" spans="1:13" ht="13.5">
      <c r="B340" s="225"/>
      <c r="C340" s="34"/>
      <c r="D340" s="34"/>
      <c r="E340" s="34"/>
      <c r="F340" s="31"/>
      <c r="J340" s="353"/>
      <c r="K340" s="348"/>
      <c r="L340" s="342" t="str">
        <f>Products!B1708</f>
        <v>накладка на завіси (1 к-т)</v>
      </c>
      <c r="M340" s="349">
        <f>Products!E1708</f>
        <v>80</v>
      </c>
    </row>
    <row r="341" spans="1:13" ht="21">
      <c r="B341" s="225"/>
      <c r="C341" s="34"/>
      <c r="D341" s="34"/>
      <c r="E341" s="34"/>
      <c r="F341" s="31"/>
      <c r="J341" s="353"/>
      <c r="K341" s="348"/>
      <c r="L341" s="342" t="str">
        <f>Products!B1709</f>
        <v>дверна ручка</v>
      </c>
      <c r="M341" s="349" t="str">
        <f>Products!E1709</f>
        <v>див. Таблицю Ручки</v>
      </c>
    </row>
    <row r="342" spans="1:13" s="31" customFormat="1" ht="12.75" customHeight="1">
      <c r="B342" s="570" t="str">
        <f>TITLE!$C$32</f>
        <v>Полотна скляні: ЛІНЕЯ</v>
      </c>
      <c r="C342" s="571"/>
      <c r="D342" s="571"/>
      <c r="E342" s="571"/>
      <c r="F342" s="170"/>
      <c r="G342" s="170"/>
      <c r="H342" s="170"/>
      <c r="I342" s="170"/>
      <c r="J342" s="343"/>
      <c r="K342" s="343"/>
      <c r="L342" s="355"/>
      <c r="M342" s="356"/>
    </row>
    <row r="343" spans="1:13" ht="12.75" customHeight="1">
      <c r="A343" s="31"/>
      <c r="B343" s="568" t="str">
        <f>Products!B1762</f>
        <v>модель</v>
      </c>
      <c r="C343" s="156" t="str">
        <f>Products!C1762</f>
        <v>покриття:</v>
      </c>
      <c r="D343" s="522" t="str">
        <f>Products!D1762</f>
        <v>VERTO-CELL</v>
      </c>
      <c r="E343" s="523"/>
      <c r="F343" s="524"/>
      <c r="G343" s="46"/>
      <c r="H343" s="216"/>
      <c r="I343" s="216"/>
      <c r="J343" s="216"/>
      <c r="K343" s="357"/>
      <c r="L343" s="341" t="str">
        <f>Products!B1771</f>
        <v>полотно розміром 100</v>
      </c>
      <c r="M343" s="358">
        <f>Products!E1771</f>
        <v>680.00000000000011</v>
      </c>
    </row>
    <row r="344" spans="1:13">
      <c r="A344" s="31"/>
      <c r="B344" s="568"/>
      <c r="C344" s="157" t="str">
        <f>Products!C1763</f>
        <v>заповнення:</v>
      </c>
      <c r="D344" s="527" t="str">
        <f>Products!D1763</f>
        <v>сотове заповнення</v>
      </c>
      <c r="E344" s="544"/>
      <c r="F344" s="528"/>
      <c r="G344" s="47"/>
      <c r="H344" s="216"/>
      <c r="I344" s="216"/>
      <c r="J344" s="216"/>
      <c r="K344" s="348"/>
      <c r="L344" s="342" t="str">
        <f>Products!B1772</f>
        <v>скло Графіт / Бронза</v>
      </c>
      <c r="M344" s="362" t="str">
        <f>Products!E1772</f>
        <v>див. Таблицю Ціни</v>
      </c>
    </row>
    <row r="345" spans="1:13" ht="12.75" customHeight="1">
      <c r="A345" s="31"/>
      <c r="B345" s="569"/>
      <c r="C345" s="158" t="str">
        <f>Products!C1764</f>
        <v>скління:</v>
      </c>
      <c r="D345" s="255" t="str">
        <f>Products!D1764</f>
        <v>Сатин</v>
      </c>
      <c r="E345" s="262" t="str">
        <f>Products!F1764</f>
        <v>Графіт / Бронза</v>
      </c>
      <c r="F345" s="263" t="str">
        <f>Products!H1764</f>
        <v>Триплекс мат/чорн</v>
      </c>
      <c r="G345" s="159"/>
      <c r="H345" s="216"/>
      <c r="I345" s="216"/>
      <c r="J345" s="216"/>
      <c r="K345" s="348"/>
      <c r="L345" s="342" t="str">
        <f>Products!B1773</f>
        <v>скло Триплекс матовий / чорний</v>
      </c>
      <c r="M345" s="362" t="str">
        <f>Products!E1773</f>
        <v>див. Таблицю Ціни</v>
      </c>
    </row>
    <row r="346" spans="1:13">
      <c r="A346" s="31"/>
      <c r="B346" s="13">
        <f>Products!B1765</f>
        <v>1</v>
      </c>
      <c r="C346" s="163"/>
      <c r="D346" s="256">
        <f>Products!E1765</f>
        <v>4840</v>
      </c>
      <c r="E346" s="264">
        <f>Products!G1765</f>
        <v>5570</v>
      </c>
      <c r="F346" s="257">
        <f>Products!I1765</f>
        <v>5960</v>
      </c>
      <c r="G346" s="199"/>
      <c r="H346" s="224"/>
      <c r="I346" s="224"/>
      <c r="J346" s="224"/>
      <c r="K346" s="348"/>
      <c r="L346" s="342" t="str">
        <f>Products!B1774</f>
        <v>замок Soft</v>
      </c>
      <c r="M346" s="362">
        <f>Products!E1774</f>
        <v>550</v>
      </c>
    </row>
    <row r="347" spans="1:13">
      <c r="A347" s="31"/>
      <c r="B347" s="16">
        <f>Products!B1766</f>
        <v>3</v>
      </c>
      <c r="C347" s="164"/>
      <c r="D347" s="258">
        <f>Products!E1766</f>
        <v>6840</v>
      </c>
      <c r="E347" s="265">
        <f>Products!G1766</f>
        <v>7800</v>
      </c>
      <c r="F347" s="259">
        <f>Products!I1766</f>
        <v>8190</v>
      </c>
      <c r="G347" s="199"/>
      <c r="H347" s="224"/>
      <c r="I347" s="224"/>
      <c r="J347" s="224"/>
      <c r="K347" s="348"/>
      <c r="L347" s="342" t="str">
        <f>Products!B1775</f>
        <v>замок Soft чорн.</v>
      </c>
      <c r="M347" s="362">
        <f>Products!E1775</f>
        <v>680.00000000000011</v>
      </c>
    </row>
    <row r="348" spans="1:13">
      <c r="A348" s="31"/>
      <c r="B348" s="23">
        <f>Products!B1767</f>
        <v>4</v>
      </c>
      <c r="C348" s="165"/>
      <c r="D348" s="260">
        <f>Products!E1767</f>
        <v>7220</v>
      </c>
      <c r="E348" s="266">
        <f>Products!G1767</f>
        <v>8320</v>
      </c>
      <c r="F348" s="261">
        <f>Products!I1767</f>
        <v>8900</v>
      </c>
      <c r="G348" s="199"/>
      <c r="H348" s="224"/>
      <c r="I348" s="224"/>
      <c r="J348" s="224"/>
      <c r="K348" s="348"/>
      <c r="L348" s="342" t="str">
        <f>Products!B1776</f>
        <v>замок Magnet</v>
      </c>
      <c r="M348" s="362">
        <f>Products!E1776</f>
        <v>800.00000000000011</v>
      </c>
    </row>
    <row r="349" spans="1:13">
      <c r="A349" s="31"/>
      <c r="G349" s="199"/>
      <c r="H349" s="224"/>
      <c r="I349" s="224"/>
      <c r="J349" s="224"/>
      <c r="K349" s="348"/>
      <c r="L349" s="342" t="str">
        <f>Products!B1777</f>
        <v>замок Magnet чорн.</v>
      </c>
      <c r="M349" s="362">
        <f>Products!E1777</f>
        <v>1000</v>
      </c>
    </row>
    <row r="350" spans="1:13">
      <c r="A350" s="31"/>
      <c r="G350" s="199"/>
      <c r="H350" s="224"/>
      <c r="I350" s="224"/>
      <c r="J350" s="224"/>
      <c r="K350" s="348"/>
      <c r="L350" s="342" t="str">
        <f>Products!B1778</f>
        <v>циліндр несиметричний</v>
      </c>
      <c r="M350" s="362">
        <f>Products!E1778</f>
        <v>380</v>
      </c>
    </row>
    <row r="351" spans="1:13">
      <c r="C351" s="34"/>
      <c r="D351" s="34"/>
      <c r="E351" s="34"/>
      <c r="F351" s="31"/>
      <c r="G351" s="31"/>
      <c r="J351" s="353"/>
      <c r="K351" s="348"/>
      <c r="L351" s="342" t="str">
        <f>Products!B1779</f>
        <v>завіса Prestige (1 шт)</v>
      </c>
      <c r="M351" s="362">
        <f>Products!E1779</f>
        <v>260</v>
      </c>
    </row>
    <row r="352" spans="1:13">
      <c r="C352" s="34"/>
      <c r="D352" s="34"/>
      <c r="E352" s="34"/>
      <c r="F352" s="31"/>
      <c r="G352" s="31"/>
      <c r="J352" s="353"/>
      <c r="K352" s="348"/>
      <c r="L352" s="342" t="str">
        <f>Products!B1780</f>
        <v>накладка на завіси (1 к-т)</v>
      </c>
      <c r="M352" s="362">
        <f>Products!E1780</f>
        <v>80</v>
      </c>
    </row>
    <row r="353" spans="1:13">
      <c r="C353" s="34"/>
      <c r="D353" s="34"/>
      <c r="E353" s="34"/>
      <c r="F353" s="31"/>
      <c r="G353" s="31"/>
      <c r="J353" s="353"/>
      <c r="K353" s="348"/>
      <c r="L353" s="342" t="str">
        <f>Products!B1781</f>
        <v>дверна ручка</v>
      </c>
      <c r="M353" s="362" t="str">
        <f>Products!E1781</f>
        <v>див. Таблицю Ручки</v>
      </c>
    </row>
    <row r="354" spans="1:13">
      <c r="C354" s="34"/>
      <c r="D354" s="34"/>
      <c r="E354" s="34"/>
      <c r="F354" s="31"/>
      <c r="G354" s="31"/>
      <c r="J354" s="353"/>
      <c r="K354" s="348"/>
      <c r="L354" s="342" t="str">
        <f>Products!B1782</f>
        <v>ДСП трубчасте</v>
      </c>
      <c r="M354" s="362">
        <f>Products!E1782</f>
        <v>930</v>
      </c>
    </row>
    <row r="355" spans="1:13" s="31" customFormat="1" ht="12.75" customHeight="1">
      <c r="B355" s="570" t="str">
        <f>TITLE!$C$33</f>
        <v>Полотна скляні: ЛАЙН</v>
      </c>
      <c r="C355" s="571"/>
      <c r="D355" s="571"/>
      <c r="E355" s="571"/>
      <c r="F355" s="170"/>
      <c r="G355" s="170"/>
      <c r="H355" s="170"/>
      <c r="I355" s="170"/>
      <c r="J355" s="343"/>
      <c r="K355" s="343"/>
      <c r="L355" s="355"/>
      <c r="M355" s="356"/>
    </row>
    <row r="356" spans="1:13">
      <c r="A356" s="31"/>
      <c r="B356" s="568" t="str">
        <f>Products!B1835</f>
        <v>модель</v>
      </c>
      <c r="C356" s="156" t="str">
        <f>Products!C1835</f>
        <v>покриття:</v>
      </c>
      <c r="D356" s="128" t="str">
        <f>Products!D1835</f>
        <v>VERTO-CELL</v>
      </c>
      <c r="E356" s="167" t="str">
        <f>Products!F1835</f>
        <v>RESIST</v>
      </c>
      <c r="F356" s="167" t="str">
        <f>Products!H1835</f>
        <v>Verto LINE-3D</v>
      </c>
      <c r="G356" s="167" t="str">
        <f>Products!J1835</f>
        <v>ЕКО Шпон</v>
      </c>
      <c r="H356" s="216"/>
      <c r="I356" s="216"/>
      <c r="J356" s="216"/>
      <c r="K356" s="345"/>
      <c r="L356" s="342" t="str">
        <f>CONCATENATE(Products!B1848," ",Products!C1848)</f>
        <v xml:space="preserve">полотно розміром 100 </v>
      </c>
      <c r="M356" s="358">
        <f>Products!E1848</f>
        <v>680.00000000000011</v>
      </c>
    </row>
    <row r="357" spans="1:13">
      <c r="A357" s="31"/>
      <c r="B357" s="568"/>
      <c r="C357" s="157" t="str">
        <f>Products!C1836</f>
        <v>заповнення:</v>
      </c>
      <c r="D357" s="139" t="str">
        <f>Products!D1836</f>
        <v>сотове заповнення</v>
      </c>
      <c r="E357" s="168" t="str">
        <f>Products!F1836</f>
        <v>сотове заповнення</v>
      </c>
      <c r="F357" s="168" t="str">
        <f>Products!H1836</f>
        <v>сотове заповнення</v>
      </c>
      <c r="G357" s="168" t="str">
        <f>Products!J1836</f>
        <v>сотове заповнення</v>
      </c>
      <c r="H357" s="216"/>
      <c r="I357" s="216"/>
      <c r="J357" s="216"/>
      <c r="K357" s="345"/>
      <c r="L357" s="342" t="str">
        <f>CONCATENATE(Products!B1849," ",Products!C1849)</f>
        <v xml:space="preserve">скло Триплекс матовий / чорний </v>
      </c>
      <c r="M357" s="349">
        <f>Products!E1849</f>
        <v>1060</v>
      </c>
    </row>
    <row r="358" spans="1:13" ht="12.75" customHeight="1">
      <c r="A358" s="31"/>
      <c r="B358" s="569"/>
      <c r="C358" s="158" t="str">
        <f>Products!C1837</f>
        <v>скління:</v>
      </c>
      <c r="D358" s="137" t="str">
        <f>Products!D1837</f>
        <v>Малюнок / Сатин (1)</v>
      </c>
      <c r="E358" s="174" t="str">
        <f>Products!F1837</f>
        <v>Малюнок / Сатин (1)</v>
      </c>
      <c r="F358" s="174" t="str">
        <f>Products!H1837</f>
        <v>Малюнок / Сатин (1)</v>
      </c>
      <c r="G358" s="174" t="str">
        <f>Products!J1837</f>
        <v>Малюнок / Сатин (1)</v>
      </c>
      <c r="H358" s="216"/>
      <c r="I358" s="216"/>
      <c r="J358" s="216"/>
      <c r="K358" s="345"/>
      <c r="L358" s="342" t="str">
        <f>CONCATENATE(Products!B1850," ",Products!C1850)</f>
        <v xml:space="preserve">скло Графіт / Бронза </v>
      </c>
      <c r="M358" s="349">
        <f>Products!E1850</f>
        <v>780</v>
      </c>
    </row>
    <row r="359" spans="1:13">
      <c r="A359" s="31"/>
      <c r="B359" s="13">
        <f>Products!B1838</f>
        <v>1</v>
      </c>
      <c r="C359" s="163"/>
      <c r="D359" s="191">
        <f>Products!E1838</f>
        <v>7240.0000000000009</v>
      </c>
      <c r="E359" s="183">
        <f>Products!G1838</f>
        <v>7820</v>
      </c>
      <c r="F359" s="183">
        <f>Products!I1838</f>
        <v>8160</v>
      </c>
      <c r="G359" s="183">
        <f>Products!K1838</f>
        <v>8570</v>
      </c>
      <c r="H359" s="224"/>
      <c r="I359" s="224"/>
      <c r="J359" s="224"/>
      <c r="K359" s="345"/>
      <c r="L359" s="342" t="str">
        <f>CONCATENATE(Products!B1851," ",Products!C1851)</f>
        <v xml:space="preserve">замок Soft </v>
      </c>
      <c r="M359" s="349">
        <f>Products!E1851</f>
        <v>550</v>
      </c>
    </row>
    <row r="360" spans="1:13">
      <c r="A360" s="31"/>
      <c r="B360" s="16">
        <f>Products!B1839</f>
        <v>2</v>
      </c>
      <c r="C360" s="164"/>
      <c r="D360" s="192">
        <f>Products!E1839</f>
        <v>8040</v>
      </c>
      <c r="E360" s="185">
        <f>Products!G1839</f>
        <v>8590</v>
      </c>
      <c r="F360" s="185">
        <f>Products!I1839</f>
        <v>8970</v>
      </c>
      <c r="G360" s="185">
        <f>Products!K1839</f>
        <v>9400</v>
      </c>
      <c r="H360" s="228"/>
      <c r="I360" s="228"/>
      <c r="J360" s="228"/>
      <c r="K360" s="345"/>
      <c r="L360" s="342" t="str">
        <f>CONCATENATE(Products!B1852," ",Products!C1852)</f>
        <v xml:space="preserve">замок Soft чорн. </v>
      </c>
      <c r="M360" s="349">
        <f>Products!E1852</f>
        <v>680.00000000000011</v>
      </c>
    </row>
    <row r="361" spans="1:13">
      <c r="A361" s="31"/>
      <c r="B361" s="16">
        <f>Products!B1840</f>
        <v>3</v>
      </c>
      <c r="C361" s="164"/>
      <c r="D361" s="192">
        <f>Products!E1840</f>
        <v>8040</v>
      </c>
      <c r="E361" s="185">
        <f>Products!G1840</f>
        <v>8590</v>
      </c>
      <c r="F361" s="185">
        <f>Products!I1840</f>
        <v>8970</v>
      </c>
      <c r="G361" s="185">
        <f>Products!K1840</f>
        <v>9400</v>
      </c>
      <c r="H361" s="224"/>
      <c r="I361" s="224"/>
      <c r="J361" s="224"/>
      <c r="K361" s="345"/>
      <c r="L361" s="342" t="str">
        <f>CONCATENATE(Products!B1853," ",Products!C1853)</f>
        <v xml:space="preserve">замок Magnet </v>
      </c>
      <c r="M361" s="349">
        <f>Products!E1853</f>
        <v>800.00000000000011</v>
      </c>
    </row>
    <row r="362" spans="1:13">
      <c r="A362" s="31"/>
      <c r="B362" s="16">
        <f>Products!B1841</f>
        <v>4</v>
      </c>
      <c r="C362" s="164"/>
      <c r="D362" s="192">
        <f>Products!E1841</f>
        <v>8040</v>
      </c>
      <c r="E362" s="185">
        <f>Products!G1841</f>
        <v>8590</v>
      </c>
      <c r="F362" s="185">
        <f>Products!I1841</f>
        <v>8970</v>
      </c>
      <c r="G362" s="185">
        <f>Products!K1841</f>
        <v>9400</v>
      </c>
      <c r="H362" s="224"/>
      <c r="I362" s="224"/>
      <c r="J362" s="224"/>
      <c r="K362" s="345"/>
      <c r="L362" s="342" t="str">
        <f>CONCATENATE(Products!B1854," ",Products!C1854)</f>
        <v xml:space="preserve">замок Magnet чорн. </v>
      </c>
      <c r="M362" s="349">
        <f>Products!E1854</f>
        <v>1000</v>
      </c>
    </row>
    <row r="363" spans="1:13">
      <c r="A363" s="31"/>
      <c r="B363" s="16">
        <f>Products!B1842</f>
        <v>5</v>
      </c>
      <c r="C363" s="164"/>
      <c r="D363" s="192">
        <f>Products!E1842</f>
        <v>8040</v>
      </c>
      <c r="E363" s="185">
        <f>Products!G1842</f>
        <v>8590</v>
      </c>
      <c r="F363" s="185">
        <f>Products!I1842</f>
        <v>8970</v>
      </c>
      <c r="G363" s="185">
        <f>Products!K1842</f>
        <v>9400</v>
      </c>
      <c r="H363" s="224"/>
      <c r="I363" s="224"/>
      <c r="J363" s="224"/>
      <c r="K363" s="345"/>
      <c r="L363" s="342" t="str">
        <f>CONCATENATE(Products!B1855," ",Products!C1855)</f>
        <v xml:space="preserve">циліндр несиметричний </v>
      </c>
      <c r="M363" s="349">
        <f>Products!E1855</f>
        <v>380</v>
      </c>
    </row>
    <row r="364" spans="1:13">
      <c r="A364" s="31"/>
      <c r="B364" s="16">
        <f>Products!B1843</f>
        <v>6</v>
      </c>
      <c r="C364" s="164"/>
      <c r="D364" s="192">
        <f>Products!E1843</f>
        <v>8040</v>
      </c>
      <c r="E364" s="185">
        <f>Products!G1843</f>
        <v>8590</v>
      </c>
      <c r="F364" s="185">
        <f>Products!I1843</f>
        <v>8970</v>
      </c>
      <c r="G364" s="185">
        <f>Products!K1843</f>
        <v>9400</v>
      </c>
      <c r="H364" s="224"/>
      <c r="I364" s="224"/>
      <c r="J364" s="224"/>
      <c r="K364" s="345"/>
      <c r="L364" s="342" t="str">
        <f>CONCATENATE(Products!B1856," ",Products!C1856)</f>
        <v xml:space="preserve">завіса Prestige (1 шт) </v>
      </c>
      <c r="M364" s="349">
        <f>Products!E1856</f>
        <v>260</v>
      </c>
    </row>
    <row r="365" spans="1:13">
      <c r="A365" s="31"/>
      <c r="B365" s="23">
        <f>Products!B1844</f>
        <v>7</v>
      </c>
      <c r="C365" s="165"/>
      <c r="D365" s="193">
        <f>Products!E1844</f>
        <v>8040</v>
      </c>
      <c r="E365" s="187">
        <f>Products!G1844</f>
        <v>8590</v>
      </c>
      <c r="F365" s="187">
        <f>Products!I1844</f>
        <v>8970</v>
      </c>
      <c r="G365" s="187">
        <f>Products!K1844</f>
        <v>9400</v>
      </c>
      <c r="H365" s="224"/>
      <c r="I365" s="224"/>
      <c r="J365" s="224"/>
      <c r="K365" s="345"/>
      <c r="L365" s="342" t="str">
        <f>CONCATENATE(Products!B1857," ",Products!C1857)</f>
        <v xml:space="preserve">накладка на завіси (1 к-т) </v>
      </c>
      <c r="M365" s="349">
        <f>Products!E1857</f>
        <v>80</v>
      </c>
    </row>
    <row r="366" spans="1:13" ht="21">
      <c r="A366" s="31"/>
      <c r="B366" s="175"/>
      <c r="C366" s="176"/>
      <c r="D366" s="199"/>
      <c r="E366" s="199"/>
      <c r="F366" s="199"/>
      <c r="G366" s="31"/>
      <c r="H366" s="224"/>
      <c r="I366" s="224"/>
      <c r="J366" s="224"/>
      <c r="K366" s="345"/>
      <c r="L366" s="342" t="str">
        <f>CONCATENATE(Products!B1858," ",Products!C1858)</f>
        <v xml:space="preserve">дверна ручка </v>
      </c>
      <c r="M366" s="349" t="str">
        <f>Products!E1858</f>
        <v>див. Таблицю Ручки</v>
      </c>
    </row>
    <row r="367" spans="1:13">
      <c r="A367" s="31"/>
      <c r="B367" s="175"/>
      <c r="C367" s="176"/>
      <c r="D367" s="199"/>
      <c r="E367" s="199"/>
      <c r="F367" s="199"/>
      <c r="G367" s="31"/>
      <c r="H367" s="224"/>
      <c r="I367" s="224"/>
      <c r="J367" s="224"/>
      <c r="K367" s="345"/>
      <c r="L367" s="342" t="str">
        <f>CONCATENATE(Products!B1859," ",Products!C1859)</f>
        <v xml:space="preserve">ДСП трубчасте </v>
      </c>
      <c r="M367" s="349">
        <f>Products!E1859</f>
        <v>930</v>
      </c>
    </row>
    <row r="368" spans="1:13" s="31" customFormat="1" ht="12.75" customHeight="1">
      <c r="B368" s="570" t="str">
        <f>TITLE!$C$34</f>
        <v>Полотна скляні: ЕЛЕГАНТ</v>
      </c>
      <c r="C368" s="571"/>
      <c r="D368" s="571"/>
      <c r="E368" s="571"/>
      <c r="F368" s="170"/>
      <c r="G368" s="170"/>
      <c r="H368" s="170"/>
      <c r="I368" s="170"/>
      <c r="J368" s="343"/>
      <c r="K368" s="343"/>
      <c r="L368" s="355"/>
      <c r="M368" s="356"/>
    </row>
    <row r="369" spans="1:13" ht="12.75" customHeight="1">
      <c r="A369" s="31"/>
      <c r="B369" s="568" t="str">
        <f>Products!B1912</f>
        <v>модель</v>
      </c>
      <c r="C369" s="156" t="str">
        <f>Products!C1912</f>
        <v>покриття:</v>
      </c>
      <c r="D369" s="130" t="str">
        <f>Products!D1912</f>
        <v>VERTO-CELL</v>
      </c>
      <c r="E369" s="130" t="str">
        <f>Products!F1912</f>
        <v>RESIST</v>
      </c>
      <c r="F369" s="130" t="str">
        <f>Products!H1912</f>
        <v>Verto LINE-3D</v>
      </c>
      <c r="G369" s="130" t="str">
        <f>Products!J1912</f>
        <v>ЕКО Шпон</v>
      </c>
      <c r="H369" s="216"/>
      <c r="I369" s="216"/>
      <c r="J369" s="216"/>
      <c r="K369" s="357"/>
      <c r="L369" s="341" t="str">
        <f>CONCATENATE(Products!B1925," ",Products!C1925)</f>
        <v xml:space="preserve">скло Триплекс матовий / чорний </v>
      </c>
      <c r="M369" s="358">
        <f>Products!E1925</f>
        <v>1350</v>
      </c>
    </row>
    <row r="370" spans="1:13" ht="24.75" customHeight="1">
      <c r="A370" s="31"/>
      <c r="B370" s="568"/>
      <c r="C370" s="157" t="str">
        <f>Products!C1913</f>
        <v>заповнення:</v>
      </c>
      <c r="D370" s="140" t="str">
        <f>Products!D1913</f>
        <v>клеєний сосновий брус</v>
      </c>
      <c r="E370" s="140" t="str">
        <f>Products!F1913</f>
        <v>клеєний сосновий брус</v>
      </c>
      <c r="F370" s="140" t="str">
        <f>Products!H1913</f>
        <v>клеєний сосновий брус</v>
      </c>
      <c r="G370" s="140" t="str">
        <f>Products!J1913</f>
        <v>клеєний сосновий брус</v>
      </c>
      <c r="H370" s="216"/>
      <c r="I370" s="216"/>
      <c r="J370" s="216"/>
      <c r="K370" s="348"/>
      <c r="L370" s="342" t="str">
        <f>CONCATENATE(Products!B1926," ",Products!C1926)</f>
        <v xml:space="preserve">скло Графіт / Бронза </v>
      </c>
      <c r="M370" s="349">
        <f>Products!E1926</f>
        <v>920.00000000000011</v>
      </c>
    </row>
    <row r="371" spans="1:13" ht="12.75" customHeight="1">
      <c r="A371" s="31"/>
      <c r="B371" s="569"/>
      <c r="C371" s="158" t="str">
        <f>Products!C1914</f>
        <v>скління:</v>
      </c>
      <c r="D371" s="126" t="str">
        <f>Products!D1914</f>
        <v>Малюнок / Сатин (1)</v>
      </c>
      <c r="E371" s="126" t="str">
        <f>Products!F1914</f>
        <v>Малюнок / Сатин (1)</v>
      </c>
      <c r="F371" s="126" t="str">
        <f>Products!H1914</f>
        <v>Малюнок / Сатин (1)</v>
      </c>
      <c r="G371" s="126" t="str">
        <f>Products!J1914</f>
        <v>Малюнок / Сатин (1)</v>
      </c>
      <c r="H371" s="216"/>
      <c r="I371" s="216"/>
      <c r="J371" s="216"/>
      <c r="K371" s="348"/>
      <c r="L371" s="342" t="str">
        <f>CONCATENATE(Products!B1927," ",Products!C1927)</f>
        <v xml:space="preserve">замок Soft </v>
      </c>
      <c r="M371" s="349">
        <f>Products!E1927</f>
        <v>560</v>
      </c>
    </row>
    <row r="372" spans="1:13">
      <c r="A372" s="31"/>
      <c r="B372" s="13">
        <f>Products!B1915</f>
        <v>1</v>
      </c>
      <c r="C372" s="163"/>
      <c r="D372" s="184">
        <f>Products!E1915</f>
        <v>7800</v>
      </c>
      <c r="E372" s="184">
        <f>Products!G1915</f>
        <v>8720</v>
      </c>
      <c r="F372" s="184">
        <f>Products!I1915</f>
        <v>9150</v>
      </c>
      <c r="G372" s="184">
        <f>Products!K1915</f>
        <v>9590</v>
      </c>
      <c r="H372" s="224"/>
      <c r="I372" s="224"/>
      <c r="J372" s="224"/>
      <c r="K372" s="348"/>
      <c r="L372" s="342" t="str">
        <f>CONCATENATE(Products!B1928," ",Products!C1928)</f>
        <v xml:space="preserve">замок Soft чорн. </v>
      </c>
      <c r="M372" s="349">
        <f>Products!E1928</f>
        <v>680.00000000000011</v>
      </c>
    </row>
    <row r="373" spans="1:13">
      <c r="A373" s="31"/>
      <c r="B373" s="16">
        <f>Products!B1916</f>
        <v>2</v>
      </c>
      <c r="C373" s="164"/>
      <c r="D373" s="186">
        <f>Products!E1916</f>
        <v>8560</v>
      </c>
      <c r="E373" s="186">
        <f>Products!G1916</f>
        <v>9590</v>
      </c>
      <c r="F373" s="186">
        <f>Products!I1916</f>
        <v>10000</v>
      </c>
      <c r="G373" s="186">
        <f>Products!K1916</f>
        <v>10440</v>
      </c>
      <c r="H373" s="228"/>
      <c r="I373" s="228"/>
      <c r="J373" s="228"/>
      <c r="K373" s="348"/>
      <c r="L373" s="342" t="str">
        <f>CONCATENATE(Products!B1929," ",Products!C1929)</f>
        <v xml:space="preserve">замок Magnet </v>
      </c>
      <c r="M373" s="349">
        <f>Products!E1929</f>
        <v>800.00000000000011</v>
      </c>
    </row>
    <row r="374" spans="1:13">
      <c r="A374" s="31"/>
      <c r="B374" s="16">
        <f>Products!B1917</f>
        <v>3</v>
      </c>
      <c r="C374" s="164"/>
      <c r="D374" s="186">
        <f>Products!E1917</f>
        <v>8560</v>
      </c>
      <c r="E374" s="186">
        <f>Products!G1917</f>
        <v>9590</v>
      </c>
      <c r="F374" s="186">
        <f>Products!I1917</f>
        <v>10000</v>
      </c>
      <c r="G374" s="186">
        <f>Products!K1917</f>
        <v>10440</v>
      </c>
      <c r="H374" s="224"/>
      <c r="I374" s="224"/>
      <c r="J374" s="224"/>
      <c r="K374" s="348"/>
      <c r="L374" s="342" t="str">
        <f>CONCATENATE(Products!B1930," ",Products!C1930)</f>
        <v xml:space="preserve">замок Magnet чорн. </v>
      </c>
      <c r="M374" s="349">
        <f>Products!E1930</f>
        <v>1000</v>
      </c>
    </row>
    <row r="375" spans="1:13">
      <c r="A375" s="31"/>
      <c r="B375" s="16">
        <f>Products!B1918</f>
        <v>4</v>
      </c>
      <c r="C375" s="164"/>
      <c r="D375" s="186">
        <f>Products!E1918</f>
        <v>8560</v>
      </c>
      <c r="E375" s="186">
        <f>Products!G1918</f>
        <v>9590</v>
      </c>
      <c r="F375" s="186">
        <f>Products!I1918</f>
        <v>10000</v>
      </c>
      <c r="G375" s="186">
        <f>Products!K1918</f>
        <v>10440</v>
      </c>
      <c r="H375" s="224"/>
      <c r="I375" s="224"/>
      <c r="J375" s="224"/>
      <c r="K375" s="348"/>
      <c r="L375" s="342" t="str">
        <f>CONCATENATE(Products!B1931," ",Products!C1931)</f>
        <v xml:space="preserve">циліндр несиметричний </v>
      </c>
      <c r="M375" s="349">
        <f>Products!E1931</f>
        <v>390</v>
      </c>
    </row>
    <row r="376" spans="1:13">
      <c r="A376" s="31"/>
      <c r="B376" s="16">
        <f>Products!B1919</f>
        <v>5</v>
      </c>
      <c r="C376" s="164"/>
      <c r="D376" s="186">
        <f>Products!E1919</f>
        <v>8560</v>
      </c>
      <c r="E376" s="186">
        <f>Products!G1919</f>
        <v>9590</v>
      </c>
      <c r="F376" s="186">
        <f>Products!I1919</f>
        <v>10000</v>
      </c>
      <c r="G376" s="186">
        <f>Products!K1919</f>
        <v>10440</v>
      </c>
      <c r="H376" s="224"/>
      <c r="I376" s="224"/>
      <c r="J376" s="224"/>
      <c r="K376" s="348"/>
      <c r="L376" s="342" t="str">
        <f>CONCATENATE(Products!B1932," ",Products!C1932)</f>
        <v xml:space="preserve">завіса Prestige (1 шт) </v>
      </c>
      <c r="M376" s="349">
        <f>Products!E1932</f>
        <v>260</v>
      </c>
    </row>
    <row r="377" spans="1:13">
      <c r="A377" s="31"/>
      <c r="B377" s="16">
        <f>Products!B1920</f>
        <v>6</v>
      </c>
      <c r="C377" s="164"/>
      <c r="D377" s="186">
        <f>Products!E1920</f>
        <v>8560</v>
      </c>
      <c r="E377" s="186">
        <f>Products!G1920</f>
        <v>9590</v>
      </c>
      <c r="F377" s="186">
        <f>Products!I1920</f>
        <v>10000</v>
      </c>
      <c r="G377" s="186">
        <f>Products!K1920</f>
        <v>10440</v>
      </c>
      <c r="H377" s="224"/>
      <c r="I377" s="224"/>
      <c r="J377" s="224"/>
      <c r="K377" s="348"/>
      <c r="L377" s="342" t="str">
        <f>CONCATENATE(Products!B1933," ",Products!C1933)</f>
        <v xml:space="preserve">накладка на завіси (1 к-т) </v>
      </c>
      <c r="M377" s="349">
        <f>Products!E1933</f>
        <v>80</v>
      </c>
    </row>
    <row r="378" spans="1:13" ht="21">
      <c r="A378" s="31"/>
      <c r="B378" s="23">
        <f>Products!B1921</f>
        <v>7</v>
      </c>
      <c r="C378" s="165"/>
      <c r="D378" s="188">
        <f>Products!E1921</f>
        <v>8560</v>
      </c>
      <c r="E378" s="188">
        <f>Products!G1921</f>
        <v>9590</v>
      </c>
      <c r="F378" s="188">
        <f>Products!I1921</f>
        <v>10000</v>
      </c>
      <c r="G378" s="188">
        <f>Products!K1921</f>
        <v>10440</v>
      </c>
      <c r="H378" s="224"/>
      <c r="I378" s="224"/>
      <c r="J378" s="224"/>
      <c r="K378" s="348"/>
      <c r="L378" s="342" t="str">
        <f>CONCATENATE(Products!B1934," ",Products!C1934)</f>
        <v xml:space="preserve">дверна ручка </v>
      </c>
      <c r="M378" s="349" t="str">
        <f>Products!E1934</f>
        <v>див. Таблицю Ручки</v>
      </c>
    </row>
    <row r="379" spans="1:13">
      <c r="C379" s="34"/>
      <c r="D379" s="34"/>
      <c r="E379" s="10"/>
      <c r="F379" s="31"/>
      <c r="G379" s="31"/>
      <c r="J379" s="353"/>
    </row>
    <row r="380" spans="1:13" s="31" customFormat="1" ht="12.75" customHeight="1">
      <c r="B380" s="570" t="str">
        <f>TITLE!$C$35</f>
        <v>Полотна скляні: ГЛАСФОРД</v>
      </c>
      <c r="C380" s="571"/>
      <c r="D380" s="571"/>
      <c r="E380" s="571"/>
      <c r="F380" s="170"/>
      <c r="G380" s="170"/>
      <c r="H380" s="170"/>
      <c r="I380" s="170"/>
      <c r="J380" s="343"/>
      <c r="K380" s="343"/>
      <c r="L380" s="355"/>
      <c r="M380" s="356"/>
    </row>
    <row r="381" spans="1:13">
      <c r="A381" s="31"/>
      <c r="B381" s="568" t="str">
        <f>Products!B1987</f>
        <v>модель</v>
      </c>
      <c r="C381" s="156" t="str">
        <f>Products!C1987</f>
        <v>покриття:</v>
      </c>
      <c r="D381" s="130" t="str">
        <f>Products!D1987</f>
        <v>СКЛО</v>
      </c>
      <c r="E381" s="10"/>
      <c r="F381" s="31"/>
      <c r="G381" s="31"/>
      <c r="H381" s="216"/>
      <c r="I381" s="216"/>
      <c r="J381" s="216"/>
      <c r="K381" s="345"/>
      <c r="L381" s="341" t="str">
        <f>CONCATENATE(Products!B1998," ",Products!C1998)</f>
        <v xml:space="preserve">полотно розміром 100 </v>
      </c>
      <c r="M381" s="358">
        <f>Products!E1998</f>
        <v>3300</v>
      </c>
    </row>
    <row r="382" spans="1:13">
      <c r="A382" s="31"/>
      <c r="B382" s="568"/>
      <c r="C382" s="157" t="str">
        <f>Products!C1988</f>
        <v>заповнення:</v>
      </c>
      <c r="D382" s="140" t="str">
        <f>Products!D1988</f>
        <v>гартоване скло</v>
      </c>
      <c r="E382" s="10"/>
      <c r="F382" s="31"/>
      <c r="G382" s="31"/>
      <c r="H382" s="216"/>
      <c r="I382" s="216"/>
      <c r="J382" s="216"/>
      <c r="K382" s="348"/>
      <c r="L382" s="342" t="str">
        <f>CONCATENATE(Products!B1999," ",Products!C1999)</f>
        <v xml:space="preserve">скло Триплекс матовий / чорний </v>
      </c>
      <c r="M382" s="349">
        <f>Products!E1999</f>
        <v>2070</v>
      </c>
    </row>
    <row r="383" spans="1:13" ht="12.75" customHeight="1">
      <c r="A383" s="31"/>
      <c r="B383" s="569"/>
      <c r="C383" s="158" t="str">
        <f>Products!C1989</f>
        <v>скління:</v>
      </c>
      <c r="D383" s="126" t="str">
        <f>Products!D1989</f>
        <v>Малюнок / Сатин (1)</v>
      </c>
      <c r="E383" s="10"/>
      <c r="F383" s="31"/>
      <c r="G383" s="31"/>
      <c r="H383" s="216"/>
      <c r="I383" s="216"/>
      <c r="J383" s="216"/>
      <c r="K383" s="348"/>
      <c r="L383" s="342" t="str">
        <f>CONCATENATE(Products!B2000," ",Products!C2000)</f>
        <v xml:space="preserve">скло Графіт / Бронза </v>
      </c>
      <c r="M383" s="349">
        <f>Products!E2000</f>
        <v>1650</v>
      </c>
    </row>
    <row r="384" spans="1:13">
      <c r="A384" s="31"/>
      <c r="B384" s="13">
        <f>Products!B1990</f>
        <v>1</v>
      </c>
      <c r="C384" s="163"/>
      <c r="D384" s="184">
        <f>Products!E1990</f>
        <v>16500</v>
      </c>
      <c r="E384" s="10"/>
      <c r="F384" s="230"/>
      <c r="G384" s="227"/>
      <c r="H384" s="224"/>
      <c r="I384" s="224"/>
      <c r="J384" s="224"/>
      <c r="K384" s="348"/>
      <c r="L384" s="342" t="str">
        <f>CONCATENATE(Products!B2001," ",Products!C2001)</f>
        <v xml:space="preserve">скло Дзеркало </v>
      </c>
      <c r="M384" s="349">
        <f>Products!E2001</f>
        <v>5400</v>
      </c>
    </row>
    <row r="385" spans="1:13">
      <c r="A385" s="31"/>
      <c r="B385" s="16">
        <f>Products!B1991</f>
        <v>2</v>
      </c>
      <c r="C385" s="164"/>
      <c r="D385" s="186">
        <f>Products!E1991</f>
        <v>17250</v>
      </c>
      <c r="E385" s="10"/>
      <c r="F385" s="230"/>
      <c r="G385" s="227"/>
      <c r="H385" s="228"/>
      <c r="I385" s="228"/>
      <c r="J385" s="228"/>
      <c r="K385" s="348"/>
      <c r="L385" s="342" t="str">
        <f>CONCATENATE(Products!B2002," ",Products!C2002)</f>
        <v xml:space="preserve">замок Glass під ключ / циліндр </v>
      </c>
      <c r="M385" s="349">
        <f>Products!E2002</f>
        <v>1240.0000000000002</v>
      </c>
    </row>
    <row r="386" spans="1:13">
      <c r="A386" s="31"/>
      <c r="B386" s="16">
        <f>Products!B1992</f>
        <v>3</v>
      </c>
      <c r="C386" s="164"/>
      <c r="D386" s="186">
        <f>Products!E1992</f>
        <v>17250</v>
      </c>
      <c r="E386" s="10"/>
      <c r="F386" s="230"/>
      <c r="G386" s="31"/>
      <c r="H386" s="224"/>
      <c r="I386" s="224"/>
      <c r="J386" s="224"/>
      <c r="K386" s="348"/>
      <c r="L386" s="342" t="str">
        <f>CONCATENATE(Products!B2003," ",Products!C2003)</f>
        <v xml:space="preserve">замок Glass сантехнічний </v>
      </c>
      <c r="M386" s="354">
        <f>Products!E2003</f>
        <v>2940</v>
      </c>
    </row>
    <row r="387" spans="1:13">
      <c r="A387" s="31"/>
      <c r="B387" s="16">
        <f>Products!B1993</f>
        <v>4</v>
      </c>
      <c r="C387" s="164"/>
      <c r="D387" s="186">
        <f>Products!E1993</f>
        <v>17250</v>
      </c>
      <c r="E387" s="10"/>
      <c r="F387" s="230"/>
      <c r="G387" s="31"/>
      <c r="H387" s="224"/>
      <c r="I387" s="224"/>
      <c r="J387" s="224"/>
      <c r="K387" s="216"/>
      <c r="L387" s="363"/>
      <c r="M387" s="364"/>
    </row>
    <row r="388" spans="1:13">
      <c r="A388" s="31"/>
      <c r="B388" s="23">
        <f>Products!B1994</f>
        <v>5</v>
      </c>
      <c r="C388" s="165"/>
      <c r="D388" s="188">
        <f>Products!E1994</f>
        <v>17250</v>
      </c>
      <c r="E388" s="10"/>
      <c r="F388" s="230"/>
      <c r="G388" s="31"/>
      <c r="H388" s="224"/>
      <c r="I388" s="224"/>
      <c r="J388" s="224"/>
      <c r="K388" s="216"/>
      <c r="L388" s="363"/>
      <c r="M388" s="364"/>
    </row>
    <row r="389" spans="1:13">
      <c r="C389" s="34"/>
      <c r="D389" s="34"/>
      <c r="E389" s="10"/>
      <c r="F389" s="31"/>
      <c r="G389" s="31"/>
      <c r="J389" s="353"/>
      <c r="K389" s="353"/>
      <c r="L389" s="353"/>
      <c r="M389" s="353"/>
    </row>
    <row r="390" spans="1:13">
      <c r="B390" s="572" t="str">
        <f>Products!B2053</f>
        <v>Полотна: ДОБОР LADA</v>
      </c>
      <c r="C390" s="571"/>
      <c r="D390" s="571"/>
      <c r="E390" s="571"/>
      <c r="F390" s="170"/>
      <c r="G390" s="170"/>
      <c r="H390" s="170"/>
      <c r="I390" s="170"/>
      <c r="J390" s="343"/>
      <c r="K390" s="343"/>
      <c r="L390" s="355"/>
      <c r="M390" s="356"/>
    </row>
    <row r="391" spans="1:13">
      <c r="B391" s="567" t="str">
        <f>Products!B2055</f>
        <v>модель</v>
      </c>
      <c r="C391" s="156" t="str">
        <f>Products!C2055</f>
        <v>покриття:</v>
      </c>
      <c r="D391" s="128" t="str">
        <f>Products!D2055</f>
        <v>Verto-CELL</v>
      </c>
      <c r="E391" s="167" t="str">
        <f>Products!F2055</f>
        <v>UNI-MAT</v>
      </c>
      <c r="F391" s="167" t="str">
        <f>Products!H2055</f>
        <v>RESIST</v>
      </c>
      <c r="G391" s="130" t="str">
        <f>Products!J2055</f>
        <v>Verto LINE-3D</v>
      </c>
      <c r="H391" s="130" t="str">
        <f>Products!L2055</f>
        <v>ЕКО Шпон</v>
      </c>
      <c r="I391" s="216"/>
      <c r="J391" s="216"/>
      <c r="K391" s="357"/>
      <c r="L391" s="341" t="str">
        <f>Products!B2066</f>
        <v>скло Графіт / Бронза</v>
      </c>
      <c r="M391" s="358">
        <f>Products!E2066</f>
        <v>510</v>
      </c>
    </row>
    <row r="392" spans="1:13" ht="24" customHeight="1">
      <c r="B392" s="568"/>
      <c r="C392" s="157" t="str">
        <f>Products!C2056</f>
        <v>заповнення:</v>
      </c>
      <c r="D392" s="138" t="str">
        <f>Products!D2056</f>
        <v>клеєний сосновий брус</v>
      </c>
      <c r="E392" s="168" t="str">
        <f>Products!F2056</f>
        <v>клеєний сосновий брус</v>
      </c>
      <c r="F392" s="168" t="str">
        <f>Products!H2056</f>
        <v>клеєний сосновий брус</v>
      </c>
      <c r="G392" s="140" t="str">
        <f>Products!J2056</f>
        <v>клеєний сосновий брус</v>
      </c>
      <c r="H392" s="140" t="str">
        <f>Products!L2056</f>
        <v>клеєний сосновий брус</v>
      </c>
      <c r="I392" s="216"/>
      <c r="J392" s="216"/>
      <c r="K392" s="348"/>
      <c r="L392" s="342" t="str">
        <f>Products!B2067</f>
        <v>скло Lacobel чорне</v>
      </c>
      <c r="M392" s="349">
        <f>Products!E2067</f>
        <v>550</v>
      </c>
    </row>
    <row r="393" spans="1:13">
      <c r="B393" s="569"/>
      <c r="C393" s="158" t="str">
        <f>Products!C2057</f>
        <v>скління:</v>
      </c>
      <c r="D393" s="125" t="str">
        <f>Products!D2057</f>
        <v>Сатин</v>
      </c>
      <c r="E393" s="161" t="str">
        <f>Products!F2057</f>
        <v>Сатин</v>
      </c>
      <c r="F393" s="161" t="str">
        <f>Products!H2057</f>
        <v>Сатин</v>
      </c>
      <c r="G393" s="126" t="str">
        <f>Products!J2057</f>
        <v>Сатин</v>
      </c>
      <c r="H393" s="126" t="str">
        <f>Products!L2057</f>
        <v>Сатин</v>
      </c>
      <c r="I393" s="216"/>
      <c r="J393" s="216"/>
      <c r="K393" s="348"/>
      <c r="L393" s="342" t="str">
        <f>Products!B2068</f>
        <v>завіса Prestige (1 шт)</v>
      </c>
      <c r="M393" s="349">
        <f>Products!E2068</f>
        <v>260</v>
      </c>
    </row>
    <row r="394" spans="1:13">
      <c r="B394" s="13" t="str">
        <f>Products!B2058</f>
        <v>L1.0 - 1.1</v>
      </c>
      <c r="C394" s="163"/>
      <c r="D394" s="191">
        <f>Products!E2058</f>
        <v>5920.0000000000009</v>
      </c>
      <c r="E394" s="183">
        <f>Products!G2058</f>
        <v>6790.0000000000009</v>
      </c>
      <c r="F394" s="183">
        <f>Products!I2058</f>
        <v>7010</v>
      </c>
      <c r="G394" s="183">
        <f>Products!K2058</f>
        <v>7440</v>
      </c>
      <c r="H394" s="183">
        <f>Products!M2058</f>
        <v>7720</v>
      </c>
      <c r="J394" s="353"/>
      <c r="K394" s="348"/>
      <c r="L394" s="342" t="str">
        <f>Products!B2069</f>
        <v>накладка на завіси (1 к-т)</v>
      </c>
      <c r="M394" s="349">
        <f>Products!E2069</f>
        <v>80</v>
      </c>
    </row>
    <row r="395" spans="1:13">
      <c r="B395" s="114" t="str">
        <f>Products!B2059</f>
        <v>L3.0 - 3.2</v>
      </c>
      <c r="C395" s="173"/>
      <c r="D395" s="291">
        <f>Products!E2059</f>
        <v>6040.0000000000009</v>
      </c>
      <c r="E395" s="292">
        <f>Products!G2059</f>
        <v>6920</v>
      </c>
      <c r="F395" s="292">
        <f>Products!I2059</f>
        <v>7160</v>
      </c>
      <c r="G395" s="292">
        <f>Products!K2059</f>
        <v>7590</v>
      </c>
      <c r="H395" s="292">
        <f>Products!M2059</f>
        <v>8350</v>
      </c>
      <c r="J395" s="353"/>
    </row>
    <row r="396" spans="1:13">
      <c r="B396" s="114" t="str">
        <f>Products!B2060</f>
        <v>L4.0 - 4.1</v>
      </c>
      <c r="C396" s="173"/>
      <c r="D396" s="291">
        <f>Products!E2060</f>
        <v>5920.0000000000009</v>
      </c>
      <c r="E396" s="292">
        <f>Products!G2060</f>
        <v>6780</v>
      </c>
      <c r="F396" s="292">
        <f>Products!I2060</f>
        <v>7010</v>
      </c>
      <c r="G396" s="292">
        <f>Products!K2060</f>
        <v>7440</v>
      </c>
      <c r="H396" s="292">
        <f>Products!M2060</f>
        <v>7720</v>
      </c>
      <c r="J396" s="353"/>
      <c r="K396" s="216"/>
      <c r="L396" s="363"/>
      <c r="M396" s="364"/>
    </row>
    <row r="397" spans="1:13">
      <c r="B397" s="114" t="str">
        <f>Products!B2061</f>
        <v>L5.0 - 5.1</v>
      </c>
      <c r="C397" s="173"/>
      <c r="D397" s="291">
        <f>Products!E2061</f>
        <v>6130.0000000000009</v>
      </c>
      <c r="E397" s="292">
        <f>Products!G2061</f>
        <v>7050</v>
      </c>
      <c r="F397" s="292">
        <f>Products!I2061</f>
        <v>7240.0000000000009</v>
      </c>
      <c r="G397" s="292">
        <f>Products!K2061</f>
        <v>7660</v>
      </c>
      <c r="H397" s="292">
        <f>Products!M2061</f>
        <v>7910</v>
      </c>
      <c r="J397" s="353"/>
      <c r="K397" s="216"/>
      <c r="L397" s="363"/>
      <c r="M397" s="364"/>
    </row>
    <row r="398" spans="1:13">
      <c r="B398" s="23" t="str">
        <f>Products!B2062</f>
        <v>L6.0 - 6.1</v>
      </c>
      <c r="C398" s="165"/>
      <c r="D398" s="187">
        <f>Products!E2062</f>
        <v>6350</v>
      </c>
      <c r="E398" s="187">
        <f>Products!G2062</f>
        <v>7280</v>
      </c>
      <c r="F398" s="187">
        <f>Products!I2062</f>
        <v>7460</v>
      </c>
      <c r="G398" s="187">
        <f>Products!K2062</f>
        <v>7910</v>
      </c>
      <c r="H398" s="187">
        <f>Products!M2062</f>
        <v>8150</v>
      </c>
      <c r="J398" s="353"/>
      <c r="K398" s="216"/>
      <c r="L398" s="363"/>
      <c r="M398" s="364"/>
    </row>
    <row r="399" spans="1:13">
      <c r="C399" s="34"/>
      <c r="D399" s="34"/>
      <c r="E399" s="10"/>
      <c r="F399" s="31"/>
      <c r="G399" s="31"/>
      <c r="J399" s="353"/>
      <c r="K399" s="353"/>
      <c r="L399" s="353"/>
      <c r="M399" s="353"/>
    </row>
    <row r="400" spans="1:13" s="31" customFormat="1">
      <c r="B400" s="583" t="str">
        <f>Products!B2120</f>
        <v>Полотна: ДОБОРИ</v>
      </c>
      <c r="C400" s="584"/>
      <c r="D400" s="584"/>
      <c r="E400" s="584"/>
      <c r="F400" s="170"/>
      <c r="G400" s="170"/>
      <c r="H400" s="170"/>
      <c r="I400" s="170"/>
      <c r="J400" s="343"/>
      <c r="K400" s="343"/>
      <c r="L400" s="581"/>
      <c r="M400" s="582"/>
    </row>
    <row r="401" spans="1:13">
      <c r="A401" s="31"/>
      <c r="B401" s="568" t="str">
        <f>Products!B2122</f>
        <v>модель</v>
      </c>
      <c r="C401" s="166" t="str">
        <f>Products!C2122</f>
        <v>покриття:</v>
      </c>
      <c r="D401" s="162" t="str">
        <f>Products!D2122</f>
        <v>SIMPL / V-CELL</v>
      </c>
      <c r="E401" s="167" t="str">
        <f>Products!F2122</f>
        <v>UNI-MAT</v>
      </c>
      <c r="F401" s="167" t="str">
        <f>Products!H2122</f>
        <v>RESIST</v>
      </c>
      <c r="G401" s="46"/>
      <c r="H401" s="216"/>
      <c r="I401" s="216"/>
      <c r="J401" s="216"/>
      <c r="K401" s="345"/>
      <c r="L401" s="342" t="str">
        <f>CONCATENATE(Products!B2130," ",Products!C2130)</f>
        <v xml:space="preserve">третя завіса </v>
      </c>
      <c r="M401" s="358">
        <f>Products!E2130</f>
        <v>80</v>
      </c>
    </row>
    <row r="402" spans="1:13">
      <c r="A402" s="31"/>
      <c r="B402" s="568"/>
      <c r="C402" s="157" t="str">
        <f>Products!C2123</f>
        <v>заповнення:</v>
      </c>
      <c r="D402" s="139" t="str">
        <f>Products!D2123</f>
        <v>сотове заповнення</v>
      </c>
      <c r="E402" s="168" t="str">
        <f>Products!F2123</f>
        <v>сотове заповнення</v>
      </c>
      <c r="F402" s="168" t="str">
        <f>Products!H2123</f>
        <v>сотове заповнення</v>
      </c>
      <c r="G402" s="146"/>
      <c r="H402" s="216"/>
      <c r="I402" s="216"/>
      <c r="J402" s="216"/>
      <c r="K402" s="345"/>
      <c r="L402" s="342" t="str">
        <f>CONCATENATE(Products!B2131," ",Products!C2131)</f>
        <v>скло Триплекс матовий / чорний мод.Б</v>
      </c>
      <c r="M402" s="349">
        <f>Products!E2131</f>
        <v>1130</v>
      </c>
    </row>
    <row r="403" spans="1:13" ht="12.75" customHeight="1">
      <c r="A403" s="31"/>
      <c r="B403" s="569"/>
      <c r="C403" s="158" t="str">
        <f>Products!C2124</f>
        <v>скління:</v>
      </c>
      <c r="D403" s="137" t="str">
        <f>Products!D2124</f>
        <v>Сатин (Б)</v>
      </c>
      <c r="E403" s="174" t="str">
        <f>Products!F2124</f>
        <v>Сатин (Б)</v>
      </c>
      <c r="F403" s="174" t="str">
        <f>Products!H2124</f>
        <v>Сатин (Б)</v>
      </c>
      <c r="G403" s="160"/>
      <c r="H403" s="216"/>
      <c r="I403" s="216"/>
      <c r="J403" s="216"/>
      <c r="K403" s="345"/>
      <c r="L403" s="342" t="str">
        <f>CONCATENATE(Products!B2132," ",Products!C2132)</f>
        <v>скло Графіт / Бронза мод.Б</v>
      </c>
      <c r="M403" s="349">
        <f>Products!E2132</f>
        <v>740.00000000000011</v>
      </c>
    </row>
    <row r="404" spans="1:13">
      <c r="A404" s="31"/>
      <c r="B404" s="13" t="str">
        <f>Products!B2125</f>
        <v>А</v>
      </c>
      <c r="C404" s="163"/>
      <c r="D404" s="196">
        <f>Products!E2125</f>
        <v>2310</v>
      </c>
      <c r="E404" s="183">
        <f>Products!G2125</f>
        <v>2660.0000000000005</v>
      </c>
      <c r="F404" s="183">
        <f>Products!I2125</f>
        <v>2950</v>
      </c>
      <c r="G404" s="97"/>
      <c r="H404" s="224"/>
      <c r="I404" s="224"/>
      <c r="J404" s="224"/>
      <c r="K404" s="345"/>
      <c r="L404" s="342" t="str">
        <f>CONCATENATE(Products!B2133," ",Products!C2133)</f>
        <v xml:space="preserve">завіса Prestige (1 шт) </v>
      </c>
      <c r="M404" s="349">
        <f>Products!E2133</f>
        <v>260</v>
      </c>
    </row>
    <row r="405" spans="1:13">
      <c r="A405" s="31"/>
      <c r="B405" s="23" t="str">
        <f>Products!B2126</f>
        <v>Б</v>
      </c>
      <c r="C405" s="165"/>
      <c r="D405" s="193">
        <f>Products!E2126</f>
        <v>4630</v>
      </c>
      <c r="E405" s="187">
        <f>Products!G2126</f>
        <v>5150</v>
      </c>
      <c r="F405" s="187">
        <f>Products!I2126</f>
        <v>5320.0000000000009</v>
      </c>
      <c r="G405" s="97"/>
      <c r="H405" s="224"/>
      <c r="I405" s="224"/>
      <c r="J405" s="224"/>
      <c r="K405" s="345"/>
      <c r="L405" s="342" t="str">
        <f>CONCATENATE(Products!B2134," ",Products!C2134)</f>
        <v xml:space="preserve">накладка на завіси (1 к-т) </v>
      </c>
      <c r="M405" s="349">
        <f>Products!E2134</f>
        <v>80</v>
      </c>
    </row>
    <row r="406" spans="1:13">
      <c r="A406" s="31"/>
      <c r="B406" s="175"/>
      <c r="C406" s="176"/>
      <c r="D406" s="97"/>
      <c r="E406" s="97"/>
      <c r="F406" s="97"/>
      <c r="G406" s="97"/>
      <c r="H406" s="224"/>
      <c r="I406" s="224"/>
      <c r="J406" s="224"/>
      <c r="K406" s="345"/>
      <c r="L406" s="342" t="str">
        <f>CONCATENATE(Products!B2135," ",Products!C2135)</f>
        <v>ДСП трубчасте мод.A</v>
      </c>
      <c r="M406" s="349">
        <f>Products!E2135</f>
        <v>930</v>
      </c>
    </row>
    <row r="407" spans="1:13">
      <c r="C407" s="34"/>
      <c r="D407" s="34"/>
      <c r="E407" s="10"/>
      <c r="F407" s="31"/>
      <c r="G407" s="31"/>
      <c r="J407" s="353"/>
    </row>
    <row r="408" spans="1:13" s="31" customFormat="1" ht="12.75" customHeight="1">
      <c r="B408" s="572" t="str">
        <f>TITLE!$C$40</f>
        <v>Розсувна система Verto-SLIDE</v>
      </c>
      <c r="C408" s="573"/>
      <c r="D408" s="573"/>
      <c r="E408" s="573"/>
      <c r="F408" s="170"/>
      <c r="G408" s="170"/>
      <c r="H408" s="170"/>
      <c r="I408" s="170"/>
      <c r="J408" s="343"/>
      <c r="K408" s="355"/>
      <c r="L408" s="355"/>
      <c r="M408" s="356"/>
    </row>
    <row r="409" spans="1:13" ht="24.75" customHeight="1">
      <c r="A409" s="31"/>
      <c r="B409" s="574" t="str">
        <f>Products!B2188</f>
        <v>(без полотна)</v>
      </c>
      <c r="C409" s="156" t="str">
        <f>Products!C2188</f>
        <v>покриття:</v>
      </c>
      <c r="D409" s="129" t="str">
        <f>Products!D2188</f>
        <v>SIMPL / V-CELL</v>
      </c>
      <c r="E409" s="167" t="str">
        <f>Products!F2188</f>
        <v>UNI-MAT</v>
      </c>
      <c r="F409" s="167" t="str">
        <f>Products!H2188</f>
        <v>RESIST</v>
      </c>
      <c r="G409" s="167" t="str">
        <f>Products!J2188</f>
        <v>Verto LINE-3D</v>
      </c>
      <c r="H409" s="167" t="str">
        <f>Products!L2188</f>
        <v>ЕКО Шпон / ЛОФТ</v>
      </c>
      <c r="I409" s="47"/>
      <c r="J409" s="47"/>
      <c r="K409" s="345"/>
      <c r="L409" s="342" t="str">
        <f>Products!B2194</f>
        <v>відповідна планка замка</v>
      </c>
      <c r="M409" s="365">
        <f>Products!E2194</f>
        <v>110</v>
      </c>
    </row>
    <row r="410" spans="1:13" ht="12.75" customHeight="1">
      <c r="A410" s="31"/>
      <c r="B410" s="575"/>
      <c r="C410" s="158" t="str">
        <f>Products!C2189</f>
        <v>виконання:</v>
      </c>
      <c r="D410" s="137" t="str">
        <f>Products!D2189</f>
        <v>одностулкове</v>
      </c>
      <c r="E410" s="161" t="str">
        <f>Products!F2189</f>
        <v>одностулкове</v>
      </c>
      <c r="F410" s="161" t="str">
        <f>Products!H2189</f>
        <v>одностулкове</v>
      </c>
      <c r="G410" s="161" t="str">
        <f>Products!J2189</f>
        <v>одностулкове</v>
      </c>
      <c r="H410" s="161" t="str">
        <f>Products!L2189</f>
        <v>одностулкове</v>
      </c>
      <c r="I410" s="47"/>
      <c r="J410" s="47"/>
      <c r="K410" s="46"/>
      <c r="L410" s="353"/>
      <c r="M410" s="353"/>
    </row>
    <row r="411" spans="1:13">
      <c r="A411" s="31"/>
      <c r="B411" s="49" t="str">
        <f>Products!B2190</f>
        <v>Розсувна система</v>
      </c>
      <c r="C411" s="50"/>
      <c r="D411" s="197">
        <f>Products!E2190</f>
        <v>3780</v>
      </c>
      <c r="E411" s="195">
        <f>Products!G2190</f>
        <v>3920</v>
      </c>
      <c r="F411" s="195">
        <f>Products!I2190</f>
        <v>4030</v>
      </c>
      <c r="G411" s="195">
        <f>Products!K2190</f>
        <v>4370</v>
      </c>
      <c r="H411" s="195">
        <f>Products!M2190</f>
        <v>4620</v>
      </c>
      <c r="I411" s="29"/>
      <c r="J411" s="29"/>
      <c r="K411" s="46"/>
      <c r="L411" s="353"/>
      <c r="M411" s="353"/>
    </row>
    <row r="412" spans="1:13">
      <c r="C412" s="34"/>
      <c r="D412" s="34"/>
      <c r="E412" s="34"/>
      <c r="J412" s="353"/>
      <c r="K412" s="353"/>
      <c r="L412" s="353"/>
      <c r="M412" s="353"/>
    </row>
    <row r="413" spans="1:13" s="31" customFormat="1" ht="12.75" customHeight="1">
      <c r="B413" s="572" t="str">
        <f>TITLE!$C$43</f>
        <v>Дверна коробка STANDARD</v>
      </c>
      <c r="C413" s="573"/>
      <c r="D413" s="573"/>
      <c r="E413" s="573"/>
      <c r="F413" s="295" t="str">
        <f>Products!E2245</f>
        <v>Для Дверних Полотен з Фальцем</v>
      </c>
      <c r="G413" s="170"/>
      <c r="H413" s="170"/>
      <c r="I413" s="170"/>
      <c r="J413" s="343"/>
      <c r="K413" s="343"/>
      <c r="L413" s="355"/>
      <c r="M413" s="356"/>
    </row>
    <row r="414" spans="1:13" ht="26.25" customHeight="1">
      <c r="A414" s="31"/>
      <c r="B414" s="568" t="str">
        <f>Products!B2247</f>
        <v>модель</v>
      </c>
      <c r="C414" s="156" t="str">
        <f>Products!C2247</f>
        <v>покриття:</v>
      </c>
      <c r="D414" s="523" t="str">
        <f>Products!D2247</f>
        <v>SIMPLEX / VERTO-CELL</v>
      </c>
      <c r="E414" s="524"/>
      <c r="F414" s="523" t="str">
        <f>Products!H2247</f>
        <v>UNI-MAT</v>
      </c>
      <c r="G414" s="524"/>
      <c r="H414" s="523" t="str">
        <f>Products!L2247</f>
        <v>RESIST</v>
      </c>
      <c r="I414" s="524"/>
      <c r="J414" s="523" t="str">
        <f>Products!P2247</f>
        <v>Verto LINE-3D</v>
      </c>
      <c r="K414" s="524"/>
      <c r="L414" s="523" t="str">
        <f>Products!T2247</f>
        <v>ЕКО Шпон / LOFT</v>
      </c>
      <c r="M414" s="524"/>
    </row>
    <row r="415" spans="1:13" ht="12.75" customHeight="1">
      <c r="A415" s="31"/>
      <c r="B415" s="568"/>
      <c r="C415" s="158" t="str">
        <f>Products!C2248</f>
        <v>виконання:</v>
      </c>
      <c r="D415" s="255" t="str">
        <f>Products!D2248</f>
        <v>одностулкове</v>
      </c>
      <c r="E415" s="263" t="str">
        <f>Products!F2248</f>
        <v>двостулкові</v>
      </c>
      <c r="F415" s="255" t="str">
        <f>Products!H2248</f>
        <v>одностулкове</v>
      </c>
      <c r="G415" s="263" t="str">
        <f>Products!J2248</f>
        <v>двостулкові</v>
      </c>
      <c r="H415" s="255" t="str">
        <f>Products!L2248</f>
        <v>одностулкове</v>
      </c>
      <c r="I415" s="263" t="str">
        <f>Products!N2248</f>
        <v>двостулкові</v>
      </c>
      <c r="J415" s="255" t="str">
        <f>Products!P2248</f>
        <v>одностулкове</v>
      </c>
      <c r="K415" s="263" t="str">
        <f>Products!R2248</f>
        <v>двостулкові</v>
      </c>
      <c r="L415" s="255" t="str">
        <f>Products!T2248</f>
        <v>одностулкове</v>
      </c>
      <c r="M415" s="263" t="str">
        <f>Products!V2248</f>
        <v>двостулкові</v>
      </c>
    </row>
    <row r="416" spans="1:13">
      <c r="A416" s="31"/>
      <c r="B416" s="13" t="str">
        <f>Products!B2249</f>
        <v>Коробка МДФ 80 мм</v>
      </c>
      <c r="C416" s="179"/>
      <c r="D416" s="256">
        <f>Products!E2249</f>
        <v>1830</v>
      </c>
      <c r="E416" s="257">
        <f>Products!G2249</f>
        <v>2560</v>
      </c>
      <c r="F416" s="256">
        <f>Products!I2249</f>
        <v>2070</v>
      </c>
      <c r="G416" s="257">
        <f>Products!K2249</f>
        <v>2890</v>
      </c>
      <c r="H416" s="256">
        <f>Products!M2249</f>
        <v>2150</v>
      </c>
      <c r="I416" s="256">
        <f>Products!O2249</f>
        <v>3010</v>
      </c>
      <c r="J416" s="366">
        <f>Products!Q2249</f>
        <v>2370</v>
      </c>
      <c r="K416" s="367">
        <f>Products!S2249</f>
        <v>3320.0000000000005</v>
      </c>
      <c r="L416" s="366">
        <f>Products!U2249</f>
        <v>2550</v>
      </c>
      <c r="M416" s="367">
        <f>Products!W2249</f>
        <v>3570</v>
      </c>
    </row>
    <row r="417" spans="1:13">
      <c r="A417" s="31"/>
      <c r="B417" s="23" t="str">
        <f>Products!B2250</f>
        <v>Коробка Дерев'яна 80 мм</v>
      </c>
      <c r="C417" s="285"/>
      <c r="D417" s="260">
        <f>Products!E2250</f>
        <v>2220</v>
      </c>
      <c r="E417" s="261">
        <f>Products!G2250</f>
        <v>3080.0000000000005</v>
      </c>
      <c r="F417" s="260">
        <f>Products!I2250</f>
        <v>2520</v>
      </c>
      <c r="G417" s="261">
        <f>Products!K2250</f>
        <v>3530.0000000000005</v>
      </c>
      <c r="H417" s="260">
        <f>Products!M2250</f>
        <v>2680</v>
      </c>
      <c r="I417" s="260">
        <f>Products!O2250</f>
        <v>3750</v>
      </c>
      <c r="J417" s="368">
        <f>Products!Q2250</f>
        <v>2940</v>
      </c>
      <c r="K417" s="369">
        <f>Products!S2250</f>
        <v>4110</v>
      </c>
      <c r="L417" s="368">
        <f>Products!U2250</f>
        <v>3240</v>
      </c>
      <c r="M417" s="369">
        <f>Products!W2250</f>
        <v>4530</v>
      </c>
    </row>
    <row r="418" spans="1:13" s="145" customFormat="1">
      <c r="B418" s="54" t="str">
        <f>Products!B2251</f>
        <v>ЛИШТВА</v>
      </c>
      <c r="C418" s="55"/>
      <c r="D418" s="199"/>
      <c r="E418" s="199"/>
      <c r="F418" s="199"/>
      <c r="G418" s="199"/>
      <c r="H418" s="200"/>
      <c r="I418" s="200"/>
      <c r="J418" s="200"/>
      <c r="K418" s="200"/>
      <c r="L418" s="200"/>
      <c r="M418" s="200"/>
    </row>
    <row r="419" spans="1:13">
      <c r="A419" s="31"/>
      <c r="B419" s="13" t="str">
        <f>Products!B2252</f>
        <v>Прямокутна (1 к-т) 60 мм</v>
      </c>
      <c r="C419" s="177"/>
      <c r="D419" s="256">
        <f>Products!E2252</f>
        <v>510</v>
      </c>
      <c r="E419" s="257">
        <f>Products!G2252</f>
        <v>660</v>
      </c>
      <c r="F419" s="256">
        <f>Products!I2252</f>
        <v>590</v>
      </c>
      <c r="G419" s="301">
        <f>Products!K2252</f>
        <v>760</v>
      </c>
      <c r="H419" s="256">
        <f>Products!M2252</f>
        <v>690</v>
      </c>
      <c r="I419" s="256">
        <f>Products!O2252</f>
        <v>890.00000000000011</v>
      </c>
      <c r="J419" s="366">
        <f>Products!Q2252</f>
        <v>790</v>
      </c>
      <c r="K419" s="367">
        <f>Products!S2252</f>
        <v>1030</v>
      </c>
      <c r="L419" s="366">
        <f>Products!U2252</f>
        <v>860.00000000000011</v>
      </c>
      <c r="M419" s="367">
        <f>Products!W2252</f>
        <v>1120</v>
      </c>
    </row>
    <row r="420" spans="1:13">
      <c r="A420" s="31"/>
      <c r="B420" s="23" t="str">
        <f>Products!B2253</f>
        <v>Прямокутна (1 к-т) 80 мм</v>
      </c>
      <c r="C420" s="178"/>
      <c r="D420" s="266">
        <f>Products!E2253</f>
        <v>600</v>
      </c>
      <c r="E420" s="188">
        <f>Products!G2253</f>
        <v>770.00000000000011</v>
      </c>
      <c r="F420" s="330">
        <f>Products!I2253</f>
        <v>700</v>
      </c>
      <c r="G420" s="261">
        <f>Products!K2253</f>
        <v>900</v>
      </c>
      <c r="H420" s="331">
        <f>Products!M2253</f>
        <v>850</v>
      </c>
      <c r="I420" s="331">
        <f>Products!O2253</f>
        <v>1100</v>
      </c>
      <c r="J420" s="370">
        <f>Products!Q2253</f>
        <v>970</v>
      </c>
      <c r="K420" s="371">
        <f>Products!S2253</f>
        <v>1250</v>
      </c>
      <c r="L420" s="370">
        <f>Products!U2253</f>
        <v>1040</v>
      </c>
      <c r="M420" s="371">
        <f>Products!W2253</f>
        <v>1350</v>
      </c>
    </row>
    <row r="421" spans="1:13" s="145" customFormat="1">
      <c r="B421" s="54" t="str">
        <f>Products!B2254</f>
        <v>ДОБІРНІ ПЛАНКИ</v>
      </c>
      <c r="C421" s="55"/>
      <c r="D421" s="199"/>
      <c r="E421" s="199"/>
      <c r="F421" s="199"/>
      <c r="G421" s="199"/>
      <c r="H421" s="200"/>
      <c r="I421" s="200"/>
      <c r="J421" s="200"/>
      <c r="K421" s="200"/>
      <c r="L421" s="200"/>
      <c r="M421" s="200"/>
    </row>
    <row r="422" spans="1:13">
      <c r="A422" s="31"/>
      <c r="B422" s="13" t="str">
        <f>Products!B2255</f>
        <v>Планка (1 к-т) 60 мм</v>
      </c>
      <c r="C422" s="177"/>
      <c r="D422" s="256">
        <f>Products!E2255</f>
        <v>510</v>
      </c>
      <c r="E422" s="257">
        <f>Products!G2255</f>
        <v>660</v>
      </c>
      <c r="F422" s="256">
        <f>Products!I2255</f>
        <v>590</v>
      </c>
      <c r="G422" s="301">
        <f>Products!K2255</f>
        <v>760</v>
      </c>
      <c r="H422" s="256">
        <f>Products!M2255</f>
        <v>690</v>
      </c>
      <c r="I422" s="256">
        <f>Products!O2255</f>
        <v>890.00000000000011</v>
      </c>
      <c r="J422" s="366">
        <f>Products!Q2255</f>
        <v>790</v>
      </c>
      <c r="K422" s="367">
        <f>Products!S2255</f>
        <v>1030</v>
      </c>
      <c r="L422" s="366">
        <f>Products!U2255</f>
        <v>860.00000000000011</v>
      </c>
      <c r="M422" s="367">
        <f>Products!W2255</f>
        <v>1120</v>
      </c>
    </row>
    <row r="423" spans="1:13">
      <c r="A423" s="31"/>
      <c r="B423" s="16" t="str">
        <f>Products!B2256</f>
        <v>Планка (1 к-т) 110 мм</v>
      </c>
      <c r="C423" s="180"/>
      <c r="D423" s="265">
        <f>Products!E2256</f>
        <v>790</v>
      </c>
      <c r="E423" s="186">
        <f>Products!G2256</f>
        <v>1030</v>
      </c>
      <c r="F423" s="300">
        <f>Products!I2256</f>
        <v>920.00000000000011</v>
      </c>
      <c r="G423" s="259">
        <f>Products!K2256</f>
        <v>1150</v>
      </c>
      <c r="H423" s="303">
        <f>Products!M2256</f>
        <v>1040</v>
      </c>
      <c r="I423" s="303">
        <f>Products!O2256</f>
        <v>1360.0000000000002</v>
      </c>
      <c r="J423" s="372">
        <f>Products!Q2256</f>
        <v>1220</v>
      </c>
      <c r="K423" s="373">
        <f>Products!S2256</f>
        <v>1590</v>
      </c>
      <c r="L423" s="372">
        <f>Products!U2256</f>
        <v>1310</v>
      </c>
      <c r="M423" s="373">
        <f>Products!W2256</f>
        <v>1710</v>
      </c>
    </row>
    <row r="424" spans="1:13">
      <c r="A424" s="31"/>
      <c r="B424" s="23" t="str">
        <f>Products!B2257</f>
        <v>Планка (1 к-т) 200 мм</v>
      </c>
      <c r="C424" s="285"/>
      <c r="D424" s="260">
        <f>Products!E2257</f>
        <v>1540.0000000000002</v>
      </c>
      <c r="E424" s="261">
        <f>Products!G2257</f>
        <v>2000</v>
      </c>
      <c r="F424" s="260">
        <f>Products!I2257</f>
        <v>1770</v>
      </c>
      <c r="G424" s="302">
        <f>Products!K2257</f>
        <v>2320</v>
      </c>
      <c r="H424" s="260">
        <f>Products!M2257</f>
        <v>2100</v>
      </c>
      <c r="I424" s="260">
        <f>Products!O2257</f>
        <v>2740</v>
      </c>
      <c r="J424" s="368">
        <f>Products!Q2257</f>
        <v>2420</v>
      </c>
      <c r="K424" s="369">
        <f>Products!S2257</f>
        <v>3150</v>
      </c>
      <c r="L424" s="368">
        <f>Products!U2257</f>
        <v>2590</v>
      </c>
      <c r="M424" s="369">
        <f>Products!W2257</f>
        <v>3360</v>
      </c>
    </row>
    <row r="425" spans="1:13">
      <c r="C425" s="34"/>
      <c r="D425" s="34"/>
      <c r="E425" s="10"/>
      <c r="F425" s="31"/>
      <c r="G425" s="31"/>
      <c r="H425" s="145"/>
      <c r="I425" s="145"/>
      <c r="J425" s="374"/>
      <c r="K425" s="374"/>
      <c r="L425" s="353"/>
      <c r="M425" s="353"/>
    </row>
    <row r="426" spans="1:13">
      <c r="B426" s="226"/>
      <c r="C426" s="231" t="str">
        <f>Products!B2261</f>
        <v>третя завіса</v>
      </c>
      <c r="D426" s="183">
        <f>Products!E2261</f>
        <v>80</v>
      </c>
      <c r="E426" s="10"/>
      <c r="F426" s="31"/>
      <c r="G426" s="31"/>
      <c r="H426" s="145"/>
      <c r="I426" s="145"/>
      <c r="J426" s="374"/>
      <c r="K426" s="374"/>
      <c r="L426" s="353"/>
      <c r="M426" s="353"/>
    </row>
    <row r="427" spans="1:13">
      <c r="B427" s="226"/>
      <c r="C427" s="231" t="str">
        <f>Products!B2262</f>
        <v>поріг сосновий</v>
      </c>
      <c r="D427" s="187">
        <f>Products!E2262</f>
        <v>550</v>
      </c>
      <c r="E427" s="10"/>
      <c r="F427" s="31"/>
      <c r="G427" s="31"/>
      <c r="H427" s="145"/>
      <c r="I427" s="145"/>
      <c r="J427" s="374"/>
      <c r="K427" s="374"/>
      <c r="L427" s="353"/>
      <c r="M427" s="353"/>
    </row>
    <row r="428" spans="1:13">
      <c r="C428" s="34"/>
      <c r="D428" s="34"/>
      <c r="E428" s="10"/>
      <c r="F428" s="31"/>
      <c r="G428" s="31"/>
      <c r="H428" s="145"/>
      <c r="I428" s="145"/>
      <c r="J428" s="374"/>
      <c r="K428" s="374"/>
      <c r="L428" s="353"/>
      <c r="M428" s="353"/>
    </row>
    <row r="429" spans="1:13" hidden="1">
      <c r="B429" s="572" t="str">
        <f>Products!B2277</f>
        <v>Дверна коробка STANDARD - Алюм</v>
      </c>
      <c r="C429" s="573"/>
      <c r="D429" s="573"/>
      <c r="E429" s="573"/>
      <c r="F429" s="440"/>
      <c r="G429" s="440"/>
      <c r="H429" s="440"/>
      <c r="I429" s="170"/>
      <c r="J429" s="343"/>
      <c r="K429" s="489"/>
      <c r="L429" s="489"/>
      <c r="M429" s="490"/>
    </row>
    <row r="430" spans="1:13" hidden="1">
      <c r="B430" s="574" t="str">
        <f>Products!B2279</f>
        <v>модель</v>
      </c>
      <c r="C430" s="156" t="str">
        <f>Products!C2279</f>
        <v>покриття:</v>
      </c>
      <c r="D430" s="522" t="str">
        <f>Products!D2279</f>
        <v>Колір</v>
      </c>
      <c r="E430" s="523"/>
      <c r="F430" s="510"/>
      <c r="G430" s="511"/>
      <c r="H430" s="511"/>
      <c r="I430" s="47"/>
      <c r="J430" s="47"/>
      <c r="K430" s="504"/>
      <c r="L430" s="505"/>
      <c r="M430" s="506"/>
    </row>
    <row r="431" spans="1:13" ht="22.5" hidden="1">
      <c r="B431" s="575"/>
      <c r="C431" s="158" t="str">
        <f>Products!C2280</f>
        <v>виконання:</v>
      </c>
      <c r="D431" s="498" t="str">
        <f>Products!D2280</f>
        <v>анодований алюміній</v>
      </c>
      <c r="E431" s="497" t="str">
        <f>Products!F2280</f>
        <v>чорний алюміній</v>
      </c>
      <c r="F431" s="508"/>
      <c r="G431" s="499"/>
      <c r="H431" s="499"/>
      <c r="I431" s="47"/>
      <c r="J431" s="47"/>
      <c r="K431" s="46"/>
      <c r="L431" s="353"/>
      <c r="M431" s="353"/>
    </row>
    <row r="432" spans="1:13" hidden="1">
      <c r="B432" s="503" t="str">
        <f>Products!B2281</f>
        <v>Коробка прихованого монтажу 60мм</v>
      </c>
      <c r="C432" s="50"/>
      <c r="D432" s="197">
        <f>Products!E2281</f>
        <v>13930</v>
      </c>
      <c r="E432" s="507">
        <f>Products!G2281</f>
        <v>14930</v>
      </c>
      <c r="F432" s="509"/>
      <c r="G432" s="199"/>
      <c r="H432" s="199"/>
      <c r="I432" s="29"/>
      <c r="J432" s="29"/>
      <c r="K432" s="46"/>
      <c r="L432" s="353"/>
      <c r="M432" s="353"/>
    </row>
    <row r="433" spans="1:13" hidden="1">
      <c r="C433" s="34"/>
      <c r="D433" s="34"/>
      <c r="E433" s="10"/>
      <c r="F433" s="31"/>
      <c r="G433" s="31"/>
      <c r="H433" s="145"/>
      <c r="I433" s="145"/>
      <c r="J433" s="374"/>
      <c r="K433" s="374"/>
      <c r="L433" s="353"/>
      <c r="M433" s="353"/>
    </row>
    <row r="434" spans="1:13" hidden="1">
      <c r="B434" s="226"/>
      <c r="C434" s="231" t="str">
        <f>Products!B2285</f>
        <v>прихована 3D завіса хром/чорн.</v>
      </c>
      <c r="D434" s="195">
        <f>Products!E2285</f>
        <v>890.00000000000011</v>
      </c>
      <c r="E434" s="10"/>
      <c r="F434" s="31"/>
      <c r="G434" s="31"/>
      <c r="H434" s="145"/>
      <c r="I434" s="145"/>
      <c r="J434" s="374"/>
      <c r="K434" s="374"/>
      <c r="L434" s="353"/>
      <c r="M434" s="353"/>
    </row>
    <row r="435" spans="1:13" hidden="1">
      <c r="C435" s="34"/>
      <c r="D435" s="34"/>
      <c r="E435" s="10"/>
      <c r="F435" s="31"/>
      <c r="G435" s="31"/>
      <c r="H435" s="145"/>
      <c r="I435" s="145"/>
      <c r="J435" s="374"/>
      <c r="K435" s="374"/>
      <c r="L435" s="353"/>
      <c r="M435" s="353"/>
    </row>
    <row r="436" spans="1:13" hidden="1">
      <c r="C436" s="34"/>
      <c r="D436" s="34"/>
      <c r="E436" s="10"/>
      <c r="F436" s="31"/>
      <c r="G436" s="31"/>
      <c r="H436" s="145"/>
      <c r="I436" s="145"/>
      <c r="J436" s="374"/>
      <c r="K436" s="374"/>
      <c r="L436" s="353"/>
      <c r="M436" s="353"/>
    </row>
    <row r="437" spans="1:13">
      <c r="C437" s="34"/>
      <c r="D437" s="34"/>
      <c r="E437" s="10"/>
      <c r="F437" s="31"/>
      <c r="G437" s="31"/>
      <c r="H437" s="145"/>
      <c r="I437" s="145"/>
      <c r="J437" s="374"/>
      <c r="K437" s="374"/>
      <c r="L437" s="353"/>
      <c r="M437" s="353"/>
    </row>
    <row r="438" spans="1:13" s="31" customFormat="1">
      <c r="B438" s="572" t="str">
        <f>TITLE!$C$45</f>
        <v>Дверна коробка Verto-FIT</v>
      </c>
      <c r="C438" s="573"/>
      <c r="D438" s="573"/>
      <c r="E438" s="573"/>
      <c r="F438" s="295" t="str">
        <f>Products!E2313</f>
        <v>Для Дверних Полотен з Фальцем</v>
      </c>
      <c r="G438" s="170"/>
      <c r="H438" s="170"/>
      <c r="I438" s="170"/>
      <c r="J438" s="343"/>
      <c r="K438" s="343"/>
      <c r="L438" s="355"/>
      <c r="M438" s="356"/>
    </row>
    <row r="439" spans="1:13" ht="26.25" customHeight="1">
      <c r="A439" s="31"/>
      <c r="B439" s="568" t="str">
        <f>Products!B2315</f>
        <v>модель</v>
      </c>
      <c r="C439" s="156" t="str">
        <f>Products!C2315</f>
        <v>покриття:</v>
      </c>
      <c r="D439" s="523" t="str">
        <f>Products!D2315</f>
        <v xml:space="preserve">SIMPLEX / VERTO-CELL </v>
      </c>
      <c r="E439" s="524"/>
      <c r="F439" s="523" t="str">
        <f>Products!H2315</f>
        <v>UNI-MAT</v>
      </c>
      <c r="G439" s="524"/>
      <c r="H439" s="523" t="str">
        <f>Products!L2315</f>
        <v>RESIST</v>
      </c>
      <c r="I439" s="524"/>
      <c r="J439" s="523" t="str">
        <f>Products!P2315</f>
        <v>Verto LINE-3D</v>
      </c>
      <c r="K439" s="524"/>
      <c r="L439" s="523" t="str">
        <f>Products!T2315</f>
        <v>ЕКО Шпон / LOFT</v>
      </c>
      <c r="M439" s="524"/>
    </row>
    <row r="440" spans="1:13" ht="12.75" customHeight="1">
      <c r="A440" s="31"/>
      <c r="B440" s="569"/>
      <c r="C440" s="158" t="str">
        <f>Products!C2316</f>
        <v>виконання:</v>
      </c>
      <c r="D440" s="255" t="str">
        <f>Products!D2316</f>
        <v>одностулкове</v>
      </c>
      <c r="E440" s="263" t="str">
        <f>Products!F2316</f>
        <v>двостулкові</v>
      </c>
      <c r="F440" s="255" t="str">
        <f>Products!H2316</f>
        <v>одностулкове</v>
      </c>
      <c r="G440" s="263" t="str">
        <f>Products!J2316</f>
        <v>двостулкові</v>
      </c>
      <c r="H440" s="255" t="str">
        <f>Products!L2316</f>
        <v>одностулкове</v>
      </c>
      <c r="I440" s="255" t="str">
        <f>Products!N2316</f>
        <v>двостулкові</v>
      </c>
      <c r="J440" s="255" t="str">
        <f>Products!P2316</f>
        <v>одностулкове</v>
      </c>
      <c r="K440" s="263" t="str">
        <f>Products!R2316</f>
        <v>двостулкові</v>
      </c>
      <c r="L440" s="255" t="str">
        <f>Products!T2316</f>
        <v>одностулкове</v>
      </c>
      <c r="M440" s="263" t="str">
        <f>Products!V2316</f>
        <v>двостулкові</v>
      </c>
    </row>
    <row r="441" spans="1:13">
      <c r="A441" s="31"/>
      <c r="B441" s="13" t="str">
        <f>Products!B2317</f>
        <v>A (75 - 95 мм)</v>
      </c>
      <c r="C441" s="179"/>
      <c r="D441" s="256">
        <f>Products!E2317</f>
        <v>2980</v>
      </c>
      <c r="E441" s="257">
        <f>Products!G2317</f>
        <v>4170</v>
      </c>
      <c r="F441" s="256">
        <f>Products!I2317</f>
        <v>3440.0000000000005</v>
      </c>
      <c r="G441" s="257">
        <f>Products!K2317</f>
        <v>4820</v>
      </c>
      <c r="H441" s="256">
        <f>Products!M2317</f>
        <v>3570</v>
      </c>
      <c r="I441" s="256">
        <f>Products!O2317</f>
        <v>4990.0000000000009</v>
      </c>
      <c r="J441" s="366">
        <f>Products!Q2317</f>
        <v>3800</v>
      </c>
      <c r="K441" s="367">
        <f>Products!S2317</f>
        <v>5320.0000000000009</v>
      </c>
      <c r="L441" s="366">
        <f>Products!U2317</f>
        <v>4060</v>
      </c>
      <c r="M441" s="367">
        <f>Products!W2317</f>
        <v>5980.0000000000009</v>
      </c>
    </row>
    <row r="442" spans="1:13">
      <c r="A442" s="31"/>
      <c r="B442" s="16" t="str">
        <f>Products!B2318</f>
        <v>B (95 - 115 мм)</v>
      </c>
      <c r="C442" s="180"/>
      <c r="D442" s="258">
        <f>Products!E2318</f>
        <v>3160</v>
      </c>
      <c r="E442" s="259">
        <f>Products!G2318</f>
        <v>4420</v>
      </c>
      <c r="F442" s="258">
        <f>Products!I2318</f>
        <v>3640</v>
      </c>
      <c r="G442" s="259">
        <f>Products!K2318</f>
        <v>5100</v>
      </c>
      <c r="H442" s="258">
        <f>Products!M2318</f>
        <v>3800</v>
      </c>
      <c r="I442" s="258">
        <f>Products!O2318</f>
        <v>5310</v>
      </c>
      <c r="J442" s="375">
        <f>Products!Q2318</f>
        <v>4020</v>
      </c>
      <c r="K442" s="376">
        <f>Products!S2318</f>
        <v>5620.0000000000009</v>
      </c>
      <c r="L442" s="375">
        <f>Products!U2318</f>
        <v>4300</v>
      </c>
      <c r="M442" s="376">
        <f>Products!W2318</f>
        <v>6020</v>
      </c>
    </row>
    <row r="443" spans="1:13">
      <c r="A443" s="31"/>
      <c r="B443" s="16" t="str">
        <f>Products!B2319</f>
        <v>B+ (100 - 120 мм)</v>
      </c>
      <c r="C443" s="180"/>
      <c r="D443" s="258">
        <f>Products!E2319</f>
        <v>3280</v>
      </c>
      <c r="E443" s="259">
        <f>Products!G2319</f>
        <v>4590</v>
      </c>
      <c r="F443" s="258">
        <f>Products!I2319</f>
        <v>3760</v>
      </c>
      <c r="G443" s="259">
        <f>Products!K2319</f>
        <v>5270</v>
      </c>
      <c r="H443" s="258">
        <f>Products!M2319</f>
        <v>3910</v>
      </c>
      <c r="I443" s="258">
        <f>Products!O2319</f>
        <v>5470.0000000000009</v>
      </c>
      <c r="J443" s="375">
        <f>Products!Q2319</f>
        <v>4140</v>
      </c>
      <c r="K443" s="376">
        <f>Products!S2319</f>
        <v>5790</v>
      </c>
      <c r="L443" s="375">
        <f>Products!U2319</f>
        <v>4420</v>
      </c>
      <c r="M443" s="376">
        <f>Products!W2319</f>
        <v>6180</v>
      </c>
    </row>
    <row r="444" spans="1:13">
      <c r="A444" s="31"/>
      <c r="B444" s="16" t="str">
        <f>Products!B2320</f>
        <v>C (120 - 140 мм)</v>
      </c>
      <c r="C444" s="180"/>
      <c r="D444" s="258">
        <f>Products!E2320</f>
        <v>3370</v>
      </c>
      <c r="E444" s="259">
        <f>Products!G2320</f>
        <v>4720</v>
      </c>
      <c r="F444" s="258">
        <f>Products!I2320</f>
        <v>3880</v>
      </c>
      <c r="G444" s="259">
        <f>Products!K2320</f>
        <v>5430</v>
      </c>
      <c r="H444" s="258">
        <f>Products!M2320</f>
        <v>4000</v>
      </c>
      <c r="I444" s="258">
        <f>Products!O2320</f>
        <v>5610</v>
      </c>
      <c r="J444" s="375">
        <f>Products!Q2320</f>
        <v>4250</v>
      </c>
      <c r="K444" s="376">
        <f>Products!S2320</f>
        <v>5950.0000000000009</v>
      </c>
      <c r="L444" s="375">
        <f>Products!U2320</f>
        <v>4550</v>
      </c>
      <c r="M444" s="376">
        <f>Products!W2320</f>
        <v>6360</v>
      </c>
    </row>
    <row r="445" spans="1:13">
      <c r="A445" s="31"/>
      <c r="B445" s="16" t="str">
        <f>Products!B2321</f>
        <v>D (140 - 160 мм)</v>
      </c>
      <c r="C445" s="180"/>
      <c r="D445" s="258">
        <f>Products!E2321</f>
        <v>3550</v>
      </c>
      <c r="E445" s="259">
        <f>Products!G2321</f>
        <v>4970</v>
      </c>
      <c r="F445" s="258">
        <f>Products!I2321</f>
        <v>4080</v>
      </c>
      <c r="G445" s="259">
        <f>Products!K2321</f>
        <v>5710.0000000000009</v>
      </c>
      <c r="H445" s="258">
        <f>Products!M2321</f>
        <v>4230</v>
      </c>
      <c r="I445" s="258">
        <f>Products!O2321</f>
        <v>5920.0000000000009</v>
      </c>
      <c r="J445" s="375">
        <f>Products!Q2321</f>
        <v>4490</v>
      </c>
      <c r="K445" s="376">
        <f>Products!S2321</f>
        <v>6290</v>
      </c>
      <c r="L445" s="375">
        <f>Products!U2321</f>
        <v>4780</v>
      </c>
      <c r="M445" s="376">
        <f>Products!W2321</f>
        <v>6690</v>
      </c>
    </row>
    <row r="446" spans="1:13">
      <c r="A446" s="31"/>
      <c r="B446" s="16" t="str">
        <f>Products!B2322</f>
        <v>E (160 - 180 мм)</v>
      </c>
      <c r="C446" s="180"/>
      <c r="D446" s="258">
        <f>Products!E2322</f>
        <v>3730</v>
      </c>
      <c r="E446" s="259">
        <f>Products!G2322</f>
        <v>5220</v>
      </c>
      <c r="F446" s="258">
        <f>Products!I2322</f>
        <v>4300</v>
      </c>
      <c r="G446" s="259">
        <f>Products!K2322</f>
        <v>6020</v>
      </c>
      <c r="H446" s="258">
        <f>Products!M2322</f>
        <v>4430</v>
      </c>
      <c r="I446" s="258">
        <f>Products!O2322</f>
        <v>6210</v>
      </c>
      <c r="J446" s="375">
        <f>Products!Q2322</f>
        <v>4720</v>
      </c>
      <c r="K446" s="376">
        <f>Products!S2322</f>
        <v>6610.0000000000009</v>
      </c>
      <c r="L446" s="375">
        <f>Products!U2322</f>
        <v>5030</v>
      </c>
      <c r="M446" s="376">
        <f>Products!W2322</f>
        <v>7040</v>
      </c>
    </row>
    <row r="447" spans="1:13">
      <c r="A447" s="31"/>
      <c r="B447" s="16" t="str">
        <f>Products!B2323</f>
        <v>F (180 - 200 мм)</v>
      </c>
      <c r="C447" s="180"/>
      <c r="D447" s="258">
        <f>Products!E2323</f>
        <v>3920</v>
      </c>
      <c r="E447" s="259">
        <f>Products!G2323</f>
        <v>5490</v>
      </c>
      <c r="F447" s="258">
        <f>Products!I2323</f>
        <v>4510</v>
      </c>
      <c r="G447" s="259">
        <f>Products!K2323</f>
        <v>6300</v>
      </c>
      <c r="H447" s="258">
        <f>Products!M2323</f>
        <v>4660</v>
      </c>
      <c r="I447" s="258">
        <f>Products!O2323</f>
        <v>6520.0000000000009</v>
      </c>
      <c r="J447" s="375">
        <f>Products!Q2323</f>
        <v>4940</v>
      </c>
      <c r="K447" s="376">
        <f>Products!S2323</f>
        <v>6920</v>
      </c>
      <c r="L447" s="375">
        <f>Products!U2323</f>
        <v>5280</v>
      </c>
      <c r="M447" s="376">
        <f>Products!W2323</f>
        <v>7390</v>
      </c>
    </row>
    <row r="448" spans="1:13">
      <c r="A448" s="31"/>
      <c r="B448" s="16" t="str">
        <f>Products!B2324</f>
        <v>G (200 - 220 мм)</v>
      </c>
      <c r="C448" s="180"/>
      <c r="D448" s="258">
        <f>Products!E2324</f>
        <v>4100</v>
      </c>
      <c r="E448" s="259">
        <f>Products!G2324</f>
        <v>5740.0000000000009</v>
      </c>
      <c r="F448" s="258">
        <f>Products!I2324</f>
        <v>4730</v>
      </c>
      <c r="G448" s="259">
        <f>Products!K2324</f>
        <v>6610.0000000000009</v>
      </c>
      <c r="H448" s="258">
        <f>Products!M2324</f>
        <v>4890</v>
      </c>
      <c r="I448" s="258">
        <f>Products!O2324</f>
        <v>6840</v>
      </c>
      <c r="J448" s="375">
        <f>Products!Q2324</f>
        <v>5180</v>
      </c>
      <c r="K448" s="376">
        <f>Products!S2324</f>
        <v>7250</v>
      </c>
      <c r="L448" s="375">
        <f>Products!U2324</f>
        <v>5520</v>
      </c>
      <c r="M448" s="376">
        <f>Products!W2324</f>
        <v>7720</v>
      </c>
    </row>
    <row r="449" spans="1:13">
      <c r="A449" s="31"/>
      <c r="B449" s="16" t="str">
        <f>Products!B2325</f>
        <v>H (220 - 240 мм)</v>
      </c>
      <c r="C449" s="180"/>
      <c r="D449" s="258">
        <f>Products!E2325</f>
        <v>4290</v>
      </c>
      <c r="E449" s="259">
        <f>Products!G2325</f>
        <v>6000</v>
      </c>
      <c r="F449" s="258">
        <f>Products!I2325</f>
        <v>4940</v>
      </c>
      <c r="G449" s="259">
        <f>Products!K2325</f>
        <v>6920</v>
      </c>
      <c r="H449" s="258">
        <f>Products!M2325</f>
        <v>5090</v>
      </c>
      <c r="I449" s="258">
        <f>Products!O2325</f>
        <v>7120.0000000000009</v>
      </c>
      <c r="J449" s="375">
        <f>Products!Q2325</f>
        <v>5420</v>
      </c>
      <c r="K449" s="376">
        <f>Products!S2325</f>
        <v>7570</v>
      </c>
      <c r="L449" s="375">
        <f>Products!U2325</f>
        <v>5770.0000000000009</v>
      </c>
      <c r="M449" s="376">
        <f>Products!W2325</f>
        <v>8070</v>
      </c>
    </row>
    <row r="450" spans="1:13" s="145" customFormat="1">
      <c r="A450" s="31"/>
      <c r="B450" s="23" t="str">
        <f>Products!B2326</f>
        <v>I (240 - 260 мм)</v>
      </c>
      <c r="C450" s="178"/>
      <c r="D450" s="260">
        <f>Products!E2326</f>
        <v>4490</v>
      </c>
      <c r="E450" s="261">
        <f>Products!G2326</f>
        <v>6290</v>
      </c>
      <c r="F450" s="260">
        <f>Products!I2326</f>
        <v>5170.0000000000009</v>
      </c>
      <c r="G450" s="261">
        <f>Products!K2326</f>
        <v>7240.0000000000009</v>
      </c>
      <c r="H450" s="260">
        <f>Products!M2326</f>
        <v>5300</v>
      </c>
      <c r="I450" s="260">
        <f>Products!O2326</f>
        <v>7430</v>
      </c>
      <c r="J450" s="368">
        <f>Products!Q2326</f>
        <v>5640</v>
      </c>
      <c r="K450" s="369">
        <f>Products!S2326</f>
        <v>7900</v>
      </c>
      <c r="L450" s="368">
        <f>Products!U2326</f>
        <v>6020</v>
      </c>
      <c r="M450" s="369">
        <f>Products!W2326</f>
        <v>8420</v>
      </c>
    </row>
    <row r="451" spans="1:13">
      <c r="A451" s="145"/>
      <c r="B451" s="54" t="str">
        <f>Products!B2327</f>
        <v>ПЛАНКИ РЕГУЛЮВАЛЬНІ</v>
      </c>
      <c r="C451" s="55"/>
      <c r="D451" s="579" t="str">
        <f>Products!E2327</f>
        <v>Для Дверних Коробок Verto-FIT, Verto-FIT  Plus</v>
      </c>
      <c r="E451" s="579"/>
      <c r="F451" s="579"/>
      <c r="G451" s="579"/>
      <c r="H451" s="200"/>
      <c r="I451" s="200"/>
      <c r="J451" s="200"/>
      <c r="K451" s="200"/>
      <c r="L451" s="377"/>
      <c r="M451" s="377"/>
    </row>
    <row r="452" spans="1:13">
      <c r="A452" s="31"/>
      <c r="B452" s="13" t="str">
        <f>Products!B2328</f>
        <v>Планка (1 к-т) 80 мм</v>
      </c>
      <c r="C452" s="177"/>
      <c r="D452" s="256">
        <f>Products!E2328</f>
        <v>1060</v>
      </c>
      <c r="E452" s="257">
        <f>Products!G2328</f>
        <v>1380</v>
      </c>
      <c r="F452" s="256">
        <f>Products!I2328</f>
        <v>1230</v>
      </c>
      <c r="G452" s="301">
        <f>Products!K2328</f>
        <v>1610</v>
      </c>
      <c r="H452" s="256">
        <f>Products!M2328</f>
        <v>1290</v>
      </c>
      <c r="I452" s="256">
        <f>Products!O2328</f>
        <v>1690.0000000000002</v>
      </c>
      <c r="J452" s="366">
        <f>Products!Q2328</f>
        <v>1400</v>
      </c>
      <c r="K452" s="367">
        <f>Products!S2328</f>
        <v>1820</v>
      </c>
      <c r="L452" s="366">
        <f>Products!U2328</f>
        <v>1470</v>
      </c>
      <c r="M452" s="367">
        <f>Products!W2328</f>
        <v>1910</v>
      </c>
    </row>
    <row r="453" spans="1:13">
      <c r="A453" s="31"/>
      <c r="B453" s="16" t="str">
        <f>Products!B2329</f>
        <v>Планка (1 к-т) 160 мм</v>
      </c>
      <c r="C453" s="180"/>
      <c r="D453" s="265">
        <f>Products!E2329</f>
        <v>1810.0000000000002</v>
      </c>
      <c r="E453" s="186">
        <f>Products!G2329</f>
        <v>2350</v>
      </c>
      <c r="F453" s="300">
        <f>Products!I2329</f>
        <v>2090</v>
      </c>
      <c r="G453" s="259">
        <f>Products!K2329</f>
        <v>2730</v>
      </c>
      <c r="H453" s="303">
        <f>Products!M2329</f>
        <v>2230</v>
      </c>
      <c r="I453" s="303">
        <f>Products!O2329</f>
        <v>2890</v>
      </c>
      <c r="J453" s="372">
        <f>Products!Q2329</f>
        <v>2360</v>
      </c>
      <c r="K453" s="373">
        <f>Products!S2329</f>
        <v>3090</v>
      </c>
      <c r="L453" s="372">
        <f>Products!U2329</f>
        <v>2560</v>
      </c>
      <c r="M453" s="373">
        <f>Products!W2329</f>
        <v>3310</v>
      </c>
    </row>
    <row r="454" spans="1:13">
      <c r="A454" s="31"/>
      <c r="B454" s="23" t="str">
        <f>Products!B2330</f>
        <v>Планка (1 к-т) 200 мм</v>
      </c>
      <c r="C454" s="285"/>
      <c r="D454" s="260">
        <f>Products!E2330</f>
        <v>2200</v>
      </c>
      <c r="E454" s="261">
        <f>Products!G2330</f>
        <v>2860</v>
      </c>
      <c r="F454" s="260">
        <f>Products!I2330</f>
        <v>2540.0000000000005</v>
      </c>
      <c r="G454" s="302">
        <f>Products!K2330</f>
        <v>3300</v>
      </c>
      <c r="H454" s="260">
        <f>Products!M2330</f>
        <v>2730</v>
      </c>
      <c r="I454" s="260">
        <f>Products!O2330</f>
        <v>3540</v>
      </c>
      <c r="J454" s="368">
        <f>Products!Q2330</f>
        <v>2870.0000000000005</v>
      </c>
      <c r="K454" s="369">
        <f>Products!S2330</f>
        <v>3730</v>
      </c>
      <c r="L454" s="368">
        <f>Products!U2330</f>
        <v>3120</v>
      </c>
      <c r="M454" s="369">
        <f>Products!W2330</f>
        <v>4060</v>
      </c>
    </row>
    <row r="455" spans="1:13">
      <c r="C455" s="34"/>
      <c r="D455" s="232"/>
      <c r="E455" s="232"/>
      <c r="F455" s="233"/>
      <c r="G455" s="233"/>
      <c r="H455" s="234"/>
      <c r="I455" s="234"/>
      <c r="J455" s="378"/>
      <c r="K455" s="378"/>
      <c r="L455" s="379"/>
      <c r="M455" s="379"/>
    </row>
    <row r="456" spans="1:13">
      <c r="B456" s="226"/>
      <c r="C456" s="231" t="str">
        <f>Products!B2334</f>
        <v>третя завіса</v>
      </c>
      <c r="D456" s="195">
        <f>Products!E2334</f>
        <v>80</v>
      </c>
      <c r="E456" s="34"/>
      <c r="H456" s="145"/>
      <c r="I456" s="145"/>
      <c r="J456" s="374"/>
      <c r="K456" s="374"/>
      <c r="L456" s="353"/>
      <c r="M456" s="353"/>
    </row>
    <row r="457" spans="1:13" s="31" customFormat="1">
      <c r="A457" s="33"/>
      <c r="B457" s="33"/>
      <c r="C457" s="34"/>
      <c r="D457" s="34"/>
      <c r="E457" s="34"/>
      <c r="F457" s="33"/>
      <c r="G457" s="33"/>
      <c r="H457" s="145"/>
      <c r="I457" s="145"/>
      <c r="J457" s="374"/>
      <c r="K457" s="374"/>
      <c r="L457" s="353"/>
      <c r="M457" s="353"/>
    </row>
    <row r="458" spans="1:13">
      <c r="A458" s="31"/>
      <c r="B458" s="572" t="str">
        <f>TITLE!$C$46</f>
        <v>Дверна коробка Verto-FIT Plus</v>
      </c>
      <c r="C458" s="573"/>
      <c r="D458" s="573"/>
      <c r="E458" s="573"/>
      <c r="F458" s="295" t="str">
        <f>Products!E2385</f>
        <v>Для Дверних Полотен з Фальцем</v>
      </c>
      <c r="G458" s="170"/>
      <c r="H458" s="170"/>
      <c r="I458" s="170"/>
      <c r="J458" s="343"/>
      <c r="K458" s="343"/>
      <c r="L458" s="355"/>
      <c r="M458" s="356"/>
    </row>
    <row r="459" spans="1:13" ht="27" customHeight="1">
      <c r="A459" s="31"/>
      <c r="B459" s="568" t="str">
        <f>Products!B2387</f>
        <v>модель</v>
      </c>
      <c r="C459" s="156" t="str">
        <f>Products!C2387</f>
        <v>покриття:</v>
      </c>
      <c r="D459" s="523" t="str">
        <f>Products!D2387</f>
        <v>SIMPLEX / VERTO-CELL</v>
      </c>
      <c r="E459" s="524"/>
      <c r="F459" s="523" t="str">
        <f>Products!H2387</f>
        <v>UNI-MAT</v>
      </c>
      <c r="G459" s="524"/>
      <c r="H459" s="523" t="str">
        <f>Products!L2387</f>
        <v>RESIST</v>
      </c>
      <c r="I459" s="524"/>
      <c r="J459" s="523" t="str">
        <f>Products!P2387</f>
        <v>Verto LINE-3D</v>
      </c>
      <c r="K459" s="524"/>
      <c r="L459" s="523" t="str">
        <f>Products!T2387</f>
        <v>ЕКО Шпон / LOFT</v>
      </c>
      <c r="M459" s="524"/>
    </row>
    <row r="460" spans="1:13">
      <c r="A460" s="31"/>
      <c r="B460" s="569"/>
      <c r="C460" s="158" t="str">
        <f>Products!C2388</f>
        <v>виконання:</v>
      </c>
      <c r="D460" s="255" t="str">
        <f>Products!D2388</f>
        <v>одностулкове</v>
      </c>
      <c r="E460" s="263" t="str">
        <f>Products!F2388</f>
        <v>двостулкові</v>
      </c>
      <c r="F460" s="255" t="str">
        <f>Products!H2388</f>
        <v>одностулкове</v>
      </c>
      <c r="G460" s="263" t="str">
        <f>Products!J2388</f>
        <v>двостулкові</v>
      </c>
      <c r="H460" s="255" t="str">
        <f>Products!L2388</f>
        <v>одностулкове</v>
      </c>
      <c r="I460" s="255" t="str">
        <f>Products!N2388</f>
        <v>двостулкові</v>
      </c>
      <c r="J460" s="255" t="str">
        <f>Products!P2388</f>
        <v>одностулкове</v>
      </c>
      <c r="K460" s="263" t="str">
        <f>Products!R2388</f>
        <v>двостулкові</v>
      </c>
      <c r="L460" s="255" t="str">
        <f>Products!T2388</f>
        <v>одностулкове</v>
      </c>
      <c r="M460" s="263" t="str">
        <f>Products!V2388</f>
        <v>двостулкові</v>
      </c>
    </row>
    <row r="461" spans="1:13">
      <c r="A461" s="31"/>
      <c r="B461" s="13" t="str">
        <f>Products!B2389</f>
        <v>A (75 - 95 мм)</v>
      </c>
      <c r="C461" s="179"/>
      <c r="D461" s="256">
        <f>Products!E2389</f>
        <v>3320.0000000000005</v>
      </c>
      <c r="E461" s="257">
        <f>Products!G2389</f>
        <v>4660</v>
      </c>
      <c r="F461" s="256">
        <f>Products!I2389</f>
        <v>3820</v>
      </c>
      <c r="G461" s="257">
        <f>Products!K2389</f>
        <v>5350.0000000000009</v>
      </c>
      <c r="H461" s="256">
        <f>Products!M2389</f>
        <v>4060</v>
      </c>
      <c r="I461" s="256">
        <f>Products!O2389</f>
        <v>5690</v>
      </c>
      <c r="J461" s="366">
        <f>Products!Q2389</f>
        <v>4340</v>
      </c>
      <c r="K461" s="367">
        <f>Products!S2389</f>
        <v>6080</v>
      </c>
      <c r="L461" s="366">
        <f>Products!U2389</f>
        <v>4660</v>
      </c>
      <c r="M461" s="367">
        <f>Products!W2389</f>
        <v>6520.0000000000009</v>
      </c>
    </row>
    <row r="462" spans="1:13">
      <c r="A462" s="31"/>
      <c r="B462" s="16" t="str">
        <f>Products!B2390</f>
        <v>B (95 - 115 мм)</v>
      </c>
      <c r="C462" s="180"/>
      <c r="D462" s="258">
        <f>Products!E2390</f>
        <v>3500.0000000000005</v>
      </c>
      <c r="E462" s="259">
        <f>Products!G2390</f>
        <v>4900</v>
      </c>
      <c r="F462" s="258">
        <f>Products!I2390</f>
        <v>4040</v>
      </c>
      <c r="G462" s="259">
        <f>Products!K2390</f>
        <v>5650.0000000000009</v>
      </c>
      <c r="H462" s="258">
        <f>Products!M2390</f>
        <v>4270</v>
      </c>
      <c r="I462" s="258">
        <f>Products!O2390</f>
        <v>5980.0000000000009</v>
      </c>
      <c r="J462" s="375">
        <f>Products!Q2390</f>
        <v>4580</v>
      </c>
      <c r="K462" s="376">
        <f>Products!S2390</f>
        <v>6410</v>
      </c>
      <c r="L462" s="375">
        <f>Products!U2390</f>
        <v>4890</v>
      </c>
      <c r="M462" s="376">
        <f>Products!W2390</f>
        <v>6850.0000000000009</v>
      </c>
    </row>
    <row r="463" spans="1:13">
      <c r="A463" s="31"/>
      <c r="B463" s="16" t="str">
        <f>Products!B2391</f>
        <v>B+ (100 - 120 мм)</v>
      </c>
      <c r="C463" s="180"/>
      <c r="D463" s="258">
        <f>Products!E2391</f>
        <v>3600</v>
      </c>
      <c r="E463" s="259">
        <f>Products!G2391</f>
        <v>5050.0000000000009</v>
      </c>
      <c r="F463" s="258">
        <f>Products!I2391</f>
        <v>4150</v>
      </c>
      <c r="G463" s="259">
        <f>Products!K2391</f>
        <v>5810</v>
      </c>
      <c r="H463" s="258">
        <f>Products!M2391</f>
        <v>4390</v>
      </c>
      <c r="I463" s="258">
        <f>Products!O2391</f>
        <v>6140</v>
      </c>
      <c r="J463" s="375">
        <f>Products!Q2391</f>
        <v>4680</v>
      </c>
      <c r="K463" s="376">
        <f>Products!S2391</f>
        <v>6540</v>
      </c>
      <c r="L463" s="375">
        <f>Products!U2391</f>
        <v>5020.0000000000009</v>
      </c>
      <c r="M463" s="376">
        <f>Products!W2391</f>
        <v>7030.0000000000009</v>
      </c>
    </row>
    <row r="464" spans="1:13">
      <c r="A464" s="31"/>
      <c r="B464" s="16" t="str">
        <f>Products!B2392</f>
        <v>C (120 - 140 мм)</v>
      </c>
      <c r="C464" s="180"/>
      <c r="D464" s="258">
        <f>Products!E2392</f>
        <v>3690</v>
      </c>
      <c r="E464" s="259">
        <f>Products!G2392</f>
        <v>5150</v>
      </c>
      <c r="F464" s="258">
        <f>Products!I2392</f>
        <v>4240</v>
      </c>
      <c r="G464" s="259">
        <f>Products!K2392</f>
        <v>5940</v>
      </c>
      <c r="H464" s="258">
        <f>Products!M2392</f>
        <v>4490</v>
      </c>
      <c r="I464" s="258">
        <f>Products!O2392</f>
        <v>6290</v>
      </c>
      <c r="J464" s="375">
        <f>Products!Q2392</f>
        <v>4800</v>
      </c>
      <c r="K464" s="376">
        <f>Products!S2392</f>
        <v>6720</v>
      </c>
      <c r="L464" s="375">
        <f>Products!U2392</f>
        <v>5150</v>
      </c>
      <c r="M464" s="376">
        <f>Products!W2392</f>
        <v>7210.0000000000009</v>
      </c>
    </row>
    <row r="465" spans="1:13">
      <c r="A465" s="31"/>
      <c r="B465" s="16" t="str">
        <f>Products!B2393</f>
        <v>D (140 - 160 мм)</v>
      </c>
      <c r="C465" s="180"/>
      <c r="D465" s="258">
        <f>Products!E2393</f>
        <v>3890</v>
      </c>
      <c r="E465" s="259">
        <f>Products!G2393</f>
        <v>5450</v>
      </c>
      <c r="F465" s="258">
        <f>Products!I2393</f>
        <v>4480</v>
      </c>
      <c r="G465" s="259">
        <f>Products!K2393</f>
        <v>6260</v>
      </c>
      <c r="H465" s="258">
        <f>Products!M2393</f>
        <v>4690</v>
      </c>
      <c r="I465" s="258">
        <f>Products!O2393</f>
        <v>6670.0000000000009</v>
      </c>
      <c r="J465" s="375">
        <f>Products!Q2393</f>
        <v>5020.0000000000009</v>
      </c>
      <c r="K465" s="376">
        <f>Products!S2393</f>
        <v>7030.0000000000009</v>
      </c>
      <c r="L465" s="375">
        <f>Products!U2393</f>
        <v>5400</v>
      </c>
      <c r="M465" s="376">
        <f>Products!W2393</f>
        <v>7560</v>
      </c>
    </row>
    <row r="466" spans="1:13">
      <c r="A466" s="31"/>
      <c r="B466" s="16" t="str">
        <f>Products!B2394</f>
        <v>E (160 - 180 мм)</v>
      </c>
      <c r="C466" s="180"/>
      <c r="D466" s="258">
        <f>Products!E2394</f>
        <v>4060</v>
      </c>
      <c r="E466" s="259">
        <f>Products!G2394</f>
        <v>5670</v>
      </c>
      <c r="F466" s="258">
        <f>Products!I2394</f>
        <v>4670</v>
      </c>
      <c r="G466" s="259">
        <f>Products!K2394</f>
        <v>6530</v>
      </c>
      <c r="H466" s="258">
        <f>Products!M2394</f>
        <v>4900</v>
      </c>
      <c r="I466" s="258">
        <f>Products!O2394</f>
        <v>6870</v>
      </c>
      <c r="J466" s="375">
        <f>Products!Q2394</f>
        <v>5240</v>
      </c>
      <c r="K466" s="376">
        <f>Products!S2394</f>
        <v>7330.0000000000009</v>
      </c>
      <c r="L466" s="375">
        <f>Products!U2394</f>
        <v>5660</v>
      </c>
      <c r="M466" s="376">
        <f>Products!W2394</f>
        <v>7921</v>
      </c>
    </row>
    <row r="467" spans="1:13">
      <c r="A467" s="31"/>
      <c r="B467" s="16" t="str">
        <f>Products!B2395</f>
        <v>F (180 - 200 мм)</v>
      </c>
      <c r="C467" s="180"/>
      <c r="D467" s="258">
        <f>Products!E2395</f>
        <v>4260</v>
      </c>
      <c r="E467" s="259">
        <f>Products!G2395</f>
        <v>5950.0000000000009</v>
      </c>
      <c r="F467" s="258">
        <f>Products!I2395</f>
        <v>4890</v>
      </c>
      <c r="G467" s="259">
        <f>Products!K2395</f>
        <v>6840</v>
      </c>
      <c r="H467" s="258">
        <f>Products!M2395</f>
        <v>5130</v>
      </c>
      <c r="I467" s="258">
        <f>Products!O2395</f>
        <v>7190</v>
      </c>
      <c r="J467" s="375">
        <f>Products!Q2395</f>
        <v>5480</v>
      </c>
      <c r="K467" s="376">
        <f>Products!S2395</f>
        <v>7670</v>
      </c>
      <c r="L467" s="375">
        <f>Products!U2395</f>
        <v>5910</v>
      </c>
      <c r="M467" s="376">
        <f>Products!W2395</f>
        <v>8270</v>
      </c>
    </row>
    <row r="468" spans="1:13">
      <c r="A468" s="31"/>
      <c r="B468" s="16" t="str">
        <f>Products!B2396</f>
        <v>G (200 - 220 мм)</v>
      </c>
      <c r="C468" s="180"/>
      <c r="D468" s="258">
        <f>Products!E2396</f>
        <v>4430</v>
      </c>
      <c r="E468" s="259">
        <f>Products!G2396</f>
        <v>6200</v>
      </c>
      <c r="F468" s="258">
        <f>Products!I2396</f>
        <v>5100</v>
      </c>
      <c r="G468" s="259">
        <f>Products!K2396</f>
        <v>7130</v>
      </c>
      <c r="H468" s="258">
        <f>Products!M2396</f>
        <v>5340</v>
      </c>
      <c r="I468" s="258">
        <f>Products!O2396</f>
        <v>7470</v>
      </c>
      <c r="J468" s="375">
        <f>Products!Q2396</f>
        <v>5710.0000000000009</v>
      </c>
      <c r="K468" s="376">
        <f>Products!S2396</f>
        <v>7990</v>
      </c>
      <c r="L468" s="375">
        <f>Products!U2396</f>
        <v>6170</v>
      </c>
      <c r="M468" s="376">
        <f>Products!W2396</f>
        <v>8630</v>
      </c>
    </row>
    <row r="469" spans="1:13">
      <c r="A469" s="31"/>
      <c r="B469" s="16" t="str">
        <f>Products!B2397</f>
        <v>H (220 - 240 мм)</v>
      </c>
      <c r="C469" s="180"/>
      <c r="D469" s="258">
        <f>Products!E2397</f>
        <v>4610</v>
      </c>
      <c r="E469" s="259">
        <f>Products!G2397</f>
        <v>6450</v>
      </c>
      <c r="F469" s="258">
        <f>Products!I2397</f>
        <v>5300</v>
      </c>
      <c r="G469" s="259">
        <f>Products!K2397</f>
        <v>7430</v>
      </c>
      <c r="H469" s="258">
        <f>Products!M2397</f>
        <v>5550</v>
      </c>
      <c r="I469" s="258">
        <f>Products!O2397</f>
        <v>7770</v>
      </c>
      <c r="J469" s="375">
        <f>Products!Q2397</f>
        <v>5920.0000000000009</v>
      </c>
      <c r="K469" s="376">
        <f>Products!S2397</f>
        <v>8290</v>
      </c>
      <c r="L469" s="375">
        <f>Products!U2397</f>
        <v>6420</v>
      </c>
      <c r="M469" s="376">
        <f>Products!W2397</f>
        <v>8980</v>
      </c>
    </row>
    <row r="470" spans="1:13">
      <c r="A470" s="31"/>
      <c r="B470" s="23" t="str">
        <f>Products!B2398</f>
        <v>I (240 - 260 мм)</v>
      </c>
      <c r="C470" s="178"/>
      <c r="D470" s="260">
        <f>Products!E2398</f>
        <v>4800</v>
      </c>
      <c r="E470" s="261">
        <f>Products!G2398</f>
        <v>6730.0000000000009</v>
      </c>
      <c r="F470" s="260">
        <f>Products!I2398</f>
        <v>5530.0000000000009</v>
      </c>
      <c r="G470" s="261">
        <f>Products!K2398</f>
        <v>7740</v>
      </c>
      <c r="H470" s="260">
        <f>Products!M2398</f>
        <v>5750</v>
      </c>
      <c r="I470" s="260">
        <f>Products!O2398</f>
        <v>8060</v>
      </c>
      <c r="J470" s="368">
        <f>Products!Q2398</f>
        <v>6160.0000000000009</v>
      </c>
      <c r="K470" s="369">
        <f>Products!S2398</f>
        <v>8620</v>
      </c>
      <c r="L470" s="368">
        <f>Products!U2398</f>
        <v>6680</v>
      </c>
      <c r="M470" s="369">
        <f>Products!W2398</f>
        <v>9350</v>
      </c>
    </row>
    <row r="471" spans="1:13">
      <c r="C471" s="34"/>
      <c r="D471" s="232"/>
      <c r="E471" s="232"/>
      <c r="F471" s="233"/>
      <c r="G471" s="233"/>
      <c r="H471" s="234"/>
      <c r="I471" s="234"/>
      <c r="J471" s="378"/>
      <c r="K471" s="378"/>
      <c r="L471" s="379"/>
      <c r="M471" s="379"/>
    </row>
    <row r="472" spans="1:13" s="31" customFormat="1">
      <c r="A472" s="33"/>
      <c r="B472" s="226"/>
      <c r="C472" s="231" t="str">
        <f>Products!B2402</f>
        <v>третя завіса</v>
      </c>
      <c r="D472" s="195">
        <f>Products!E2402</f>
        <v>80</v>
      </c>
      <c r="E472" s="34"/>
      <c r="F472" s="33"/>
      <c r="G472" s="33"/>
      <c r="H472" s="145"/>
      <c r="I472" s="145"/>
      <c r="J472" s="374"/>
      <c r="K472" s="374"/>
      <c r="L472" s="353"/>
      <c r="M472" s="353"/>
    </row>
    <row r="473" spans="1:13">
      <c r="C473" s="34"/>
      <c r="D473" s="34"/>
      <c r="E473" s="34"/>
      <c r="H473" s="145"/>
      <c r="I473" s="145"/>
      <c r="J473" s="374"/>
      <c r="K473" s="374"/>
      <c r="L473" s="353"/>
      <c r="M473" s="353"/>
    </row>
    <row r="474" spans="1:13" ht="12.75" customHeight="1">
      <c r="A474" s="31"/>
      <c r="B474" s="572" t="str">
        <f>TITLE!$C$47</f>
        <v>Дверна коробка Verto-FIT Comfort</v>
      </c>
      <c r="C474" s="573"/>
      <c r="D474" s="573"/>
      <c r="E474" s="573"/>
      <c r="F474" s="295" t="str">
        <f>Products!E2453</f>
        <v>Для Дверних Полотен без Фальця</v>
      </c>
      <c r="G474" s="170"/>
      <c r="H474" s="170"/>
      <c r="I474" s="170"/>
      <c r="J474" s="343"/>
      <c r="K474" s="343"/>
      <c r="L474" s="355"/>
      <c r="M474" s="356"/>
    </row>
    <row r="475" spans="1:13" ht="24.75" customHeight="1">
      <c r="A475" s="31"/>
      <c r="B475" s="568" t="str">
        <f>Products!B2455</f>
        <v>модель</v>
      </c>
      <c r="C475" s="156" t="str">
        <f>Products!C2455</f>
        <v>покриття:</v>
      </c>
      <c r="D475" s="523" t="str">
        <f>Products!D2455</f>
        <v xml:space="preserve">SIMPLEX / VERTO-CELL </v>
      </c>
      <c r="E475" s="524"/>
      <c r="F475" s="523" t="str">
        <f>Products!H2455</f>
        <v>UNI-MAT</v>
      </c>
      <c r="G475" s="524"/>
      <c r="H475" s="523" t="str">
        <f>Products!L2455</f>
        <v>RESIST</v>
      </c>
      <c r="I475" s="524"/>
      <c r="J475" s="523" t="str">
        <f>Products!P2455</f>
        <v>Verto LINE-3D</v>
      </c>
      <c r="K475" s="524"/>
      <c r="L475" s="523" t="str">
        <f>Products!T2455</f>
        <v>ЕКО Шпон / LOFT</v>
      </c>
      <c r="M475" s="524"/>
    </row>
    <row r="476" spans="1:13">
      <c r="A476" s="31"/>
      <c r="B476" s="569"/>
      <c r="C476" s="158" t="str">
        <f>Products!C2456</f>
        <v>виконання:</v>
      </c>
      <c r="D476" s="255" t="str">
        <f>Products!D2456</f>
        <v>одностулкове</v>
      </c>
      <c r="E476" s="263"/>
      <c r="F476" s="255" t="str">
        <f>Products!H2456</f>
        <v>одностулкове</v>
      </c>
      <c r="G476" s="263"/>
      <c r="H476" s="255" t="str">
        <f>Products!L2456</f>
        <v>одностулкове</v>
      </c>
      <c r="I476" s="255"/>
      <c r="J476" s="255" t="str">
        <f>Products!P2456</f>
        <v>одностулкове</v>
      </c>
      <c r="K476" s="263"/>
      <c r="L476" s="255" t="str">
        <f>Products!T2456</f>
        <v>одностулкове</v>
      </c>
      <c r="M476" s="263"/>
    </row>
    <row r="477" spans="1:13">
      <c r="A477" s="31"/>
      <c r="B477" s="13" t="str">
        <f>Products!B2457</f>
        <v>A (75 - 95 мм)</v>
      </c>
      <c r="C477" s="179"/>
      <c r="D477" s="256">
        <f>Products!E2457</f>
        <v>3570</v>
      </c>
      <c r="E477" s="257"/>
      <c r="F477" s="256">
        <f>Products!I2457</f>
        <v>4100</v>
      </c>
      <c r="G477" s="257"/>
      <c r="H477" s="256">
        <f>Products!M2457</f>
        <v>4320</v>
      </c>
      <c r="I477" s="256"/>
      <c r="J477" s="366">
        <f>Products!Q2457</f>
        <v>4610</v>
      </c>
      <c r="K477" s="367"/>
      <c r="L477" s="366">
        <f>Products!U2457</f>
        <v>4930.0000000000009</v>
      </c>
      <c r="M477" s="367"/>
    </row>
    <row r="478" spans="1:13">
      <c r="A478" s="31"/>
      <c r="B478" s="16" t="str">
        <f>Products!B2458</f>
        <v>B (95 - 115 мм)</v>
      </c>
      <c r="C478" s="180"/>
      <c r="D478" s="258">
        <f>Products!E2458</f>
        <v>3740</v>
      </c>
      <c r="E478" s="259"/>
      <c r="F478" s="258">
        <f>Products!I2458</f>
        <v>4310</v>
      </c>
      <c r="G478" s="259"/>
      <c r="H478" s="258">
        <f>Products!M2458</f>
        <v>4520</v>
      </c>
      <c r="I478" s="258"/>
      <c r="J478" s="375">
        <f>Products!Q2458</f>
        <v>4840</v>
      </c>
      <c r="K478" s="376"/>
      <c r="L478" s="375">
        <f>Products!U2458</f>
        <v>5170.0000000000009</v>
      </c>
      <c r="M478" s="376"/>
    </row>
    <row r="479" spans="1:13">
      <c r="A479" s="31"/>
      <c r="B479" s="16" t="str">
        <f>Products!B2459</f>
        <v>B+ (115 - 135 мм)</v>
      </c>
      <c r="C479" s="180"/>
      <c r="D479" s="258">
        <f>Products!E2459</f>
        <v>3820</v>
      </c>
      <c r="E479" s="259"/>
      <c r="F479" s="258">
        <f>Products!I2459</f>
        <v>4400</v>
      </c>
      <c r="G479" s="259"/>
      <c r="H479" s="258">
        <f>Products!M2459</f>
        <v>4630</v>
      </c>
      <c r="I479" s="258"/>
      <c r="J479" s="375">
        <f>Products!Q2459</f>
        <v>4950</v>
      </c>
      <c r="K479" s="376"/>
      <c r="L479" s="375">
        <f>Products!U2459</f>
        <v>5280</v>
      </c>
      <c r="M479" s="376"/>
    </row>
    <row r="480" spans="1:13">
      <c r="A480" s="31"/>
      <c r="B480" s="16" t="str">
        <f>Products!B2460</f>
        <v>C (120 - 140 мм)</v>
      </c>
      <c r="C480" s="180"/>
      <c r="D480" s="258">
        <f>Products!E2460</f>
        <v>3910</v>
      </c>
      <c r="E480" s="259"/>
      <c r="F480" s="258">
        <f>Products!I2460</f>
        <v>4500</v>
      </c>
      <c r="G480" s="259"/>
      <c r="H480" s="258">
        <f>Products!M2460</f>
        <v>4710</v>
      </c>
      <c r="I480" s="258"/>
      <c r="J480" s="375">
        <f>Products!Q2460</f>
        <v>5060</v>
      </c>
      <c r="K480" s="376"/>
      <c r="L480" s="375">
        <f>Products!U2460</f>
        <v>5400</v>
      </c>
      <c r="M480" s="376"/>
    </row>
    <row r="481" spans="1:13">
      <c r="A481" s="31"/>
      <c r="B481" s="16" t="str">
        <f>Products!B2461</f>
        <v>D (140 - 160 мм)</v>
      </c>
      <c r="C481" s="180"/>
      <c r="D481" s="258">
        <f>Products!E2461</f>
        <v>4080</v>
      </c>
      <c r="E481" s="259"/>
      <c r="F481" s="258">
        <f>Products!I2461</f>
        <v>4690</v>
      </c>
      <c r="G481" s="259"/>
      <c r="H481" s="258">
        <f>Products!M2461</f>
        <v>4930.0000000000009</v>
      </c>
      <c r="I481" s="258"/>
      <c r="J481" s="375">
        <f>Products!Q2461</f>
        <v>5290.0000000000009</v>
      </c>
      <c r="K481" s="376"/>
      <c r="L481" s="375">
        <f>Products!U2461</f>
        <v>5650.0000000000009</v>
      </c>
      <c r="M481" s="376"/>
    </row>
    <row r="482" spans="1:13">
      <c r="A482" s="31"/>
      <c r="B482" s="16" t="str">
        <f>Products!B2462</f>
        <v>E (160 - 180 мм)</v>
      </c>
      <c r="C482" s="180"/>
      <c r="D482" s="258">
        <f>Products!E2462</f>
        <v>4250</v>
      </c>
      <c r="E482" s="259"/>
      <c r="F482" s="258">
        <f>Products!I2462</f>
        <v>4880</v>
      </c>
      <c r="G482" s="259"/>
      <c r="H482" s="258">
        <f>Products!M2462</f>
        <v>5140.0000000000009</v>
      </c>
      <c r="I482" s="258"/>
      <c r="J482" s="375">
        <f>Products!Q2462</f>
        <v>5520</v>
      </c>
      <c r="K482" s="376"/>
      <c r="L482" s="375">
        <f>Products!U2462</f>
        <v>5890.0000000000009</v>
      </c>
      <c r="M482" s="376"/>
    </row>
    <row r="483" spans="1:13">
      <c r="A483" s="31"/>
      <c r="B483" s="16" t="str">
        <f>Products!B2463</f>
        <v>F (180 - 200 мм)</v>
      </c>
      <c r="C483" s="180"/>
      <c r="D483" s="258">
        <f>Products!E2463</f>
        <v>4420</v>
      </c>
      <c r="E483" s="259"/>
      <c r="F483" s="258">
        <f>Products!I2463</f>
        <v>5090</v>
      </c>
      <c r="G483" s="259"/>
      <c r="H483" s="258">
        <f>Products!M2463</f>
        <v>5350.0000000000009</v>
      </c>
      <c r="I483" s="258"/>
      <c r="J483" s="375">
        <f>Products!Q2463</f>
        <v>5740.0000000000009</v>
      </c>
      <c r="K483" s="376"/>
      <c r="L483" s="375">
        <f>Products!U2463</f>
        <v>6140</v>
      </c>
      <c r="M483" s="376"/>
    </row>
    <row r="484" spans="1:13">
      <c r="A484" s="31"/>
      <c r="B484" s="16" t="str">
        <f>Products!B2464</f>
        <v>G (200 - 220 мм)</v>
      </c>
      <c r="C484" s="180"/>
      <c r="D484" s="258">
        <f>Products!E2464</f>
        <v>4590</v>
      </c>
      <c r="E484" s="259"/>
      <c r="F484" s="258">
        <f>Products!I2464</f>
        <v>5280</v>
      </c>
      <c r="G484" s="259"/>
      <c r="H484" s="258">
        <f>Products!M2464</f>
        <v>5560.0000000000009</v>
      </c>
      <c r="I484" s="258"/>
      <c r="J484" s="375">
        <f>Products!Q2464</f>
        <v>5970</v>
      </c>
      <c r="K484" s="376"/>
      <c r="L484" s="375">
        <f>Products!U2464</f>
        <v>6370.0000000000009</v>
      </c>
      <c r="M484" s="376"/>
    </row>
    <row r="485" spans="1:13">
      <c r="A485" s="31"/>
      <c r="B485" s="16" t="str">
        <f>Products!B2465</f>
        <v>H (220 - 240 мм)</v>
      </c>
      <c r="C485" s="180"/>
      <c r="D485" s="258">
        <f>Products!E2465</f>
        <v>4760</v>
      </c>
      <c r="E485" s="259"/>
      <c r="F485" s="258">
        <f>Products!I2465</f>
        <v>5470.0000000000009</v>
      </c>
      <c r="G485" s="259"/>
      <c r="H485" s="258">
        <f>Products!M2465</f>
        <v>5760</v>
      </c>
      <c r="I485" s="258"/>
      <c r="J485" s="375">
        <f>Products!Q2465</f>
        <v>6190.0000000000009</v>
      </c>
      <c r="K485" s="376"/>
      <c r="L485" s="375">
        <f>Products!U2465</f>
        <v>6600</v>
      </c>
      <c r="M485" s="376"/>
    </row>
    <row r="486" spans="1:13">
      <c r="A486" s="31"/>
      <c r="B486" s="23" t="str">
        <f>Products!B2466</f>
        <v>I (240 - 260 мм)</v>
      </c>
      <c r="C486" s="178"/>
      <c r="D486" s="260">
        <f>Products!E2466</f>
        <v>4930.0000000000009</v>
      </c>
      <c r="E486" s="261"/>
      <c r="F486" s="260">
        <f>Products!I2466</f>
        <v>5660</v>
      </c>
      <c r="G486" s="261"/>
      <c r="H486" s="260">
        <f>Products!M2466</f>
        <v>5990</v>
      </c>
      <c r="I486" s="260"/>
      <c r="J486" s="368">
        <f>Products!Q2466</f>
        <v>6420</v>
      </c>
      <c r="K486" s="369"/>
      <c r="L486" s="368">
        <f>Products!U2466</f>
        <v>6850.0000000000009</v>
      </c>
      <c r="M486" s="369"/>
    </row>
    <row r="487" spans="1:13">
      <c r="A487" s="145"/>
      <c r="B487" s="54" t="str">
        <f>Products!B2510</f>
        <v>ПЛАНКИ РЕГУЛЮВАЛЬНІ</v>
      </c>
      <c r="C487" s="55"/>
      <c r="D487" s="579" t="str">
        <f>Products!E2469</f>
        <v>Для Дверних Коробок Verto-FIT  Comfort</v>
      </c>
      <c r="E487" s="579"/>
      <c r="F487" s="579"/>
      <c r="G487" s="579"/>
      <c r="H487" s="200"/>
      <c r="I487" s="200"/>
      <c r="J487" s="200"/>
      <c r="K487" s="200"/>
      <c r="L487" s="377"/>
      <c r="M487" s="377"/>
    </row>
    <row r="488" spans="1:13">
      <c r="A488" s="31"/>
      <c r="B488" s="13" t="str">
        <f>Products!B2511</f>
        <v>Планка (1 к-т) 80 мм</v>
      </c>
      <c r="C488" s="177"/>
      <c r="D488" s="256">
        <f>Products!E2511</f>
        <v>1190</v>
      </c>
      <c r="E488" s="257"/>
      <c r="F488" s="256">
        <f>Products!I2511</f>
        <v>1310</v>
      </c>
      <c r="G488" s="301"/>
      <c r="H488" s="256">
        <f>Products!M2511</f>
        <v>1390.0000000000002</v>
      </c>
      <c r="I488" s="256"/>
      <c r="J488" s="366">
        <f>Products!Q2470</f>
        <v>1470</v>
      </c>
      <c r="K488" s="367"/>
      <c r="L488" s="366">
        <f>Products!U2470</f>
        <v>1550</v>
      </c>
      <c r="M488" s="367"/>
    </row>
    <row r="489" spans="1:13">
      <c r="A489" s="31"/>
      <c r="B489" s="16" t="str">
        <f>Products!B2512</f>
        <v>Планка (1 к-т) 160 мм</v>
      </c>
      <c r="C489" s="180"/>
      <c r="D489" s="265">
        <f>Products!E2512</f>
        <v>1980</v>
      </c>
      <c r="E489" s="186"/>
      <c r="F489" s="300">
        <f>Products!I2512</f>
        <v>2250</v>
      </c>
      <c r="G489" s="259"/>
      <c r="H489" s="303">
        <f>Products!M2512</f>
        <v>2390</v>
      </c>
      <c r="I489" s="303"/>
      <c r="J489" s="372">
        <f>Products!Q2471</f>
        <v>2540.0000000000005</v>
      </c>
      <c r="K489" s="373"/>
      <c r="L489" s="372">
        <f>Products!U2471</f>
        <v>2690.0000000000005</v>
      </c>
      <c r="M489" s="373"/>
    </row>
    <row r="490" spans="1:13">
      <c r="A490" s="31"/>
      <c r="B490" s="23" t="str">
        <f>Products!B2513</f>
        <v>Планка (1 к-т) 200 мм</v>
      </c>
      <c r="C490" s="285"/>
      <c r="D490" s="260">
        <f>Products!E2513</f>
        <v>2360</v>
      </c>
      <c r="E490" s="261"/>
      <c r="F490" s="260">
        <f>Products!I2513</f>
        <v>2690.0000000000005</v>
      </c>
      <c r="G490" s="302"/>
      <c r="H490" s="260">
        <f>Products!M2513</f>
        <v>2870.0000000000005</v>
      </c>
      <c r="I490" s="260"/>
      <c r="J490" s="368">
        <f>Products!Q2472</f>
        <v>3030</v>
      </c>
      <c r="K490" s="369"/>
      <c r="L490" s="368">
        <f>Products!U2472</f>
        <v>3210</v>
      </c>
      <c r="M490" s="369"/>
    </row>
    <row r="491" spans="1:13">
      <c r="C491" s="34"/>
      <c r="D491" s="232"/>
      <c r="E491" s="232"/>
      <c r="F491" s="233"/>
      <c r="G491" s="233"/>
      <c r="H491" s="234"/>
      <c r="I491" s="234"/>
      <c r="J491" s="378"/>
      <c r="K491" s="378"/>
      <c r="L491" s="379"/>
      <c r="M491" s="379"/>
    </row>
    <row r="492" spans="1:13" s="31" customFormat="1">
      <c r="A492" s="33"/>
      <c r="B492" s="226"/>
      <c r="C492" s="231" t="str">
        <f>Products!B2476</f>
        <v>прихована 3D завіса хром/чорн.</v>
      </c>
      <c r="D492" s="195">
        <f>Products!E2476</f>
        <v>890.00000000000011</v>
      </c>
      <c r="E492" s="34"/>
      <c r="F492" s="33"/>
      <c r="G492" s="33"/>
      <c r="H492" s="145"/>
      <c r="I492" s="145"/>
      <c r="J492" s="374"/>
      <c r="K492" s="374"/>
      <c r="L492" s="353"/>
      <c r="M492" s="353"/>
    </row>
    <row r="493" spans="1:13" s="31" customFormat="1">
      <c r="A493" s="33"/>
      <c r="B493" s="458"/>
      <c r="C493" s="459"/>
      <c r="D493" s="199"/>
      <c r="E493" s="34"/>
      <c r="F493" s="33"/>
      <c r="G493" s="33"/>
      <c r="H493" s="145"/>
      <c r="I493" s="145"/>
      <c r="J493" s="374"/>
      <c r="K493" s="374"/>
      <c r="L493" s="353"/>
      <c r="M493" s="353"/>
    </row>
    <row r="494" spans="1:13" s="31" customFormat="1">
      <c r="A494" s="33"/>
      <c r="B494" s="572" t="str">
        <f>Products!B2495</f>
        <v>Дверна коробка Verto-FIT Comfort Inside</v>
      </c>
      <c r="C494" s="573"/>
      <c r="D494" s="573"/>
      <c r="E494" s="573"/>
      <c r="F494" s="295" t="str">
        <f>Products!E2495</f>
        <v>Для Дверних Полотен Внутрішнього відкривання</v>
      </c>
      <c r="G494" s="170"/>
      <c r="H494" s="170"/>
      <c r="I494" s="460"/>
    </row>
    <row r="495" spans="1:13" s="31" customFormat="1">
      <c r="A495" s="33"/>
      <c r="B495" s="568" t="str">
        <f>Products!B2497</f>
        <v>модель</v>
      </c>
      <c r="C495" s="156" t="str">
        <f>Products!C2497</f>
        <v>покриття:</v>
      </c>
      <c r="D495" s="523" t="str">
        <f>Products!D2497</f>
        <v xml:space="preserve">SIMPLEX / VERTO-CELL </v>
      </c>
      <c r="E495" s="524"/>
      <c r="F495" s="523" t="str">
        <f>Products!H2497</f>
        <v>UNI-MAT</v>
      </c>
      <c r="G495" s="524"/>
      <c r="H495" s="523" t="str">
        <f>Products!L2497</f>
        <v>RESIST</v>
      </c>
      <c r="I495" s="524"/>
    </row>
    <row r="496" spans="1:13" s="31" customFormat="1">
      <c r="A496" s="33"/>
      <c r="B496" s="569"/>
      <c r="C496" s="158" t="str">
        <f>Products!C2498</f>
        <v>виконання:</v>
      </c>
      <c r="D496" s="255" t="str">
        <f>Products!D2498</f>
        <v>одностулкове</v>
      </c>
      <c r="E496" s="263"/>
      <c r="F496" s="255" t="str">
        <f>Products!H2498</f>
        <v>одностулкове</v>
      </c>
      <c r="G496" s="263"/>
      <c r="H496" s="255" t="str">
        <f>Products!L2498</f>
        <v>одностулкове</v>
      </c>
      <c r="I496" s="161"/>
    </row>
    <row r="497" spans="1:13" s="31" customFormat="1">
      <c r="A497" s="33"/>
      <c r="B497" s="13" t="str">
        <f>Products!B2499</f>
        <v>A (75 - 95 мм)</v>
      </c>
      <c r="C497" s="179"/>
      <c r="D497" s="256">
        <f>Products!E2499</f>
        <v>3490</v>
      </c>
      <c r="E497" s="257"/>
      <c r="F497" s="256">
        <f>Products!I2499</f>
        <v>4010</v>
      </c>
      <c r="G497" s="257"/>
      <c r="H497" s="256">
        <f>Products!M2499</f>
        <v>4260</v>
      </c>
      <c r="I497" s="183"/>
    </row>
    <row r="498" spans="1:13" s="31" customFormat="1">
      <c r="A498" s="33"/>
      <c r="B498" s="16" t="str">
        <f>Products!B2500</f>
        <v>B (95 - 115 мм)</v>
      </c>
      <c r="C498" s="180"/>
      <c r="D498" s="258">
        <f>Products!E2500</f>
        <v>3680.0000000000005</v>
      </c>
      <c r="E498" s="259"/>
      <c r="F498" s="258">
        <f>Products!I2500</f>
        <v>4240</v>
      </c>
      <c r="G498" s="259"/>
      <c r="H498" s="258">
        <f>Products!M2500</f>
        <v>4480</v>
      </c>
      <c r="I498" s="185"/>
    </row>
    <row r="499" spans="1:13" s="31" customFormat="1">
      <c r="A499" s="33"/>
      <c r="B499" s="16" t="str">
        <f>Products!B2501</f>
        <v>B+ (100 - 120 мм)</v>
      </c>
      <c r="C499" s="180"/>
      <c r="D499" s="258">
        <f>Products!E2501</f>
        <v>3780</v>
      </c>
      <c r="E499" s="259"/>
      <c r="F499" s="258">
        <f>Products!I2501</f>
        <v>4360</v>
      </c>
      <c r="G499" s="259"/>
      <c r="H499" s="258">
        <f>Products!M2501</f>
        <v>4610</v>
      </c>
      <c r="I499" s="185"/>
    </row>
    <row r="500" spans="1:13" s="31" customFormat="1">
      <c r="A500" s="33"/>
      <c r="B500" s="16" t="str">
        <f>Products!B2502</f>
        <v>C (120 - 140 мм)</v>
      </c>
      <c r="C500" s="180"/>
      <c r="D500" s="258">
        <f>Products!E2502</f>
        <v>3870</v>
      </c>
      <c r="E500" s="259"/>
      <c r="F500" s="258">
        <f>Products!I2502</f>
        <v>4450</v>
      </c>
      <c r="G500" s="259"/>
      <c r="H500" s="258">
        <f>Products!M2502</f>
        <v>4710</v>
      </c>
      <c r="I500" s="185"/>
    </row>
    <row r="501" spans="1:13" s="31" customFormat="1">
      <c r="A501" s="33"/>
      <c r="B501" s="16" t="str">
        <f>Products!B2503</f>
        <v>D (140 - 160 мм)</v>
      </c>
      <c r="C501" s="180"/>
      <c r="D501" s="258">
        <f>Products!E2503</f>
        <v>4080</v>
      </c>
      <c r="E501" s="259"/>
      <c r="F501" s="258">
        <f>Products!I2503</f>
        <v>4700</v>
      </c>
      <c r="G501" s="259"/>
      <c r="H501" s="258">
        <f>Products!M2503</f>
        <v>4920</v>
      </c>
      <c r="I501" s="185"/>
    </row>
    <row r="502" spans="1:13" s="31" customFormat="1">
      <c r="A502" s="33"/>
      <c r="B502" s="16" t="str">
        <f>Products!B2504</f>
        <v>E (160 - 180 мм)</v>
      </c>
      <c r="C502" s="180"/>
      <c r="D502" s="258">
        <f>Products!E2504</f>
        <v>4260</v>
      </c>
      <c r="E502" s="259"/>
      <c r="F502" s="258">
        <f>Products!I2504</f>
        <v>4900</v>
      </c>
      <c r="G502" s="259"/>
      <c r="H502" s="258">
        <f>Products!M2504</f>
        <v>5140.0000000000009</v>
      </c>
      <c r="I502" s="185"/>
    </row>
    <row r="503" spans="1:13" s="31" customFormat="1">
      <c r="A503" s="33"/>
      <c r="B503" s="16" t="str">
        <f>Products!B2505</f>
        <v>F (180 - 200 мм)</v>
      </c>
      <c r="C503" s="180"/>
      <c r="D503" s="258">
        <f>Products!E2505</f>
        <v>4470</v>
      </c>
      <c r="E503" s="259"/>
      <c r="F503" s="258">
        <f>Products!I2505</f>
        <v>5130</v>
      </c>
      <c r="G503" s="259"/>
      <c r="H503" s="258">
        <f>Products!M2505</f>
        <v>5390</v>
      </c>
      <c r="I503" s="185"/>
    </row>
    <row r="504" spans="1:13" s="31" customFormat="1">
      <c r="A504" s="33"/>
      <c r="B504" s="16" t="str">
        <f>Products!B2506</f>
        <v>G (200 - 220 мм)</v>
      </c>
      <c r="C504" s="180"/>
      <c r="D504" s="258">
        <f>Products!E2506</f>
        <v>4650</v>
      </c>
      <c r="E504" s="259"/>
      <c r="F504" s="258">
        <f>Products!I2506</f>
        <v>5360</v>
      </c>
      <c r="G504" s="259"/>
      <c r="H504" s="258">
        <f>Products!M2506</f>
        <v>5610</v>
      </c>
      <c r="I504" s="185"/>
    </row>
    <row r="505" spans="1:13" s="31" customFormat="1">
      <c r="A505" s="33"/>
      <c r="B505" s="23" t="str">
        <f>Products!B2507</f>
        <v>H (220 - 240 мм)</v>
      </c>
      <c r="C505" s="178"/>
      <c r="D505" s="260">
        <f>Products!E2507</f>
        <v>4840</v>
      </c>
      <c r="E505" s="261"/>
      <c r="F505" s="260">
        <f>Products!I2507</f>
        <v>5570</v>
      </c>
      <c r="G505" s="261"/>
      <c r="H505" s="260">
        <f>Products!M2507</f>
        <v>5830.0000000000009</v>
      </c>
      <c r="I505" s="187"/>
    </row>
    <row r="506" spans="1:13" s="31" customFormat="1">
      <c r="A506" s="33"/>
      <c r="B506" s="54" t="str">
        <f>Products!B2510</f>
        <v>ПЛАНКИ РЕГУЛЮВАЛЬНІ</v>
      </c>
      <c r="C506" s="55"/>
      <c r="D506" s="566" t="str">
        <f>Products!E2510</f>
        <v>Для Дверних Коробок Verto-FIT Comfort Inside</v>
      </c>
      <c r="E506" s="566"/>
      <c r="F506" s="566"/>
      <c r="G506" s="566"/>
      <c r="H506" s="200"/>
      <c r="I506" s="200"/>
      <c r="J506" s="200"/>
      <c r="K506" s="200"/>
      <c r="L506" s="377"/>
      <c r="M506" s="377"/>
    </row>
    <row r="507" spans="1:13" s="31" customFormat="1">
      <c r="A507" s="33"/>
      <c r="B507" s="13" t="str">
        <f>Products!B2511</f>
        <v>Планка (1 к-т) 80 мм</v>
      </c>
      <c r="C507" s="177"/>
      <c r="D507" s="256">
        <f>Products!E2511</f>
        <v>1190</v>
      </c>
      <c r="E507" s="257"/>
      <c r="F507" s="256">
        <f>Products!I2511</f>
        <v>1310</v>
      </c>
      <c r="G507" s="301"/>
      <c r="H507" s="461">
        <f>Products!M2511</f>
        <v>1390.0000000000002</v>
      </c>
      <c r="I507" s="183"/>
    </row>
    <row r="508" spans="1:13" s="31" customFormat="1">
      <c r="A508" s="33"/>
      <c r="B508" s="16" t="str">
        <f>Products!B2512</f>
        <v>Планка (1 к-т) 160 мм</v>
      </c>
      <c r="C508" s="180"/>
      <c r="D508" s="265">
        <f>Products!E2512</f>
        <v>1980</v>
      </c>
      <c r="E508" s="186"/>
      <c r="F508" s="300">
        <f>Products!I2512</f>
        <v>2250</v>
      </c>
      <c r="G508" s="259"/>
      <c r="H508" s="192">
        <f>Products!M2512</f>
        <v>2390</v>
      </c>
      <c r="I508" s="185"/>
    </row>
    <row r="509" spans="1:13" s="31" customFormat="1">
      <c r="A509" s="33"/>
      <c r="B509" s="23" t="str">
        <f>Products!B2513</f>
        <v>Планка (1 к-т) 200 мм</v>
      </c>
      <c r="C509" s="285"/>
      <c r="D509" s="260">
        <f>Products!E2513</f>
        <v>2360</v>
      </c>
      <c r="E509" s="261"/>
      <c r="F509" s="260">
        <f>Products!I2513</f>
        <v>2690.0000000000005</v>
      </c>
      <c r="G509" s="302"/>
      <c r="H509" s="330">
        <f>Products!M2513</f>
        <v>2870.0000000000005</v>
      </c>
      <c r="I509" s="187"/>
    </row>
    <row r="510" spans="1:13" s="31" customFormat="1">
      <c r="A510" s="33"/>
      <c r="B510" s="33"/>
      <c r="C510" s="34"/>
      <c r="D510" s="232"/>
      <c r="E510" s="232"/>
      <c r="F510" s="233"/>
      <c r="G510" s="233"/>
      <c r="H510" s="234"/>
      <c r="I510" s="234"/>
      <c r="J510" s="378"/>
      <c r="K510" s="378"/>
      <c r="L510" s="379"/>
      <c r="M510" s="379"/>
    </row>
    <row r="511" spans="1:13" s="31" customFormat="1">
      <c r="A511" s="33"/>
      <c r="B511" s="226"/>
      <c r="C511" s="231" t="str">
        <f>Products!B2517</f>
        <v>прихована 3D завіса Cemom хром/чорн.</v>
      </c>
      <c r="D511" s="195">
        <f>Products!E2517</f>
        <v>1500</v>
      </c>
      <c r="E511" s="34"/>
      <c r="F511" s="33"/>
      <c r="G511" s="33"/>
      <c r="H511" s="145"/>
      <c r="I511" s="145"/>
      <c r="J511" s="374"/>
      <c r="K511" s="374"/>
      <c r="L511" s="353"/>
      <c r="M511" s="353"/>
    </row>
    <row r="512" spans="1:13" ht="12.75" customHeight="1">
      <c r="C512" s="34"/>
      <c r="D512" s="34"/>
      <c r="E512" s="34"/>
      <c r="H512" s="145"/>
      <c r="I512" s="145"/>
      <c r="J512" s="374"/>
      <c r="K512" s="374"/>
      <c r="L512" s="353"/>
      <c r="M512" s="353"/>
    </row>
    <row r="513" spans="1:13" s="31" customFormat="1">
      <c r="B513" s="572" t="str">
        <f>Products!B2603</f>
        <v>Плінтуси</v>
      </c>
      <c r="C513" s="573"/>
      <c r="D513" s="573"/>
      <c r="E513" s="573"/>
      <c r="F513" s="170"/>
      <c r="G513" s="170"/>
      <c r="H513" s="170"/>
      <c r="I513" s="170"/>
      <c r="J513" s="343"/>
      <c r="K513" s="343"/>
      <c r="L513" s="355"/>
      <c r="M513" s="356"/>
    </row>
    <row r="514" spans="1:13" s="31" customFormat="1">
      <c r="B514" s="567" t="str">
        <f>Products!B2605</f>
        <v>модель</v>
      </c>
      <c r="C514" s="172" t="str">
        <f>Products!C2605</f>
        <v>покриття:</v>
      </c>
      <c r="D514" s="167" t="str">
        <f>Products!D2605</f>
        <v>SIMPL / V-CELL</v>
      </c>
      <c r="E514" s="167" t="str">
        <f>Products!F2605</f>
        <v>UNI-MAT</v>
      </c>
      <c r="F514" s="167" t="str">
        <f>Products!H2605</f>
        <v>RESIST</v>
      </c>
      <c r="G514" s="167" t="str">
        <f>Products!J2605</f>
        <v>Verto LINE-3D</v>
      </c>
      <c r="H514" s="167" t="str">
        <f>Products!L2605</f>
        <v>ЕКО Шпон / LOFT</v>
      </c>
      <c r="I514" s="47"/>
      <c r="J514" s="340"/>
      <c r="K514" s="580" t="str">
        <f>Products!B2610</f>
        <v>Замовлення на Плінтус приймаються в кількості від 8 шт.</v>
      </c>
      <c r="L514" s="580">
        <f>Products!C2675</f>
        <v>0</v>
      </c>
      <c r="M514" s="580">
        <f>Products!E2675</f>
        <v>1490</v>
      </c>
    </row>
    <row r="515" spans="1:13" s="31" customFormat="1">
      <c r="B515" s="569"/>
      <c r="C515" s="126" t="str">
        <f>Products!C2606</f>
        <v>виконання:</v>
      </c>
      <c r="D515" s="161" t="str">
        <f>Products!D2606</f>
        <v>за 1 шт.</v>
      </c>
      <c r="E515" s="161" t="str">
        <f>Products!F2606</f>
        <v>за 1 шт.</v>
      </c>
      <c r="F515" s="161" t="str">
        <f>Products!H2606</f>
        <v>за 1 шт.</v>
      </c>
      <c r="G515" s="161" t="str">
        <f>Products!J2606</f>
        <v>за 1 шт.</v>
      </c>
      <c r="H515" s="161" t="str">
        <f>Products!L2606</f>
        <v>за 1 шт.</v>
      </c>
      <c r="I515" s="47"/>
      <c r="J515" s="47"/>
      <c r="K515" s="380"/>
      <c r="L515" s="380"/>
      <c r="M515" s="201"/>
    </row>
    <row r="516" spans="1:13" s="31" customFormat="1">
      <c r="B516" s="13" t="str">
        <f>Products!B2607</f>
        <v>Плінтус 60 мм</v>
      </c>
      <c r="C516" s="179"/>
      <c r="D516" s="318">
        <f>Products!E2607</f>
        <v>320</v>
      </c>
      <c r="E516" s="318">
        <f>Products!G2607</f>
        <v>350</v>
      </c>
      <c r="F516" s="318">
        <f>Products!I2607</f>
        <v>410</v>
      </c>
      <c r="G516" s="318">
        <f>Products!K2607</f>
        <v>430.00000000000006</v>
      </c>
      <c r="H516" s="318">
        <f>Products!M2607</f>
        <v>450</v>
      </c>
      <c r="I516" s="29"/>
      <c r="J516" s="29"/>
      <c r="K516" s="29"/>
      <c r="L516" s="380"/>
      <c r="M516" s="201"/>
    </row>
    <row r="517" spans="1:13" s="31" customFormat="1">
      <c r="B517" s="23" t="str">
        <f>Products!B2608</f>
        <v>Плінтус 80 мм</v>
      </c>
      <c r="C517" s="178"/>
      <c r="D517" s="319">
        <f>Products!E2608</f>
        <v>360</v>
      </c>
      <c r="E517" s="319">
        <f>Products!G2608</f>
        <v>430.00000000000006</v>
      </c>
      <c r="F517" s="319">
        <f>Products!I2608</f>
        <v>450</v>
      </c>
      <c r="G517" s="319">
        <f>Products!K2608</f>
        <v>510</v>
      </c>
      <c r="H517" s="319">
        <f>Products!M2608</f>
        <v>570</v>
      </c>
      <c r="I517" s="200"/>
      <c r="J517" s="200"/>
      <c r="K517" s="29"/>
      <c r="L517" s="380"/>
      <c r="M517" s="201"/>
    </row>
    <row r="518" spans="1:13" ht="12.75" customHeight="1">
      <c r="C518" s="34"/>
      <c r="D518" s="34"/>
      <c r="E518" s="34"/>
      <c r="H518" s="145"/>
      <c r="I518" s="145"/>
      <c r="J518" s="374"/>
      <c r="K518" s="374"/>
      <c r="L518" s="353"/>
      <c r="M518" s="353"/>
    </row>
    <row r="519" spans="1:13" ht="12.75" customHeight="1">
      <c r="A519" s="31"/>
      <c r="B519" s="572" t="str">
        <f>TITLE!$C$50</f>
        <v>Фрамуги</v>
      </c>
      <c r="C519" s="573"/>
      <c r="D519" s="573"/>
      <c r="E519" s="573"/>
      <c r="F519" s="170"/>
      <c r="G519" s="170"/>
      <c r="H519" s="170"/>
      <c r="I519" s="170"/>
      <c r="J519" s="343"/>
      <c r="K519" s="343"/>
      <c r="L519" s="355"/>
      <c r="M519" s="356"/>
    </row>
    <row r="520" spans="1:13" s="145" customFormat="1" ht="24.75" customHeight="1">
      <c r="A520" s="31"/>
      <c r="B520" s="567" t="str">
        <f>Products!B2663</f>
        <v>модель</v>
      </c>
      <c r="C520" s="172" t="str">
        <f>Products!C2663</f>
        <v>покриття:</v>
      </c>
      <c r="D520" s="167" t="str">
        <f>Products!D2663</f>
        <v>SIMPL / V-CELL / V-C Plus</v>
      </c>
      <c r="E520" s="167" t="str">
        <f>Products!F2663</f>
        <v>UNI-MAT</v>
      </c>
      <c r="F520" s="167" t="str">
        <f>Products!H2663</f>
        <v>RESIST</v>
      </c>
      <c r="G520" s="167" t="str">
        <f>Products!J2663</f>
        <v>Verto LINE-3D</v>
      </c>
      <c r="H520" s="167" t="str">
        <f>Products!L2663</f>
        <v>ЕКО Шпон / LOFT</v>
      </c>
      <c r="I520" s="47"/>
      <c r="J520" s="47"/>
      <c r="K520" s="381" t="str">
        <f>Products!B2681</f>
        <v>Вид скління:</v>
      </c>
      <c r="L520" s="342" t="str">
        <f>Products!C2681</f>
        <v>Фільонка</v>
      </c>
      <c r="M520" s="358">
        <f>Products!E2681</f>
        <v>1220</v>
      </c>
    </row>
    <row r="521" spans="1:13">
      <c r="A521" s="31"/>
      <c r="B521" s="569"/>
      <c r="C521" s="126" t="str">
        <f>Products!C2664</f>
        <v>виконання:</v>
      </c>
      <c r="D521" s="161" t="str">
        <f>Products!D2664</f>
        <v>за 1 пг.м</v>
      </c>
      <c r="E521" s="161" t="str">
        <f>Products!F2664</f>
        <v>за 1 пг.м</v>
      </c>
      <c r="F521" s="161" t="str">
        <f>Products!H2664</f>
        <v>за 1 пг.м</v>
      </c>
      <c r="G521" s="161" t="str">
        <f>Products!J2664</f>
        <v>за 1 пг.м</v>
      </c>
      <c r="H521" s="161" t="str">
        <f>Products!L2664</f>
        <v>за 1 пг.м</v>
      </c>
      <c r="I521" s="47"/>
      <c r="J521" s="47"/>
      <c r="K521" s="181"/>
      <c r="L521" s="342" t="str">
        <f>Products!C2682</f>
        <v>Сатин</v>
      </c>
      <c r="M521" s="349">
        <f>Products!E2682</f>
        <v>1120</v>
      </c>
    </row>
    <row r="522" spans="1:13" s="145" customFormat="1">
      <c r="B522" s="54" t="str">
        <f>Products!B2665</f>
        <v>ФРАМУГА STANDART</v>
      </c>
      <c r="C522" s="55"/>
      <c r="D522" s="29"/>
      <c r="E522" s="29"/>
      <c r="F522" s="29"/>
      <c r="G522" s="29"/>
      <c r="H522" s="29"/>
      <c r="I522" s="29"/>
      <c r="J522" s="29"/>
      <c r="K522" s="181"/>
      <c r="L522" s="342" t="str">
        <f>Products!C2683</f>
        <v>Графіт</v>
      </c>
      <c r="M522" s="349">
        <f>Products!E2683</f>
        <v>1530</v>
      </c>
    </row>
    <row r="523" spans="1:13">
      <c r="A523" s="31"/>
      <c r="B523" s="49" t="str">
        <f>Products!B2666</f>
        <v>Фрамуга дерево 80 мм</v>
      </c>
      <c r="C523" s="50"/>
      <c r="D523" s="198">
        <f>Products!E2666</f>
        <v>750</v>
      </c>
      <c r="E523" s="198">
        <f>Products!G2666</f>
        <v>840</v>
      </c>
      <c r="F523" s="198">
        <f>Products!I2666</f>
        <v>880</v>
      </c>
      <c r="G523" s="198">
        <f>Products!K2666</f>
        <v>960</v>
      </c>
      <c r="H523" s="198">
        <f>Products!M2666</f>
        <v>1060</v>
      </c>
      <c r="I523" s="200"/>
      <c r="J523" s="200"/>
      <c r="K523" s="181"/>
      <c r="L523" s="342" t="str">
        <f>Products!C2684</f>
        <v>Бронза</v>
      </c>
      <c r="M523" s="349">
        <f>Products!E2684</f>
        <v>1530</v>
      </c>
    </row>
    <row r="524" spans="1:13">
      <c r="A524" s="145"/>
      <c r="B524" s="54" t="str">
        <f>Products!B2667</f>
        <v>ФРАМУГА VERTO-FIT</v>
      </c>
      <c r="C524" s="55"/>
      <c r="D524" s="199"/>
      <c r="E524" s="199"/>
      <c r="F524" s="199"/>
      <c r="G524" s="199"/>
      <c r="H524" s="199"/>
      <c r="I524" s="200"/>
      <c r="J524" s="200"/>
      <c r="K524" s="181"/>
      <c r="L524" s="342" t="str">
        <f>Products!C2685</f>
        <v>Малюнок</v>
      </c>
      <c r="M524" s="349">
        <f>Products!E2685</f>
        <v>1360.0000000000002</v>
      </c>
    </row>
    <row r="525" spans="1:13">
      <c r="A525" s="31"/>
      <c r="B525" s="13" t="str">
        <f>Products!B2668</f>
        <v>A (75 - 95 мм)</v>
      </c>
      <c r="C525" s="179"/>
      <c r="D525" s="184">
        <f>Products!E2668</f>
        <v>980</v>
      </c>
      <c r="E525" s="184">
        <f>Products!G2668</f>
        <v>1130</v>
      </c>
      <c r="F525" s="184">
        <f>Products!I2668</f>
        <v>1190</v>
      </c>
      <c r="G525" s="184">
        <f>Products!K2668</f>
        <v>1260</v>
      </c>
      <c r="H525" s="184">
        <f>Products!M2668</f>
        <v>1350</v>
      </c>
      <c r="I525" s="201"/>
      <c r="J525" s="201"/>
      <c r="K525" s="181"/>
      <c r="L525" s="342" t="str">
        <f>Products!C2686</f>
        <v>Дзеркало</v>
      </c>
      <c r="M525" s="354">
        <f>Products!E2686</f>
        <v>1640</v>
      </c>
    </row>
    <row r="526" spans="1:13">
      <c r="A526" s="31"/>
      <c r="B526" s="16" t="str">
        <f>Products!B2669</f>
        <v>B (95 - 115 мм)</v>
      </c>
      <c r="C526" s="180"/>
      <c r="D526" s="186">
        <f>Products!E2669</f>
        <v>1060</v>
      </c>
      <c r="E526" s="186">
        <f>Products!G2669</f>
        <v>1220</v>
      </c>
      <c r="F526" s="186">
        <f>Products!I2669</f>
        <v>1310</v>
      </c>
      <c r="G526" s="186">
        <f>Products!K2669</f>
        <v>1370</v>
      </c>
      <c r="H526" s="186">
        <f>Products!M2669</f>
        <v>1480.0000000000002</v>
      </c>
      <c r="I526" s="201"/>
      <c r="J526" s="201"/>
    </row>
    <row r="527" spans="1:13">
      <c r="A527" s="31"/>
      <c r="B527" s="16" t="str">
        <f>Products!B2670</f>
        <v>B+ (100 - 120 мм)</v>
      </c>
      <c r="C527" s="180"/>
      <c r="D527" s="186">
        <f>Products!E2670</f>
        <v>1100</v>
      </c>
      <c r="E527" s="186">
        <f>Products!G2670</f>
        <v>1270.0000000000002</v>
      </c>
      <c r="F527" s="186">
        <f>Products!I2670</f>
        <v>1360.0000000000002</v>
      </c>
      <c r="G527" s="186">
        <f>Products!K2670</f>
        <v>1430</v>
      </c>
      <c r="H527" s="186">
        <f>Products!M2670</f>
        <v>1550</v>
      </c>
      <c r="I527" s="201"/>
      <c r="J527" s="201"/>
    </row>
    <row r="528" spans="1:13">
      <c r="A528" s="31"/>
      <c r="B528" s="16" t="str">
        <f>Products!B2671</f>
        <v>C (120 - 140 мм)</v>
      </c>
      <c r="C528" s="180"/>
      <c r="D528" s="186">
        <f>Products!E2671</f>
        <v>1150</v>
      </c>
      <c r="E528" s="186">
        <f>Products!G2671</f>
        <v>1320</v>
      </c>
      <c r="F528" s="186">
        <f>Products!I2671</f>
        <v>1410</v>
      </c>
      <c r="G528" s="186">
        <f>Products!K2671</f>
        <v>1490</v>
      </c>
      <c r="H528" s="186">
        <f>Products!M2671</f>
        <v>1590</v>
      </c>
      <c r="I528" s="201"/>
      <c r="J528" s="201"/>
      <c r="K528" s="29"/>
      <c r="L528" s="380"/>
      <c r="M528" s="201"/>
    </row>
    <row r="529" spans="1:13">
      <c r="A529" s="31"/>
      <c r="B529" s="16" t="str">
        <f>Products!B2672</f>
        <v>D (140 - 160 мм)</v>
      </c>
      <c r="C529" s="180"/>
      <c r="D529" s="186">
        <f>Products!E2672</f>
        <v>1230</v>
      </c>
      <c r="E529" s="186">
        <f>Products!G2672</f>
        <v>1410</v>
      </c>
      <c r="F529" s="186">
        <f>Products!I2672</f>
        <v>1530</v>
      </c>
      <c r="G529" s="186">
        <f>Products!K2672</f>
        <v>1610</v>
      </c>
      <c r="H529" s="186">
        <f>Products!M2672</f>
        <v>1730</v>
      </c>
      <c r="I529" s="201"/>
      <c r="J529" s="201"/>
      <c r="K529" s="353"/>
      <c r="L529" s="353"/>
      <c r="M529" s="353"/>
    </row>
    <row r="530" spans="1:13">
      <c r="A530" s="31"/>
      <c r="B530" s="16" t="str">
        <f>Products!B2673</f>
        <v>E (160 - 180 мм)</v>
      </c>
      <c r="C530" s="180"/>
      <c r="D530" s="186">
        <f>Products!E2673</f>
        <v>1320</v>
      </c>
      <c r="E530" s="186">
        <f>Products!G2673</f>
        <v>1530</v>
      </c>
      <c r="F530" s="186">
        <f>Products!I2673</f>
        <v>1650</v>
      </c>
      <c r="G530" s="186">
        <f>Products!K2673</f>
        <v>1720.0000000000002</v>
      </c>
      <c r="H530" s="186">
        <f>Products!M2673</f>
        <v>1850</v>
      </c>
      <c r="I530" s="201"/>
      <c r="J530" s="201"/>
      <c r="K530" s="29"/>
      <c r="L530" s="363"/>
      <c r="M530" s="363"/>
    </row>
    <row r="531" spans="1:13">
      <c r="A531" s="31"/>
      <c r="B531" s="16" t="str">
        <f>Products!B2674</f>
        <v>F (180 - 200 мм)</v>
      </c>
      <c r="C531" s="180"/>
      <c r="D531" s="186">
        <f>Products!E2674</f>
        <v>1400</v>
      </c>
      <c r="E531" s="186">
        <f>Products!G2674</f>
        <v>1630.0000000000002</v>
      </c>
      <c r="F531" s="186">
        <f>Products!I2674</f>
        <v>1750.0000000000002</v>
      </c>
      <c r="G531" s="186">
        <f>Products!K2674</f>
        <v>1830</v>
      </c>
      <c r="H531" s="186">
        <f>Products!M2674</f>
        <v>1980</v>
      </c>
      <c r="I531" s="201"/>
      <c r="J531" s="201"/>
      <c r="K531" s="29"/>
      <c r="L531" s="363"/>
      <c r="M531" s="363"/>
    </row>
    <row r="532" spans="1:13">
      <c r="A532" s="31"/>
      <c r="B532" s="16" t="str">
        <f>Products!B2675</f>
        <v>G (200 - 220 мм)</v>
      </c>
      <c r="C532" s="180"/>
      <c r="D532" s="186">
        <f>Products!E2675</f>
        <v>1490</v>
      </c>
      <c r="E532" s="186">
        <f>Products!G2675</f>
        <v>1720.0000000000002</v>
      </c>
      <c r="F532" s="186">
        <f>Products!I2675</f>
        <v>1880</v>
      </c>
      <c r="G532" s="186">
        <f>Products!K2675</f>
        <v>1940</v>
      </c>
      <c r="H532" s="186">
        <f>Products!M2675</f>
        <v>2100</v>
      </c>
      <c r="I532" s="201"/>
      <c r="J532" s="201"/>
      <c r="K532" s="353"/>
      <c r="L532" s="363"/>
      <c r="M532" s="363"/>
    </row>
    <row r="533" spans="1:13">
      <c r="A533" s="31"/>
      <c r="B533" s="16" t="str">
        <f>Products!B2676</f>
        <v>H (220 - 240 мм)</v>
      </c>
      <c r="C533" s="180"/>
      <c r="D533" s="186">
        <f>Products!E2676</f>
        <v>1570.0000000000002</v>
      </c>
      <c r="E533" s="186">
        <f>Products!G2676</f>
        <v>1810.0000000000002</v>
      </c>
      <c r="F533" s="186">
        <f>Products!I2676</f>
        <v>1980</v>
      </c>
      <c r="G533" s="186">
        <f>Products!K2676</f>
        <v>2060</v>
      </c>
      <c r="H533" s="186">
        <f>Products!M2676</f>
        <v>2240</v>
      </c>
      <c r="I533" s="201"/>
      <c r="J533" s="201"/>
      <c r="K533" s="353"/>
      <c r="L533" s="363"/>
      <c r="M533" s="363"/>
    </row>
    <row r="534" spans="1:13" s="31" customFormat="1">
      <c r="B534" s="23" t="str">
        <f>Products!B2677</f>
        <v>I (240 - 260 мм)</v>
      </c>
      <c r="C534" s="178"/>
      <c r="D534" s="188">
        <f>Products!E2677</f>
        <v>1660.0000000000002</v>
      </c>
      <c r="E534" s="188">
        <f>Products!G2677</f>
        <v>1910</v>
      </c>
      <c r="F534" s="188">
        <f>Products!I2677</f>
        <v>2090</v>
      </c>
      <c r="G534" s="188">
        <f>Products!K2677</f>
        <v>2170</v>
      </c>
      <c r="H534" s="188">
        <f>Products!M2677</f>
        <v>2361</v>
      </c>
      <c r="I534" s="201"/>
      <c r="J534" s="201"/>
      <c r="K534" s="29"/>
      <c r="L534" s="363"/>
      <c r="M534" s="363"/>
    </row>
    <row r="535" spans="1:13" s="31" customFormat="1">
      <c r="B535" s="175"/>
      <c r="C535" s="315"/>
      <c r="D535" s="199"/>
      <c r="E535" s="199"/>
      <c r="F535" s="199"/>
      <c r="G535" s="199"/>
      <c r="H535" s="201"/>
      <c r="I535" s="201"/>
      <c r="J535" s="201"/>
      <c r="K535" s="29"/>
      <c r="L535" s="363"/>
      <c r="M535" s="363"/>
    </row>
    <row r="536" spans="1:13">
      <c r="A536" s="31"/>
      <c r="B536" s="572" t="str">
        <f>Products!B2737</f>
        <v>Дверні Ручки</v>
      </c>
      <c r="C536" s="573"/>
      <c r="D536" s="573"/>
      <c r="E536" s="573"/>
      <c r="F536" s="170"/>
      <c r="G536" s="170"/>
      <c r="H536" s="170"/>
      <c r="I536" s="170"/>
      <c r="J536" s="343"/>
      <c r="K536" s="343"/>
      <c r="L536" s="355"/>
      <c r="M536" s="356"/>
    </row>
    <row r="537" spans="1:13">
      <c r="A537" s="31"/>
      <c r="B537" s="61" t="str">
        <f>Products!B2739</f>
        <v>модель</v>
      </c>
      <c r="C537" s="12"/>
      <c r="D537" s="12" t="str">
        <f>Products!D2739</f>
        <v>див. каталог</v>
      </c>
      <c r="E537" s="59"/>
      <c r="F537" s="59"/>
      <c r="G537" s="47"/>
      <c r="H537" s="47"/>
      <c r="I537" s="47"/>
      <c r="J537" s="47"/>
      <c r="K537" s="47"/>
      <c r="L537" s="353"/>
      <c r="M537" s="353"/>
    </row>
    <row r="538" spans="1:13">
      <c r="A538" s="31"/>
      <c r="B538" s="13" t="str">
        <f>Products!B2740</f>
        <v>Ручка VERONA</v>
      </c>
      <c r="C538" s="98"/>
      <c r="D538" s="184">
        <f>Products!E2740</f>
        <v>3200.0000000000005</v>
      </c>
      <c r="E538" s="59"/>
      <c r="F538" s="59"/>
      <c r="G538" s="201"/>
      <c r="H538" s="59"/>
      <c r="I538" s="59"/>
      <c r="J538" s="59"/>
      <c r="K538" s="29"/>
      <c r="L538" s="363"/>
      <c r="M538" s="364"/>
    </row>
    <row r="539" spans="1:13">
      <c r="A539" s="31"/>
      <c r="B539" s="16" t="str">
        <f>Products!B2741</f>
        <v>Ручка MILANO</v>
      </c>
      <c r="C539" s="63"/>
      <c r="D539" s="186">
        <f>Products!E2741</f>
        <v>3200.0000000000005</v>
      </c>
      <c r="E539" s="59"/>
      <c r="F539" s="59"/>
      <c r="G539" s="201"/>
      <c r="H539" s="59"/>
      <c r="I539" s="59"/>
      <c r="J539" s="59"/>
      <c r="K539" s="29"/>
      <c r="L539" s="363"/>
      <c r="M539" s="363"/>
    </row>
    <row r="540" spans="1:13">
      <c r="A540" s="31"/>
      <c r="B540" s="16" t="str">
        <f>Products!B2742</f>
        <v>Ручка HANDY</v>
      </c>
      <c r="C540" s="63"/>
      <c r="D540" s="186">
        <f>Products!E2742</f>
        <v>1560</v>
      </c>
      <c r="E540" s="59"/>
      <c r="F540" s="59"/>
      <c r="G540" s="201"/>
      <c r="H540" s="59"/>
      <c r="I540" s="59"/>
      <c r="J540" s="59"/>
      <c r="K540" s="29"/>
      <c r="L540" s="363"/>
      <c r="M540" s="363"/>
    </row>
    <row r="541" spans="1:13">
      <c r="A541" s="31"/>
      <c r="B541" s="16" t="str">
        <f>Products!B2743</f>
        <v>Ручка PRIUS</v>
      </c>
      <c r="C541" s="63"/>
      <c r="D541" s="186">
        <f>Products!E2743</f>
        <v>1560</v>
      </c>
      <c r="E541" s="59"/>
      <c r="F541" s="59"/>
      <c r="G541" s="201"/>
      <c r="H541" s="59"/>
      <c r="I541" s="59"/>
      <c r="J541" s="59"/>
      <c r="K541" s="29"/>
      <c r="L541" s="363"/>
      <c r="M541" s="363"/>
    </row>
    <row r="542" spans="1:13" s="31" customFormat="1">
      <c r="B542" s="23" t="str">
        <f>Products!B2744</f>
        <v>Ручка OFFICE</v>
      </c>
      <c r="C542" s="67"/>
      <c r="D542" s="188">
        <f>Products!E2744</f>
        <v>750</v>
      </c>
      <c r="E542" s="59"/>
      <c r="F542" s="59"/>
      <c r="G542" s="201"/>
      <c r="H542" s="59"/>
      <c r="I542" s="59"/>
      <c r="J542" s="59"/>
      <c r="K542" s="29"/>
      <c r="L542" s="363"/>
      <c r="M542" s="363"/>
    </row>
    <row r="543" spans="1:13">
      <c r="C543" s="34"/>
      <c r="D543" s="34"/>
      <c r="E543" s="59"/>
      <c r="F543" s="59"/>
      <c r="J543" s="353"/>
      <c r="K543" s="353"/>
      <c r="L543" s="353"/>
      <c r="M543" s="353"/>
    </row>
    <row r="544" spans="1:13">
      <c r="A544" s="31"/>
      <c r="B544" s="572" t="str">
        <f>TITLE!$C$54</f>
        <v>Інші Аксесуари</v>
      </c>
      <c r="C544" s="573"/>
      <c r="D544" s="573"/>
      <c r="E544" s="573"/>
      <c r="F544" s="170"/>
      <c r="G544" s="170"/>
      <c r="H544" s="170"/>
      <c r="I544" s="170"/>
      <c r="J544" s="343"/>
      <c r="K544" s="343"/>
      <c r="L544" s="355"/>
      <c r="M544" s="356"/>
    </row>
    <row r="545" spans="1:13">
      <c r="A545" s="31"/>
      <c r="B545" s="61" t="str">
        <f>Products!B2797</f>
        <v>модель</v>
      </c>
      <c r="C545" s="12"/>
      <c r="D545" s="12" t="str">
        <f>Products!D2797</f>
        <v>Ціна</v>
      </c>
      <c r="E545" s="47"/>
      <c r="F545" s="47"/>
      <c r="G545" s="47"/>
      <c r="H545" s="47"/>
      <c r="I545" s="47"/>
      <c r="J545" s="47"/>
      <c r="K545" s="47"/>
      <c r="L545" s="353"/>
      <c r="M545" s="353"/>
    </row>
    <row r="546" spans="1:13">
      <c r="A546" s="31"/>
      <c r="B546" s="13" t="str">
        <f>Products!B2798</f>
        <v>Замок STANDARD</v>
      </c>
      <c r="C546" s="98"/>
      <c r="D546" s="184">
        <f>Products!E2798</f>
        <v>400.00000000000006</v>
      </c>
      <c r="E546" s="29"/>
      <c r="F546" s="29"/>
      <c r="G546" s="29"/>
      <c r="H546" s="59"/>
      <c r="I546" s="59"/>
      <c r="J546" s="59"/>
      <c r="K546" s="29"/>
      <c r="L546" s="363"/>
      <c r="M546" s="364"/>
    </row>
    <row r="547" spans="1:13">
      <c r="A547" s="31"/>
      <c r="B547" s="16" t="str">
        <f>Products!B2799</f>
        <v>завіса штирьова</v>
      </c>
      <c r="C547" s="63"/>
      <c r="D547" s="186">
        <f>Products!E2799</f>
        <v>120</v>
      </c>
      <c r="E547" s="29"/>
      <c r="F547" s="59"/>
      <c r="G547" s="29"/>
      <c r="H547" s="59"/>
      <c r="I547" s="59"/>
      <c r="J547" s="59"/>
      <c r="K547" s="29"/>
      <c r="L547" s="363"/>
      <c r="M547" s="363"/>
    </row>
    <row r="548" spans="1:13">
      <c r="A548" s="31"/>
      <c r="B548" s="16"/>
      <c r="C548" s="63"/>
      <c r="D548" s="186"/>
      <c r="E548" s="29"/>
      <c r="F548" s="59"/>
      <c r="G548" s="29"/>
      <c r="H548" s="59"/>
      <c r="I548" s="59"/>
      <c r="J548" s="59"/>
      <c r="K548" s="29"/>
      <c r="L548" s="363"/>
      <c r="M548" s="363"/>
    </row>
    <row r="549" spans="1:13">
      <c r="A549" s="31"/>
      <c r="B549" s="16" t="str">
        <f>Products!B2800</f>
        <v>відповідна планка</v>
      </c>
      <c r="C549" s="63"/>
      <c r="D549" s="186">
        <f>Products!E2800</f>
        <v>120</v>
      </c>
      <c r="E549" s="59"/>
      <c r="F549" s="59"/>
      <c r="G549" s="29"/>
      <c r="H549" s="59"/>
      <c r="I549" s="59"/>
      <c r="J549" s="59"/>
      <c r="K549" s="29"/>
      <c r="L549" s="363"/>
      <c r="M549" s="363"/>
    </row>
    <row r="550" spans="1:13">
      <c r="A550" s="31"/>
      <c r="B550" s="16"/>
      <c r="C550" s="63"/>
      <c r="D550" s="186"/>
      <c r="E550" s="29"/>
      <c r="F550" s="59"/>
      <c r="G550" s="29"/>
      <c r="H550" s="59"/>
      <c r="I550" s="59"/>
      <c r="J550" s="59"/>
      <c r="K550" s="29"/>
      <c r="L550" s="363"/>
      <c r="M550" s="363"/>
    </row>
    <row r="551" spans="1:13">
      <c r="A551" s="31"/>
      <c r="B551" s="23" t="str">
        <f>Products!B2801</f>
        <v>Шпінгалет</v>
      </c>
      <c r="C551" s="67"/>
      <c r="D551" s="188">
        <f>Products!E2801</f>
        <v>200.00000000000003</v>
      </c>
      <c r="E551" s="29"/>
      <c r="F551" s="59"/>
      <c r="G551" s="29"/>
      <c r="H551" s="59"/>
      <c r="I551" s="59"/>
      <c r="J551" s="59"/>
      <c r="K551" s="29"/>
      <c r="L551" s="363"/>
      <c r="M551" s="363"/>
    </row>
    <row r="552" spans="1:13">
      <c r="C552" s="34"/>
      <c r="D552" s="34"/>
      <c r="E552" s="34"/>
    </row>
    <row r="553" spans="1:13">
      <c r="C553" s="34"/>
      <c r="D553" s="34"/>
      <c r="E553" s="34"/>
    </row>
    <row r="554" spans="1:13">
      <c r="C554" s="34"/>
      <c r="D554" s="34"/>
      <c r="E554" s="34"/>
    </row>
    <row r="555" spans="1:13">
      <c r="C555" s="34"/>
      <c r="D555" s="34"/>
    </row>
  </sheetData>
  <sheetProtection password="D276" sheet="1" objects="1" scenarios="1" selectLockedCells="1" selectUnlockedCells="1"/>
  <mergeCells count="115">
    <mergeCell ref="B105:E105"/>
    <mergeCell ref="B106:B108"/>
    <mergeCell ref="D3:G3"/>
    <mergeCell ref="B356:B358"/>
    <mergeCell ref="B355:E355"/>
    <mergeCell ref="B118:E118"/>
    <mergeCell ref="B200:E200"/>
    <mergeCell ref="B215:E215"/>
    <mergeCell ref="B26:B28"/>
    <mergeCell ref="B40:E40"/>
    <mergeCell ref="D4:G4"/>
    <mergeCell ref="B6:C6"/>
    <mergeCell ref="B9:B11"/>
    <mergeCell ref="D6:M6"/>
    <mergeCell ref="B8:E8"/>
    <mergeCell ref="B25:E25"/>
    <mergeCell ref="B146:B148"/>
    <mergeCell ref="B132:B134"/>
    <mergeCell ref="B56:E56"/>
    <mergeCell ref="B343:B345"/>
    <mergeCell ref="B286:E286"/>
    <mergeCell ref="B41:B43"/>
    <mergeCell ref="B187:B189"/>
    <mergeCell ref="K514:M514"/>
    <mergeCell ref="L459:M459"/>
    <mergeCell ref="L475:M475"/>
    <mergeCell ref="B474:E474"/>
    <mergeCell ref="B475:B476"/>
    <mergeCell ref="D475:E475"/>
    <mergeCell ref="F475:G475"/>
    <mergeCell ref="H475:I475"/>
    <mergeCell ref="B172:E172"/>
    <mergeCell ref="J475:K475"/>
    <mergeCell ref="L400:M400"/>
    <mergeCell ref="B400:E400"/>
    <mergeCell ref="B369:B371"/>
    <mergeCell ref="B380:E380"/>
    <mergeCell ref="B408:E408"/>
    <mergeCell ref="B414:B415"/>
    <mergeCell ref="B368:E368"/>
    <mergeCell ref="D343:F343"/>
    <mergeCell ref="D414:E414"/>
    <mergeCell ref="B57:B59"/>
    <mergeCell ref="B273:B275"/>
    <mergeCell ref="B86:B88"/>
    <mergeCell ref="B231:B233"/>
    <mergeCell ref="B301:B303"/>
    <mergeCell ref="B329:B331"/>
    <mergeCell ref="B544:E544"/>
    <mergeCell ref="B519:E519"/>
    <mergeCell ref="D439:E439"/>
    <mergeCell ref="B439:B440"/>
    <mergeCell ref="B438:E438"/>
    <mergeCell ref="B520:B521"/>
    <mergeCell ref="B536:E536"/>
    <mergeCell ref="B459:B460"/>
    <mergeCell ref="D459:E459"/>
    <mergeCell ref="D487:G487"/>
    <mergeCell ref="D451:G451"/>
    <mergeCell ref="B513:E513"/>
    <mergeCell ref="B514:B515"/>
    <mergeCell ref="F459:G459"/>
    <mergeCell ref="B458:E458"/>
    <mergeCell ref="B494:E494"/>
    <mergeCell ref="B342:E342"/>
    <mergeCell ref="D495:E495"/>
    <mergeCell ref="F495:G495"/>
    <mergeCell ref="B495:B496"/>
    <mergeCell ref="B71:E71"/>
    <mergeCell ref="B72:B74"/>
    <mergeCell ref="B259:E259"/>
    <mergeCell ref="B260:B262"/>
    <mergeCell ref="B272:E272"/>
    <mergeCell ref="B173:B175"/>
    <mergeCell ref="B186:E186"/>
    <mergeCell ref="B131:E131"/>
    <mergeCell ref="B201:B203"/>
    <mergeCell ref="B245:B247"/>
    <mergeCell ref="B92:E92"/>
    <mergeCell ref="B93:B95"/>
    <mergeCell ref="B159:B161"/>
    <mergeCell ref="B145:E145"/>
    <mergeCell ref="B158:E158"/>
    <mergeCell ref="B119:B121"/>
    <mergeCell ref="B244:E244"/>
    <mergeCell ref="B85:E85"/>
    <mergeCell ref="B401:B403"/>
    <mergeCell ref="B390:E390"/>
    <mergeCell ref="D344:F344"/>
    <mergeCell ref="B216:B218"/>
    <mergeCell ref="B230:E230"/>
    <mergeCell ref="H495:I495"/>
    <mergeCell ref="D506:G506"/>
    <mergeCell ref="B391:B393"/>
    <mergeCell ref="B287:B289"/>
    <mergeCell ref="B328:E328"/>
    <mergeCell ref="B300:E300"/>
    <mergeCell ref="B381:B383"/>
    <mergeCell ref="L414:M414"/>
    <mergeCell ref="F414:G414"/>
    <mergeCell ref="J414:K414"/>
    <mergeCell ref="L439:M439"/>
    <mergeCell ref="F439:G439"/>
    <mergeCell ref="J439:K439"/>
    <mergeCell ref="H439:I439"/>
    <mergeCell ref="J459:K459"/>
    <mergeCell ref="H459:I459"/>
    <mergeCell ref="H414:I414"/>
    <mergeCell ref="B315:B317"/>
    <mergeCell ref="B413:E413"/>
    <mergeCell ref="B409:B410"/>
    <mergeCell ref="B314:E314"/>
    <mergeCell ref="B429:E429"/>
    <mergeCell ref="B430:B431"/>
    <mergeCell ref="D430:E430"/>
  </mergeCells>
  <phoneticPr fontId="5" type="noConversion"/>
  <printOptions horizontalCentered="1"/>
  <pageMargins left="0.23622047244094491" right="0.27559055118110237" top="0.27" bottom="0.3" header="0.27559055118110237" footer="0.31496062992125984"/>
  <pageSetup paperSize="9" scale="56" fitToHeight="10" orientation="portrait" r:id="rId1"/>
  <headerFooter alignWithMargins="0"/>
  <rowBreaks count="4" manualBreakCount="4">
    <brk id="70" max="16383" man="1"/>
    <brk id="214" max="16383" man="1"/>
    <brk id="327" max="16383" man="1"/>
    <brk id="437" max="1638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</vt:i4>
      </vt:variant>
      <vt:variant>
        <vt:lpstr>Именованные диапазоны</vt:lpstr>
      </vt:variant>
      <vt:variant>
        <vt:i4>44</vt:i4>
      </vt:variant>
    </vt:vector>
  </HeadingPairs>
  <TitlesOfParts>
    <vt:vector size="47" baseType="lpstr">
      <vt:lpstr>TITLE</vt:lpstr>
      <vt:lpstr>Products</vt:lpstr>
      <vt:lpstr>print page</vt:lpstr>
      <vt:lpstr>Door_Dobor</vt:lpstr>
      <vt:lpstr>Door_Dobor_Lada</vt:lpstr>
      <vt:lpstr>Door_Elegant</vt:lpstr>
      <vt:lpstr>Door_Eva</vt:lpstr>
      <vt:lpstr>Door_Geometry</vt:lpstr>
      <vt:lpstr>Door_Glasford</vt:lpstr>
      <vt:lpstr>Door_Gordana</vt:lpstr>
      <vt:lpstr>Door_Idea</vt:lpstr>
      <vt:lpstr>Door_IdeaLoft</vt:lpstr>
      <vt:lpstr>Door_Kupava</vt:lpstr>
      <vt:lpstr>Door_LadaA</vt:lpstr>
      <vt:lpstr>Door_LadaB</vt:lpstr>
      <vt:lpstr>Door_LadaC</vt:lpstr>
      <vt:lpstr>Door_LadaD</vt:lpstr>
      <vt:lpstr>Door_LadaK</vt:lpstr>
      <vt:lpstr>Door_LadaL</vt:lpstr>
      <vt:lpstr>Door_LadaN</vt:lpstr>
      <vt:lpstr>Door_Linda</vt:lpstr>
      <vt:lpstr>Door_Line</vt:lpstr>
      <vt:lpstr>Door_Lineya</vt:lpstr>
      <vt:lpstr>Door_Lisa</vt:lpstr>
      <vt:lpstr>Door_Mira</vt:lpstr>
      <vt:lpstr>Door_Modern</vt:lpstr>
      <vt:lpstr>Door_Nika</vt:lpstr>
      <vt:lpstr>Door_Pollo</vt:lpstr>
      <vt:lpstr>Door_Standard</vt:lpstr>
      <vt:lpstr>Door_Tiana</vt:lpstr>
      <vt:lpstr>Door_Trend</vt:lpstr>
      <vt:lpstr>DoorHandles</vt:lpstr>
      <vt:lpstr>Frame_Stand</vt:lpstr>
      <vt:lpstr>Frame_VFit</vt:lpstr>
      <vt:lpstr>Frame_VFitComfort</vt:lpstr>
      <vt:lpstr>Frame_VFitPlus</vt:lpstr>
      <vt:lpstr>Framugi</vt:lpstr>
      <vt:lpstr>Furniture</vt:lpstr>
      <vt:lpstr>Inside</vt:lpstr>
      <vt:lpstr>MENU</vt:lpstr>
      <vt:lpstr>Plinths</vt:lpstr>
      <vt:lpstr>vat</vt:lpstr>
      <vt:lpstr>Verto_Slide</vt:lpstr>
      <vt:lpstr>Дверна_коробка_STANDARD___Алюм</vt:lpstr>
      <vt:lpstr>ІДЕЯ_АЛЮМ</vt:lpstr>
      <vt:lpstr>Полотна_збірні__КЛАСІК</vt:lpstr>
      <vt:lpstr>Products!Прованс</vt:lpstr>
    </vt:vector>
  </TitlesOfParts>
  <Company>pgs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Verto Doors</dc:creator>
  <cp:lastModifiedBy>enazarenko</cp:lastModifiedBy>
  <cp:lastPrinted>2022-06-20T06:54:42Z</cp:lastPrinted>
  <dcterms:created xsi:type="dcterms:W3CDTF">2011-03-01T10:54:25Z</dcterms:created>
  <dcterms:modified xsi:type="dcterms:W3CDTF">2025-07-28T12:39:53Z</dcterms:modified>
</cp:coreProperties>
</file>